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5.xml" ContentType="application/vnd.openxmlformats-officedocument.spreadsheetml.comments+xml"/>
  <Override PartName="/xl/comments6.xml" ContentType="application/vnd.openxmlformats-officedocument.spreadsheetml.comments+xml"/>
  <Override PartName="/xl/queryTables/queryTable1.xml" ContentType="application/vnd.openxmlformats-officedocument.spreadsheetml.queryTable+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ables/table1.xml" ContentType="application/vnd.openxmlformats-officedocument.spreadsheetml.table+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9200" windowHeight="11460" tabRatio="477" activeTab="8"/>
  </bookViews>
  <sheets>
    <sheet name="LFL" sheetId="5" r:id="rId1"/>
    <sheet name="IS" sheetId="6" r:id="rId2"/>
    <sheet name="CFS" sheetId="10" r:id="rId3"/>
    <sheet name="BS" sheetId="8" r:id="rId4"/>
    <sheet name="Ratios" sheetId="21" r:id="rId5"/>
    <sheet name="DCF" sheetId="14" r:id="rId6"/>
    <sheet name="DEBT" sheetId="17" r:id="rId7"/>
    <sheet name="Store" sheetId="15" r:id="rId8"/>
    <sheet name="DEP" sheetId="13" r:id="rId9"/>
    <sheet name="FCFF" sheetId="16" state="hidden" r:id="rId10"/>
    <sheet name="WC" sheetId="18" state="hidden" r:id="rId11"/>
    <sheet name="RE" sheetId="19" state="hidden" r:id="rId12"/>
    <sheet name="QL" sheetId="9" state="hidden" r:id="rId13"/>
  </sheets>
  <definedNames>
    <definedName name="_xlnm._FilterDatabase" localSheetId="0" hidden="1">LFL!$AA$13:$AD$20</definedName>
    <definedName name="Casino_Group_Q1_2019_Sales" localSheetId="7">Store!$A$22:$Q$358</definedName>
    <definedName name="solver_adj" localSheetId="1" hidden="1">IS!$G$72</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lhs1" localSheetId="1" hidden="1">IS!$G$72</definedName>
    <definedName name="solver_lhs2" localSheetId="1" hidden="1">IS!$G$72</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0</definedName>
    <definedName name="solver_nwt" localSheetId="1" hidden="1">1</definedName>
    <definedName name="solver_opt" localSheetId="1" hidden="1">IS!$G$66</definedName>
    <definedName name="solver_pre" localSheetId="1" hidden="1">0.000001</definedName>
    <definedName name="solver_rbv" localSheetId="1" hidden="1">1</definedName>
    <definedName name="solver_rel1" localSheetId="1" hidden="1">4</definedName>
    <definedName name="solver_rel2" localSheetId="1" hidden="1">4</definedName>
    <definedName name="solver_rhs1" localSheetId="1" hidden="1">integer</definedName>
    <definedName name="solver_rhs2" localSheetId="1" hidden="1">integer</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3</definedName>
    <definedName name="solver_val" localSheetId="1" hidden="1">23.59</definedName>
    <definedName name="solver_ver" localSheetId="1" hidden="1">3</definedName>
    <definedName name="wacc">DCF!$L$12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33" i="14" l="1"/>
  <c r="J41" i="6"/>
  <c r="F42" i="10"/>
  <c r="H42" i="10"/>
  <c r="I42" i="10" s="1"/>
  <c r="J42" i="10" s="1"/>
  <c r="F43" i="10"/>
  <c r="G43" i="10"/>
  <c r="H43" i="10" s="1"/>
  <c r="I43" i="10" s="1"/>
  <c r="J43" i="10" s="1"/>
  <c r="F44" i="10"/>
  <c r="G44" i="10" s="1"/>
  <c r="H44" i="10" s="1"/>
  <c r="I44" i="10" s="1"/>
  <c r="J44" i="10" s="1"/>
  <c r="H9" i="14"/>
  <c r="F29" i="13"/>
  <c r="C26" i="17"/>
  <c r="D26" i="17"/>
  <c r="E26" i="17"/>
  <c r="H7" i="14"/>
  <c r="H8" i="14" s="1"/>
  <c r="G17" i="17"/>
  <c r="L32" i="6"/>
  <c r="M32" i="6" s="1"/>
  <c r="N32" i="6" s="1"/>
  <c r="K32" i="6"/>
  <c r="H52" i="14"/>
  <c r="E71" i="10"/>
  <c r="J26" i="6"/>
  <c r="G26" i="6"/>
  <c r="H26" i="6"/>
  <c r="I26" i="6"/>
  <c r="J27" i="6"/>
  <c r="E58" i="10"/>
  <c r="B61" i="10"/>
  <c r="C61" i="10"/>
  <c r="D61" i="10"/>
  <c r="E61" i="10"/>
  <c r="C21" i="10"/>
  <c r="D21" i="10"/>
  <c r="E21" i="10"/>
  <c r="L8" i="6"/>
  <c r="M8" i="6" s="1"/>
  <c r="N8" i="6" s="1"/>
  <c r="K8" i="6"/>
  <c r="H25" i="5"/>
  <c r="E3" i="5"/>
  <c r="P2" i="5"/>
  <c r="Q2" i="21"/>
  <c r="M2" i="21"/>
  <c r="N2" i="21"/>
  <c r="O2" i="21"/>
  <c r="P2" i="21"/>
  <c r="R2" i="21"/>
  <c r="S2" i="21"/>
  <c r="T2" i="21"/>
  <c r="M3" i="21"/>
  <c r="N3" i="21"/>
  <c r="O3" i="21"/>
  <c r="P3" i="21"/>
  <c r="Q3" i="21"/>
  <c r="R3" i="21"/>
  <c r="S3" i="21"/>
  <c r="T3" i="21"/>
  <c r="L2" i="21"/>
  <c r="L3" i="21"/>
  <c r="G97" i="6" l="1"/>
  <c r="H97" i="6"/>
  <c r="F97" i="6"/>
  <c r="B96" i="6"/>
  <c r="C96" i="6"/>
  <c r="D96" i="6"/>
  <c r="E96" i="6"/>
  <c r="F96" i="6"/>
  <c r="F99" i="6" s="1"/>
  <c r="G96" i="6"/>
  <c r="G99" i="6" s="1"/>
  <c r="H96" i="6"/>
  <c r="H99" i="6" s="1"/>
  <c r="A96" i="6"/>
  <c r="F62" i="8"/>
  <c r="C5" i="21" l="1"/>
  <c r="D5" i="21"/>
  <c r="E5" i="21"/>
  <c r="F5" i="21"/>
  <c r="G5" i="21"/>
  <c r="H5" i="21"/>
  <c r="I5" i="21"/>
  <c r="J5" i="21"/>
  <c r="F58" i="8" l="1"/>
  <c r="K50" i="6"/>
  <c r="L50" i="6" s="1"/>
  <c r="M50" i="6" s="1"/>
  <c r="N50" i="6" s="1"/>
  <c r="J51" i="6"/>
  <c r="K51" i="6" s="1"/>
  <c r="L51" i="6" s="1"/>
  <c r="M51" i="6" s="1"/>
  <c r="N51" i="6" s="1"/>
  <c r="J50" i="6"/>
  <c r="J62" i="6" s="1"/>
  <c r="I62" i="6"/>
  <c r="C16" i="17"/>
  <c r="D16" i="17"/>
  <c r="E16" i="17"/>
  <c r="L2" i="5"/>
  <c r="P35" i="5"/>
  <c r="F85" i="5"/>
  <c r="E22" i="17" l="1"/>
  <c r="C22" i="17"/>
  <c r="D22" i="17"/>
  <c r="F46" i="8"/>
  <c r="F26" i="17" s="1"/>
  <c r="G46" i="8" l="1"/>
  <c r="F25" i="8"/>
  <c r="G25" i="8" s="1"/>
  <c r="H46" i="8" l="1"/>
  <c r="H25" i="8"/>
  <c r="I25" i="8" s="1"/>
  <c r="F4" i="8"/>
  <c r="F50" i="8"/>
  <c r="B26" i="8"/>
  <c r="C26" i="8"/>
  <c r="D26" i="8"/>
  <c r="E26" i="8"/>
  <c r="V103" i="5"/>
  <c r="V104" i="5" s="1"/>
  <c r="V91" i="5"/>
  <c r="V92" i="5" s="1"/>
  <c r="V78" i="5"/>
  <c r="V79" i="5" s="1"/>
  <c r="V66" i="5"/>
  <c r="V67" i="5" s="1"/>
  <c r="V53" i="5"/>
  <c r="V54" i="5" s="1"/>
  <c r="V41" i="5"/>
  <c r="V42" i="5" s="1"/>
  <c r="V31" i="5"/>
  <c r="V55" i="5" s="1"/>
  <c r="V56" i="5" s="1"/>
  <c r="V49" i="5" s="1"/>
  <c r="V47" i="5" s="1"/>
  <c r="V29" i="5"/>
  <c r="V30" i="5" s="1"/>
  <c r="V19" i="5"/>
  <c r="V105" i="5" s="1"/>
  <c r="V17" i="5"/>
  <c r="V18" i="5" s="1"/>
  <c r="V20" i="5" s="1"/>
  <c r="V13" i="5" s="1"/>
  <c r="V11" i="5" s="1"/>
  <c r="I46" i="8" l="1"/>
  <c r="J25" i="8"/>
  <c r="V106" i="5"/>
  <c r="V99" i="5" s="1"/>
  <c r="V97" i="5" s="1"/>
  <c r="V68" i="5"/>
  <c r="V69" i="5" s="1"/>
  <c r="V62" i="5" s="1"/>
  <c r="V60" i="5" s="1"/>
  <c r="V93" i="5"/>
  <c r="V94" i="5" s="1"/>
  <c r="V87" i="5" s="1"/>
  <c r="V85" i="5" s="1"/>
  <c r="V32" i="5"/>
  <c r="V25" i="5" s="1"/>
  <c r="V23" i="5" s="1"/>
  <c r="V43" i="5"/>
  <c r="V44" i="5" s="1"/>
  <c r="V37" i="5" s="1"/>
  <c r="V35" i="5" s="1"/>
  <c r="V80" i="5"/>
  <c r="V81" i="5" s="1"/>
  <c r="V74" i="5" s="1"/>
  <c r="V72" i="5" s="1"/>
  <c r="F47" i="8"/>
  <c r="F48" i="8"/>
  <c r="F49" i="8"/>
  <c r="F60" i="8"/>
  <c r="J46" i="8" l="1"/>
  <c r="V2" i="5"/>
  <c r="V5" i="5"/>
  <c r="B21" i="14" l="1"/>
  <c r="D3" i="18"/>
  <c r="E3" i="18"/>
  <c r="F3" i="18"/>
  <c r="G3" i="18"/>
  <c r="H3" i="18"/>
  <c r="I3" i="18"/>
  <c r="J3" i="18"/>
  <c r="K3" i="18"/>
  <c r="L3" i="18"/>
  <c r="D5" i="18"/>
  <c r="D4" i="18" s="1"/>
  <c r="E5" i="18"/>
  <c r="E4" i="18" s="1"/>
  <c r="F5" i="18"/>
  <c r="F4" i="18" s="1"/>
  <c r="G5" i="18"/>
  <c r="G4" i="18" s="1"/>
  <c r="D8" i="18"/>
  <c r="D9" i="18" s="1"/>
  <c r="E8" i="18"/>
  <c r="E9" i="18" s="1"/>
  <c r="F8" i="18"/>
  <c r="G8" i="18"/>
  <c r="G9" i="18"/>
  <c r="D10" i="18"/>
  <c r="D12" i="18" s="1"/>
  <c r="E10" i="18"/>
  <c r="E13" i="18" s="1"/>
  <c r="F10" i="18"/>
  <c r="F12" i="18" s="1"/>
  <c r="G10" i="18"/>
  <c r="G12" i="18" s="1"/>
  <c r="D11" i="18"/>
  <c r="E12" i="18"/>
  <c r="I15" i="18"/>
  <c r="J15" i="18"/>
  <c r="L15" i="18" s="1"/>
  <c r="K15" i="18"/>
  <c r="G50" i="8"/>
  <c r="F22" i="8"/>
  <c r="F34" i="8"/>
  <c r="F23" i="8"/>
  <c r="G23" i="8" s="1"/>
  <c r="H23" i="8" s="1"/>
  <c r="I23" i="8" s="1"/>
  <c r="J23" i="8" s="1"/>
  <c r="G47" i="8"/>
  <c r="H47" i="8" s="1"/>
  <c r="I47" i="8" s="1"/>
  <c r="J47" i="8" s="1"/>
  <c r="G48" i="8"/>
  <c r="H48" i="8" s="1"/>
  <c r="I48" i="8" s="1"/>
  <c r="J48" i="8" s="1"/>
  <c r="G49" i="8"/>
  <c r="H49" i="8" s="1"/>
  <c r="F44" i="8"/>
  <c r="G44" i="8" s="1"/>
  <c r="H44" i="8" s="1"/>
  <c r="I44" i="8" s="1"/>
  <c r="J44" i="8" s="1"/>
  <c r="F43" i="8"/>
  <c r="G43" i="8" s="1"/>
  <c r="H43" i="8" s="1"/>
  <c r="I43" i="8" s="1"/>
  <c r="J43" i="8" s="1"/>
  <c r="F40" i="8"/>
  <c r="G40" i="8" s="1"/>
  <c r="H40" i="8" s="1"/>
  <c r="I40" i="8" s="1"/>
  <c r="J40" i="8" s="1"/>
  <c r="F41" i="8"/>
  <c r="G41" i="8" s="1"/>
  <c r="H41" i="8" s="1"/>
  <c r="I41" i="8" s="1"/>
  <c r="J41" i="8" s="1"/>
  <c r="F39" i="8"/>
  <c r="G39" i="8" s="1"/>
  <c r="H39" i="8" s="1"/>
  <c r="I39" i="8" s="1"/>
  <c r="J39" i="8" s="1"/>
  <c r="G34" i="8"/>
  <c r="H34" i="8" s="1"/>
  <c r="I34" i="8" s="1"/>
  <c r="J34" i="8" s="1"/>
  <c r="F36" i="8"/>
  <c r="G36" i="8" s="1"/>
  <c r="H36" i="8" s="1"/>
  <c r="I36" i="8" s="1"/>
  <c r="J36" i="8" s="1"/>
  <c r="F37" i="8"/>
  <c r="G37" i="8" s="1"/>
  <c r="H37" i="8" s="1"/>
  <c r="I37" i="8" s="1"/>
  <c r="J37" i="8" s="1"/>
  <c r="F31" i="8"/>
  <c r="G31" i="8" s="1"/>
  <c r="H31" i="8" s="1"/>
  <c r="I31" i="8" s="1"/>
  <c r="J31" i="8" s="1"/>
  <c r="F17" i="8"/>
  <c r="G17" i="8" s="1"/>
  <c r="H17" i="8" s="1"/>
  <c r="I17" i="8" s="1"/>
  <c r="J17" i="8" s="1"/>
  <c r="F18" i="8"/>
  <c r="F16" i="8"/>
  <c r="G16" i="8" s="1"/>
  <c r="H16" i="8" s="1"/>
  <c r="I16" i="8" s="1"/>
  <c r="J16" i="8" s="1"/>
  <c r="F15" i="8"/>
  <c r="G15" i="8" s="1"/>
  <c r="H15" i="8" s="1"/>
  <c r="I15" i="8" s="1"/>
  <c r="J15" i="8" s="1"/>
  <c r="G4" i="8"/>
  <c r="H4" i="8" s="1"/>
  <c r="I4" i="8" s="1"/>
  <c r="J4" i="8" s="1"/>
  <c r="E16" i="13"/>
  <c r="E15" i="13"/>
  <c r="G18" i="8" l="1"/>
  <c r="I49" i="8"/>
  <c r="D13" i="18"/>
  <c r="F14" i="18"/>
  <c r="E14" i="18"/>
  <c r="G13" i="18"/>
  <c r="G14" i="18"/>
  <c r="F9" i="18"/>
  <c r="F13" i="18"/>
  <c r="D14" i="18"/>
  <c r="H50" i="8"/>
  <c r="I50" i="8" s="1"/>
  <c r="J50" i="8" s="1"/>
  <c r="I29" i="6"/>
  <c r="G29" i="6"/>
  <c r="H29" i="6"/>
  <c r="H18" i="8" l="1"/>
  <c r="F16" i="18"/>
  <c r="F19" i="18" s="1"/>
  <c r="G16" i="18"/>
  <c r="G19" i="18" s="1"/>
  <c r="E23" i="10" s="1"/>
  <c r="B24" i="14" s="1"/>
  <c r="J49" i="8"/>
  <c r="E16" i="18"/>
  <c r="E19" i="18" s="1"/>
  <c r="D16" i="18"/>
  <c r="D19" i="18" s="1"/>
  <c r="E29" i="13"/>
  <c r="C5" i="14"/>
  <c r="F9" i="17"/>
  <c r="B51" i="8"/>
  <c r="C51" i="8"/>
  <c r="D51" i="8"/>
  <c r="E51" i="8"/>
  <c r="D8" i="17"/>
  <c r="E8" i="17"/>
  <c r="E17" i="17"/>
  <c r="E29" i="10" l="1"/>
  <c r="B26" i="14"/>
  <c r="F8" i="17"/>
  <c r="F17" i="17"/>
  <c r="I18" i="8"/>
  <c r="G9" i="17"/>
  <c r="H9" i="17" s="1"/>
  <c r="I9" i="17" s="1"/>
  <c r="J9" i="17" s="1"/>
  <c r="F3" i="15"/>
  <c r="I61" i="6"/>
  <c r="K25" i="19"/>
  <c r="G8" i="17" l="1"/>
  <c r="J18" i="8"/>
  <c r="M2" i="5"/>
  <c r="N43" i="15"/>
  <c r="X12" i="8"/>
  <c r="X14" i="8"/>
  <c r="H8" i="17" l="1"/>
  <c r="H17" i="17"/>
  <c r="M111" i="5"/>
  <c r="V111" i="5"/>
  <c r="M112" i="5"/>
  <c r="V112" i="5"/>
  <c r="M113" i="5"/>
  <c r="V113" i="5"/>
  <c r="A113" i="5"/>
  <c r="A112" i="5"/>
  <c r="A111" i="5"/>
  <c r="G55" i="10"/>
  <c r="H55" i="10" s="1"/>
  <c r="I55" i="10" s="1"/>
  <c r="J55" i="10" s="1"/>
  <c r="G56" i="10"/>
  <c r="H56" i="10" s="1"/>
  <c r="I56" i="10" s="1"/>
  <c r="J56" i="10" s="1"/>
  <c r="A33" i="18"/>
  <c r="A34" i="18"/>
  <c r="A35" i="18"/>
  <c r="A36" i="18"/>
  <c r="A37" i="18"/>
  <c r="B71" i="10"/>
  <c r="C71" i="10"/>
  <c r="D71" i="10"/>
  <c r="I8" i="17" l="1"/>
  <c r="I17" i="17"/>
  <c r="J8" i="17"/>
  <c r="J17" i="17"/>
  <c r="E7" i="16"/>
  <c r="B16" i="14"/>
  <c r="B30" i="14"/>
  <c r="B69" i="10"/>
  <c r="C69" i="10"/>
  <c r="D69" i="10"/>
  <c r="E69" i="10"/>
  <c r="B67" i="10"/>
  <c r="C67" i="10"/>
  <c r="D67" i="10"/>
  <c r="E67" i="10"/>
  <c r="F17" i="15"/>
  <c r="F19" i="15"/>
  <c r="F20" i="15"/>
  <c r="G20" i="15" l="1"/>
  <c r="H20" i="15" s="1"/>
  <c r="I20" i="15" s="1"/>
  <c r="J20" i="15" s="1"/>
  <c r="C30" i="14"/>
  <c r="L52" i="14" s="1"/>
  <c r="E42" i="8"/>
  <c r="D23" i="10" l="1"/>
  <c r="B8" i="16"/>
  <c r="E8" i="16" l="1"/>
  <c r="B14" i="17"/>
  <c r="B17" i="17" s="1"/>
  <c r="C17" i="17"/>
  <c r="D17" i="17"/>
  <c r="E18" i="17" s="1"/>
  <c r="B4" i="17"/>
  <c r="C4" i="17"/>
  <c r="D18" i="17" l="1"/>
  <c r="C18" i="17"/>
  <c r="D2" i="17"/>
  <c r="D4" i="17" s="1"/>
  <c r="Y14" i="8"/>
  <c r="Z13" i="8"/>
  <c r="Z12" i="8"/>
  <c r="AE12" i="8"/>
  <c r="AA12" i="8"/>
  <c r="AB12" i="8"/>
  <c r="AC12" i="8"/>
  <c r="AD12" i="8"/>
  <c r="Y12" i="8"/>
  <c r="W12" i="8"/>
  <c r="K2" i="16"/>
  <c r="C5" i="13"/>
  <c r="C9" i="13"/>
  <c r="D9" i="13"/>
  <c r="D5" i="13"/>
  <c r="E5" i="13"/>
  <c r="E9" i="13"/>
  <c r="P72" i="5"/>
  <c r="P60" i="5"/>
  <c r="P47" i="5"/>
  <c r="P23" i="5"/>
  <c r="P11" i="5"/>
  <c r="J2" i="5"/>
  <c r="K72" i="5"/>
  <c r="K60" i="5"/>
  <c r="K47" i="5"/>
  <c r="K35" i="5"/>
  <c r="K23" i="5"/>
  <c r="K11" i="5"/>
  <c r="F97" i="5"/>
  <c r="F72" i="5"/>
  <c r="F60" i="5"/>
  <c r="F47" i="5"/>
  <c r="F35" i="5"/>
  <c r="F23" i="5"/>
  <c r="F11" i="5"/>
  <c r="G19" i="15"/>
  <c r="F15" i="15"/>
  <c r="G15" i="15" s="1"/>
  <c r="G3" i="15"/>
  <c r="G17" i="15"/>
  <c r="F11" i="15"/>
  <c r="G11" i="15" s="1"/>
  <c r="D18" i="15"/>
  <c r="O14" i="15"/>
  <c r="P14" i="15" s="1"/>
  <c r="Q14" i="15" s="1"/>
  <c r="O15" i="15"/>
  <c r="P15" i="15" s="1"/>
  <c r="Q15" i="15" s="1"/>
  <c r="O16" i="15"/>
  <c r="P16" i="15" s="1"/>
  <c r="Q16" i="15" s="1"/>
  <c r="O17" i="15"/>
  <c r="P17" i="15" s="1"/>
  <c r="F6" i="15" s="1"/>
  <c r="O18" i="15"/>
  <c r="P18" i="15" s="1"/>
  <c r="Q18" i="15" s="1"/>
  <c r="O13" i="15"/>
  <c r="P13" i="15" s="1"/>
  <c r="E18" i="15"/>
  <c r="G81" i="6" l="1"/>
  <c r="F5" i="5"/>
  <c r="E2" i="17"/>
  <c r="E4" i="17" s="1"/>
  <c r="K5" i="5"/>
  <c r="H81" i="6" s="1"/>
  <c r="J111" i="5"/>
  <c r="J112" i="5"/>
  <c r="J113" i="5"/>
  <c r="P5" i="5"/>
  <c r="F13" i="15"/>
  <c r="F9" i="15"/>
  <c r="Q13" i="15"/>
  <c r="Q17" i="15"/>
  <c r="G6" i="15" s="1"/>
  <c r="H6" i="15" s="1"/>
  <c r="I6" i="15" s="1"/>
  <c r="J6" i="15" s="1"/>
  <c r="B29" i="13"/>
  <c r="B36" i="13" s="1"/>
  <c r="C29" i="13"/>
  <c r="C36" i="13" s="1"/>
  <c r="D29" i="13"/>
  <c r="D36" i="13" s="1"/>
  <c r="A38" i="13"/>
  <c r="K2" i="5" l="1"/>
  <c r="F21" i="15"/>
  <c r="G13" i="15"/>
  <c r="F2" i="17"/>
  <c r="H82" i="6"/>
  <c r="H84" i="6" s="1"/>
  <c r="I81" i="6"/>
  <c r="E33" i="13"/>
  <c r="E35" i="13"/>
  <c r="E31" i="13"/>
  <c r="D29" i="10"/>
  <c r="D31" i="13"/>
  <c r="D35" i="13"/>
  <c r="D33" i="13"/>
  <c r="B29" i="10"/>
  <c r="B39" i="10" s="1"/>
  <c r="B35" i="13"/>
  <c r="B33" i="13"/>
  <c r="B31" i="13"/>
  <c r="C29" i="10"/>
  <c r="C39" i="10" s="1"/>
  <c r="C35" i="13"/>
  <c r="C33" i="13"/>
  <c r="C31" i="13"/>
  <c r="G9" i="15"/>
  <c r="B15" i="13"/>
  <c r="B45" i="13"/>
  <c r="B47" i="13" s="1"/>
  <c r="D45" i="13"/>
  <c r="D47" i="13" s="1"/>
  <c r="E45" i="13"/>
  <c r="C45" i="13"/>
  <c r="C47" i="13" s="1"/>
  <c r="K113" i="5" l="1"/>
  <c r="K112" i="5"/>
  <c r="K111" i="5"/>
  <c r="E47" i="13"/>
  <c r="B23" i="14"/>
  <c r="D39" i="10"/>
  <c r="D13" i="16"/>
  <c r="E39" i="10"/>
  <c r="E13" i="16"/>
  <c r="E16" i="16" s="1"/>
  <c r="C13" i="16"/>
  <c r="B13" i="16"/>
  <c r="G34" i="10"/>
  <c r="H34" i="10" s="1"/>
  <c r="I34" i="10" s="1"/>
  <c r="J34" i="10" s="1"/>
  <c r="F5" i="10"/>
  <c r="C1" i="17"/>
  <c r="C21" i="17" s="1"/>
  <c r="D1" i="17"/>
  <c r="D21" i="17" s="1"/>
  <c r="E1" i="17"/>
  <c r="E21" i="17" s="1"/>
  <c r="F1" i="17"/>
  <c r="F21" i="17" s="1"/>
  <c r="G1" i="17"/>
  <c r="G21" i="17" s="1"/>
  <c r="H1" i="17"/>
  <c r="H21" i="17" s="1"/>
  <c r="I1" i="17"/>
  <c r="I21" i="17" s="1"/>
  <c r="J1" i="17"/>
  <c r="J21" i="17" s="1"/>
  <c r="B1" i="17"/>
  <c r="B7" i="17" s="1"/>
  <c r="H5" i="6"/>
  <c r="G13" i="8"/>
  <c r="H13" i="8"/>
  <c r="I13" i="8"/>
  <c r="J13" i="8"/>
  <c r="G14" i="8"/>
  <c r="H14" i="8"/>
  <c r="I14" i="8"/>
  <c r="J14" i="8"/>
  <c r="F14" i="8"/>
  <c r="F13" i="8"/>
  <c r="G12" i="8"/>
  <c r="H12" i="8"/>
  <c r="I12" i="8"/>
  <c r="J12" i="8"/>
  <c r="F12" i="8"/>
  <c r="E11" i="8"/>
  <c r="I7" i="17" l="1"/>
  <c r="E7" i="17"/>
  <c r="G7" i="17"/>
  <c r="C7" i="17"/>
  <c r="J7" i="17"/>
  <c r="F7" i="17"/>
  <c r="H7" i="17"/>
  <c r="D7" i="17"/>
  <c r="G66" i="6"/>
  <c r="F66" i="6"/>
  <c r="E33" i="8"/>
  <c r="E35" i="8" s="1"/>
  <c r="E6" i="21" s="1"/>
  <c r="F40" i="15" l="1"/>
  <c r="C41" i="15"/>
  <c r="D41" i="15"/>
  <c r="E41" i="15"/>
  <c r="K24" i="15"/>
  <c r="F28" i="15"/>
  <c r="G28" i="15" s="1"/>
  <c r="H28" i="15" s="1"/>
  <c r="I28" i="15" s="1"/>
  <c r="J28" i="15" s="1"/>
  <c r="D33" i="15"/>
  <c r="C33" i="15"/>
  <c r="E33" i="15"/>
  <c r="E35" i="15"/>
  <c r="K26" i="15"/>
  <c r="K27" i="15"/>
  <c r="K29" i="15"/>
  <c r="K30" i="15"/>
  <c r="K31" i="15"/>
  <c r="K32" i="15"/>
  <c r="K36" i="15"/>
  <c r="K37" i="15"/>
  <c r="K38" i="15"/>
  <c r="K39" i="15"/>
  <c r="K42" i="15"/>
  <c r="K43" i="15"/>
  <c r="K44" i="15"/>
  <c r="K45" i="15"/>
  <c r="K48" i="15"/>
  <c r="K49" i="15"/>
  <c r="K50" i="15"/>
  <c r="K51" i="15"/>
  <c r="K52" i="15"/>
  <c r="K53" i="15"/>
  <c r="K54" i="15"/>
  <c r="K56" i="15"/>
  <c r="M24" i="6"/>
  <c r="N24" i="6" s="1"/>
  <c r="E52" i="8" l="1"/>
  <c r="G40" i="15"/>
  <c r="H40" i="15" s="1"/>
  <c r="I40" i="15" s="1"/>
  <c r="F34" i="15"/>
  <c r="G34" i="15" s="1"/>
  <c r="H34" i="15" l="1"/>
  <c r="I34" i="15" s="1"/>
  <c r="J40" i="15"/>
  <c r="K40" i="15" s="1"/>
  <c r="C16" i="16"/>
  <c r="D16" i="16"/>
  <c r="B7" i="16"/>
  <c r="B11" i="16" s="1"/>
  <c r="B18" i="16" s="1"/>
  <c r="B22" i="16" s="1"/>
  <c r="B24" i="16" s="1"/>
  <c r="C7" i="16"/>
  <c r="D7" i="16"/>
  <c r="E11" i="16"/>
  <c r="E18" i="16" s="1"/>
  <c r="E22" i="16" s="1"/>
  <c r="B11" i="8"/>
  <c r="C11" i="8"/>
  <c r="D11" i="8"/>
  <c r="J34" i="15" l="1"/>
  <c r="E17" i="13"/>
  <c r="E24" i="16"/>
  <c r="A14" i="13"/>
  <c r="B14" i="13"/>
  <c r="C14" i="13"/>
  <c r="D14" i="13"/>
  <c r="E14" i="13"/>
  <c r="B11" i="13"/>
  <c r="C11" i="13"/>
  <c r="D11" i="13"/>
  <c r="E11" i="13"/>
  <c r="B7" i="13"/>
  <c r="C7" i="13"/>
  <c r="D7" i="13"/>
  <c r="E7" i="13"/>
  <c r="C15" i="13"/>
  <c r="D15" i="13"/>
  <c r="B16" i="13"/>
  <c r="C16" i="13"/>
  <c r="D16" i="13"/>
  <c r="F46" i="15"/>
  <c r="G46" i="15" s="1"/>
  <c r="H46" i="15" s="1"/>
  <c r="I46" i="15" s="1"/>
  <c r="J46" i="15" s="1"/>
  <c r="K46" i="15" s="1"/>
  <c r="C47" i="15"/>
  <c r="D47" i="15"/>
  <c r="E47" i="15"/>
  <c r="F55" i="15"/>
  <c r="C35" i="15"/>
  <c r="D35" i="15"/>
  <c r="K28" i="15"/>
  <c r="F25" i="15"/>
  <c r="G25" i="15" s="1"/>
  <c r="H25" i="15" s="1"/>
  <c r="I25" i="15" s="1"/>
  <c r="J25" i="15" s="1"/>
  <c r="K25" i="15" s="1"/>
  <c r="H9" i="15"/>
  <c r="I9" i="15" s="1"/>
  <c r="J9" i="15" s="1"/>
  <c r="K9" i="15" s="1"/>
  <c r="H3" i="15"/>
  <c r="I3" i="15" s="1"/>
  <c r="J3" i="15" s="1"/>
  <c r="K3" i="15" s="1"/>
  <c r="K20" i="15"/>
  <c r="H13" i="15"/>
  <c r="I13" i="15" s="1"/>
  <c r="J13" i="15" s="1"/>
  <c r="K13" i="15" s="1"/>
  <c r="F4" i="15"/>
  <c r="G4" i="15" s="1"/>
  <c r="H4" i="15" s="1"/>
  <c r="I4" i="15" s="1"/>
  <c r="J4" i="15" s="1"/>
  <c r="K4" i="15" s="1"/>
  <c r="F5" i="15"/>
  <c r="G5" i="15" s="1"/>
  <c r="H5" i="15" s="1"/>
  <c r="I5" i="15" s="1"/>
  <c r="J5" i="15" s="1"/>
  <c r="K5" i="15" s="1"/>
  <c r="F7" i="15"/>
  <c r="G7" i="15" s="1"/>
  <c r="H7" i="15" s="1"/>
  <c r="I7" i="15" s="1"/>
  <c r="J7" i="15" s="1"/>
  <c r="K7" i="15" s="1"/>
  <c r="F8" i="15"/>
  <c r="G8" i="15" s="1"/>
  <c r="H8" i="15" s="1"/>
  <c r="I8" i="15" s="1"/>
  <c r="J8" i="15" s="1"/>
  <c r="K8" i="15" s="1"/>
  <c r="F10" i="15"/>
  <c r="G10" i="15" s="1"/>
  <c r="H10" i="15" s="1"/>
  <c r="I10" i="15" s="1"/>
  <c r="J10" i="15" s="1"/>
  <c r="K10" i="15" s="1"/>
  <c r="H11" i="15"/>
  <c r="I11" i="15" s="1"/>
  <c r="J11" i="15" s="1"/>
  <c r="K11" i="15" s="1"/>
  <c r="F12" i="15"/>
  <c r="G12" i="15" s="1"/>
  <c r="H12" i="15" s="1"/>
  <c r="I12" i="15" s="1"/>
  <c r="J12" i="15" s="1"/>
  <c r="K12" i="15" s="1"/>
  <c r="F14" i="15"/>
  <c r="G14" i="15" s="1"/>
  <c r="H14" i="15" s="1"/>
  <c r="I14" i="15" s="1"/>
  <c r="J14" i="15" s="1"/>
  <c r="K14" i="15" s="1"/>
  <c r="F16" i="15"/>
  <c r="G16" i="15" s="1"/>
  <c r="H16" i="15" s="1"/>
  <c r="I16" i="15" s="1"/>
  <c r="J16" i="15" s="1"/>
  <c r="K16" i="15" s="1"/>
  <c r="E21" i="15"/>
  <c r="F23" i="15" s="1"/>
  <c r="E57" i="15"/>
  <c r="G55" i="15" l="1"/>
  <c r="H55" i="15" s="1"/>
  <c r="I55" i="15" s="1"/>
  <c r="J55" i="15" s="1"/>
  <c r="K55" i="15" s="1"/>
  <c r="F57" i="15"/>
  <c r="F59" i="15" s="1"/>
  <c r="K6" i="15"/>
  <c r="D17" i="13"/>
  <c r="C17" i="13"/>
  <c r="B18" i="13"/>
  <c r="B17" i="13"/>
  <c r="G17" i="13" s="1"/>
  <c r="H17" i="13" s="1"/>
  <c r="I17" i="13" s="1"/>
  <c r="J17" i="13" s="1"/>
  <c r="H19" i="15"/>
  <c r="I19" i="15" s="1"/>
  <c r="J19" i="15" s="1"/>
  <c r="K19" i="15" s="1"/>
  <c r="H15" i="15"/>
  <c r="I15" i="15" s="1"/>
  <c r="E59" i="15"/>
  <c r="E18" i="13"/>
  <c r="C18" i="13"/>
  <c r="D18" i="13"/>
  <c r="K34" i="15"/>
  <c r="B21" i="15"/>
  <c r="B57" i="15"/>
  <c r="C57" i="15"/>
  <c r="D57" i="15"/>
  <c r="D21" i="15"/>
  <c r="C21" i="15"/>
  <c r="F60" i="15" l="1"/>
  <c r="C59" i="15"/>
  <c r="J15" i="15"/>
  <c r="K15" i="15" s="1"/>
  <c r="C22" i="15"/>
  <c r="B59" i="15"/>
  <c r="D59" i="15"/>
  <c r="E60" i="15" s="1"/>
  <c r="D22" i="15"/>
  <c r="D58" i="15"/>
  <c r="E22" i="15"/>
  <c r="C58" i="15"/>
  <c r="E58" i="15"/>
  <c r="C60" i="15" l="1"/>
  <c r="D60" i="15"/>
  <c r="B5" i="8"/>
  <c r="B19" i="8" s="1"/>
  <c r="B27" i="8" s="1"/>
  <c r="K62" i="6"/>
  <c r="I49" i="6"/>
  <c r="K12" i="6"/>
  <c r="L12" i="6"/>
  <c r="M12" i="6"/>
  <c r="N12" i="6"/>
  <c r="J12" i="6"/>
  <c r="E32" i="14" l="1"/>
  <c r="G60" i="8"/>
  <c r="H60" i="8"/>
  <c r="I60" i="8"/>
  <c r="J60" i="8"/>
  <c r="G58" i="8"/>
  <c r="H58" i="8"/>
  <c r="I58" i="8"/>
  <c r="J58" i="8"/>
  <c r="C3" i="13"/>
  <c r="C38" i="13" s="1"/>
  <c r="C21" i="13" s="1"/>
  <c r="D3" i="13"/>
  <c r="D38" i="13" s="1"/>
  <c r="D21" i="13" s="1"/>
  <c r="E3" i="13"/>
  <c r="E38" i="13" s="1"/>
  <c r="E21" i="13" s="1"/>
  <c r="B3" i="13"/>
  <c r="B38" i="13" s="1"/>
  <c r="B21" i="13" s="1"/>
  <c r="G1" i="10"/>
  <c r="G3" i="13" s="1"/>
  <c r="H1" i="10"/>
  <c r="E16" i="14" s="1"/>
  <c r="I1" i="10"/>
  <c r="F16" i="14" s="1"/>
  <c r="J1" i="10"/>
  <c r="G16" i="14" s="1"/>
  <c r="F1" i="10"/>
  <c r="C16" i="14" s="1"/>
  <c r="B59" i="8"/>
  <c r="B60" i="8" s="1"/>
  <c r="C59" i="8"/>
  <c r="C60" i="8" s="1"/>
  <c r="D59" i="8"/>
  <c r="D60" i="8" s="1"/>
  <c r="I53" i="6"/>
  <c r="L62" i="6"/>
  <c r="M62" i="6"/>
  <c r="N62" i="6"/>
  <c r="I65" i="6"/>
  <c r="F61" i="6"/>
  <c r="H66" i="6"/>
  <c r="I66" i="6"/>
  <c r="H65" i="6"/>
  <c r="G61" i="6"/>
  <c r="F65" i="6"/>
  <c r="G65" i="6"/>
  <c r="H62" i="6"/>
  <c r="H61" i="6"/>
  <c r="G62" i="6"/>
  <c r="F62" i="6"/>
  <c r="F30" i="6"/>
  <c r="B16" i="10" s="1"/>
  <c r="G30" i="6"/>
  <c r="C16" i="10" s="1"/>
  <c r="H30" i="6"/>
  <c r="D16" i="10" s="1"/>
  <c r="I30" i="6"/>
  <c r="E16" i="10" s="1"/>
  <c r="E26" i="10" s="1"/>
  <c r="F32" i="14" l="1"/>
  <c r="G38" i="13"/>
  <c r="G21" i="13" s="1"/>
  <c r="G2" i="16"/>
  <c r="I55" i="6"/>
  <c r="I57" i="6"/>
  <c r="F3" i="13"/>
  <c r="D16" i="14"/>
  <c r="J3" i="13"/>
  <c r="I3" i="13"/>
  <c r="H3" i="13"/>
  <c r="D30" i="14"/>
  <c r="E30" i="14" s="1"/>
  <c r="F30" i="14" s="1"/>
  <c r="G30" i="14" s="1"/>
  <c r="G32" i="14" l="1"/>
  <c r="H38" i="13"/>
  <c r="H21" i="13" s="1"/>
  <c r="H2" i="16"/>
  <c r="I38" i="13"/>
  <c r="I21" i="13" s="1"/>
  <c r="I2" i="16"/>
  <c r="F38" i="13"/>
  <c r="F21" i="13" s="1"/>
  <c r="F2" i="16"/>
  <c r="J38" i="13"/>
  <c r="J21" i="13" s="1"/>
  <c r="J2" i="16"/>
  <c r="S31" i="5"/>
  <c r="X31" i="5" s="1"/>
  <c r="T31" i="5"/>
  <c r="Y31" i="5" s="1"/>
  <c r="AA31" i="5"/>
  <c r="AA55" i="5" s="1"/>
  <c r="R31" i="5"/>
  <c r="R19" i="5"/>
  <c r="AA17" i="5"/>
  <c r="AA18" i="5" s="1"/>
  <c r="K13" i="5"/>
  <c r="H2" i="6"/>
  <c r="G2" i="6"/>
  <c r="AA41" i="5"/>
  <c r="AA42" i="5" s="1"/>
  <c r="AA66" i="5"/>
  <c r="AA67" i="5" s="1"/>
  <c r="AA78" i="5"/>
  <c r="AA79" i="5" s="1"/>
  <c r="AA103" i="5"/>
  <c r="Q2" i="5"/>
  <c r="Q18" i="5"/>
  <c r="Q20" i="5" s="1"/>
  <c r="Q13" i="5" s="1"/>
  <c r="Q12" i="5" s="1"/>
  <c r="Q30" i="5"/>
  <c r="Q32" i="5" s="1"/>
  <c r="Q25" i="5" s="1"/>
  <c r="Q24" i="5" s="1"/>
  <c r="Q42" i="5"/>
  <c r="Q44" i="5" s="1"/>
  <c r="Q37" i="5" s="1"/>
  <c r="Q36" i="5" s="1"/>
  <c r="Q54" i="5"/>
  <c r="Q56" i="5" s="1"/>
  <c r="Q49" i="5" s="1"/>
  <c r="Q48" i="5" s="1"/>
  <c r="Q67" i="5"/>
  <c r="Q69" i="5" s="1"/>
  <c r="Q62" i="5" s="1"/>
  <c r="Q61" i="5" s="1"/>
  <c r="Q79" i="5"/>
  <c r="Q81" i="5" s="1"/>
  <c r="Q74" i="5" s="1"/>
  <c r="Q73" i="5" s="1"/>
  <c r="Q92" i="5"/>
  <c r="Q94" i="5" s="1"/>
  <c r="Q87" i="5" s="1"/>
  <c r="Q86" i="5" s="1"/>
  <c r="Q104" i="5"/>
  <c r="Q106" i="5" s="1"/>
  <c r="Q99" i="5" s="1"/>
  <c r="Q98" i="5" s="1"/>
  <c r="R17" i="5"/>
  <c r="V4" i="5" l="1"/>
  <c r="Q111" i="5"/>
  <c r="Q113" i="5"/>
  <c r="Q112" i="5"/>
  <c r="Y55" i="5"/>
  <c r="X55" i="5"/>
  <c r="W31" i="5"/>
  <c r="W17" i="5"/>
  <c r="W18" i="5" s="1"/>
  <c r="R43" i="5"/>
  <c r="W19" i="5"/>
  <c r="AD31" i="5"/>
  <c r="AD55" i="5" s="1"/>
  <c r="AF66" i="5"/>
  <c r="AF67" i="5" s="1"/>
  <c r="AA91" i="5"/>
  <c r="AA92" i="5" s="1"/>
  <c r="AF78" i="5"/>
  <c r="AF79" i="5" s="1"/>
  <c r="R18" i="5"/>
  <c r="R20" i="5" s="1"/>
  <c r="R13" i="5" s="1"/>
  <c r="AF41" i="5"/>
  <c r="AF42" i="5" s="1"/>
  <c r="AC31" i="5"/>
  <c r="AF103" i="5"/>
  <c r="AF104" i="5" s="1"/>
  <c r="AA104" i="5"/>
  <c r="AA29" i="5"/>
  <c r="AA30" i="5" s="1"/>
  <c r="AA32" i="5" s="1"/>
  <c r="AA25" i="5" s="1"/>
  <c r="AA53" i="5"/>
  <c r="AA54" i="5" s="1"/>
  <c r="AA56" i="5" s="1"/>
  <c r="AA49" i="5" s="1"/>
  <c r="AA19" i="5"/>
  <c r="AK78" i="5"/>
  <c r="AK79" i="5" s="1"/>
  <c r="AF31" i="5"/>
  <c r="T103" i="5"/>
  <c r="Y103" i="5" s="1"/>
  <c r="Y104" i="5" s="1"/>
  <c r="S103" i="5"/>
  <c r="X103" i="5" s="1"/>
  <c r="X104" i="5" s="1"/>
  <c r="S91" i="5"/>
  <c r="X91" i="5" s="1"/>
  <c r="X92" i="5" s="1"/>
  <c r="T91" i="5"/>
  <c r="Y91" i="5" s="1"/>
  <c r="Y92" i="5" s="1"/>
  <c r="S78" i="5"/>
  <c r="X78" i="5" s="1"/>
  <c r="X79" i="5" s="1"/>
  <c r="T78" i="5"/>
  <c r="Y78" i="5" s="1"/>
  <c r="Y79" i="5" s="1"/>
  <c r="S66" i="5"/>
  <c r="X66" i="5" s="1"/>
  <c r="X67" i="5" s="1"/>
  <c r="T66" i="5"/>
  <c r="Y66" i="5" s="1"/>
  <c r="Y67" i="5" s="1"/>
  <c r="S53" i="5"/>
  <c r="X53" i="5" s="1"/>
  <c r="X54" i="5" s="1"/>
  <c r="T53" i="5"/>
  <c r="Y53" i="5" s="1"/>
  <c r="Y54" i="5" s="1"/>
  <c r="S41" i="5"/>
  <c r="X41" i="5" s="1"/>
  <c r="X42" i="5" s="1"/>
  <c r="T41" i="5"/>
  <c r="Y41" i="5" s="1"/>
  <c r="Y42" i="5" s="1"/>
  <c r="R103" i="5"/>
  <c r="W103" i="5" s="1"/>
  <c r="W104" i="5" s="1"/>
  <c r="R91" i="5"/>
  <c r="W91" i="5" s="1"/>
  <c r="W92" i="5" s="1"/>
  <c r="R78" i="5"/>
  <c r="W78" i="5" s="1"/>
  <c r="W79" i="5" s="1"/>
  <c r="R66" i="5"/>
  <c r="W66" i="5" s="1"/>
  <c r="W67" i="5" s="1"/>
  <c r="R53" i="5"/>
  <c r="W53" i="5" s="1"/>
  <c r="W54" i="5" s="1"/>
  <c r="R41" i="5"/>
  <c r="W41" i="5" s="1"/>
  <c r="W42" i="5" s="1"/>
  <c r="AK66" i="5" l="1"/>
  <c r="AK67" i="5" s="1"/>
  <c r="X56" i="5"/>
  <c r="X49" i="5" s="1"/>
  <c r="W55" i="5"/>
  <c r="W56" i="5" s="1"/>
  <c r="W49" i="5" s="1"/>
  <c r="AB31" i="5"/>
  <c r="Y56" i="5"/>
  <c r="Y49" i="5" s="1"/>
  <c r="W105" i="5"/>
  <c r="W106" i="5" s="1"/>
  <c r="W99" i="5" s="1"/>
  <c r="W43" i="5"/>
  <c r="W44" i="5" s="1"/>
  <c r="W37" i="5" s="1"/>
  <c r="W93" i="5"/>
  <c r="W94" i="5" s="1"/>
  <c r="W87" i="5" s="1"/>
  <c r="W68" i="5"/>
  <c r="W69" i="5" s="1"/>
  <c r="W62" i="5" s="1"/>
  <c r="W80" i="5"/>
  <c r="W81" i="5" s="1"/>
  <c r="W74" i="5" s="1"/>
  <c r="W20" i="5"/>
  <c r="W13" i="5" s="1"/>
  <c r="AB19" i="5"/>
  <c r="AB80" i="5" s="1"/>
  <c r="AB17" i="5"/>
  <c r="AF29" i="5"/>
  <c r="AF30" i="5" s="1"/>
  <c r="AK41" i="5"/>
  <c r="AK42" i="5" s="1"/>
  <c r="AF53" i="5"/>
  <c r="AF54" i="5" s="1"/>
  <c r="AI31" i="5"/>
  <c r="AN31" i="5" s="1"/>
  <c r="AS31" i="5" s="1"/>
  <c r="AF91" i="5"/>
  <c r="AF92" i="5" s="1"/>
  <c r="AB41" i="5"/>
  <c r="AD78" i="5"/>
  <c r="AD79" i="5" s="1"/>
  <c r="AB53" i="5"/>
  <c r="AC78" i="5"/>
  <c r="AB78" i="5"/>
  <c r="AC41" i="5"/>
  <c r="AK103" i="5"/>
  <c r="AK104" i="5" s="1"/>
  <c r="AA47" i="5"/>
  <c r="AD53" i="5"/>
  <c r="AC103" i="5"/>
  <c r="AA43" i="5"/>
  <c r="AA44" i="5" s="1"/>
  <c r="AA37" i="5" s="1"/>
  <c r="AA35" i="5" s="1"/>
  <c r="AA68" i="5"/>
  <c r="AA69" i="5" s="1"/>
  <c r="AA62" i="5" s="1"/>
  <c r="AA60" i="5" s="1"/>
  <c r="AA93" i="5"/>
  <c r="AA94" i="5" s="1"/>
  <c r="AA87" i="5" s="1"/>
  <c r="AA105" i="5"/>
  <c r="AA106" i="5" s="1"/>
  <c r="AA99" i="5" s="1"/>
  <c r="AA97" i="5" s="1"/>
  <c r="AA80" i="5"/>
  <c r="AA81" i="5" s="1"/>
  <c r="AA74" i="5" s="1"/>
  <c r="AA72" i="5" s="1"/>
  <c r="AD103" i="5"/>
  <c r="AK29" i="5"/>
  <c r="AK30" i="5" s="1"/>
  <c r="AB43" i="5"/>
  <c r="AB66" i="5"/>
  <c r="AD66" i="5"/>
  <c r="AD67" i="5" s="1"/>
  <c r="AD91" i="5"/>
  <c r="AD92" i="5" s="1"/>
  <c r="AA20" i="5"/>
  <c r="AA13" i="5" s="1"/>
  <c r="AA11" i="5" s="1"/>
  <c r="AA23" i="5"/>
  <c r="AC55" i="5"/>
  <c r="AH31" i="5"/>
  <c r="AP41" i="5"/>
  <c r="AP42" i="5" s="1"/>
  <c r="AP78" i="5"/>
  <c r="AP79" i="5" s="1"/>
  <c r="AP66" i="5"/>
  <c r="AP67" i="5" s="1"/>
  <c r="AF55" i="5"/>
  <c r="AK31" i="5"/>
  <c r="AF32" i="5"/>
  <c r="AF25" i="5" s="1"/>
  <c r="AF19" i="5"/>
  <c r="AF17" i="5"/>
  <c r="K25" i="5"/>
  <c r="AB93" i="5" l="1"/>
  <c r="AB68" i="5"/>
  <c r="AB55" i="5"/>
  <c r="AG31" i="5"/>
  <c r="AB18" i="5"/>
  <c r="AB20" i="5" s="1"/>
  <c r="AB13" i="5" s="1"/>
  <c r="AG17" i="5"/>
  <c r="AB105" i="5"/>
  <c r="AG19" i="5"/>
  <c r="AL19" i="5" s="1"/>
  <c r="AL93" i="5" s="1"/>
  <c r="AA85" i="5"/>
  <c r="AA2" i="5" s="1"/>
  <c r="AI91" i="5"/>
  <c r="AI92" i="5" s="1"/>
  <c r="AN55" i="5"/>
  <c r="AF23" i="5"/>
  <c r="AP103" i="5"/>
  <c r="AP104" i="5" s="1"/>
  <c r="AF56" i="5"/>
  <c r="AF49" i="5" s="1"/>
  <c r="AP29" i="5"/>
  <c r="AP30" i="5" s="1"/>
  <c r="AI55" i="5"/>
  <c r="AK53" i="5"/>
  <c r="AC66" i="5"/>
  <c r="AC67" i="5" s="1"/>
  <c r="AC53" i="5"/>
  <c r="AC54" i="5" s="1"/>
  <c r="AC56" i="5" s="1"/>
  <c r="AC49" i="5" s="1"/>
  <c r="AK91" i="5"/>
  <c r="AC79" i="5"/>
  <c r="AB79" i="5"/>
  <c r="AB81" i="5" s="1"/>
  <c r="AB74" i="5" s="1"/>
  <c r="AG78" i="5"/>
  <c r="AG79" i="5" s="1"/>
  <c r="AG53" i="5"/>
  <c r="AG54" i="5" s="1"/>
  <c r="AB54" i="5"/>
  <c r="AB56" i="5" s="1"/>
  <c r="AB49" i="5" s="1"/>
  <c r="AG41" i="5"/>
  <c r="AG42" i="5" s="1"/>
  <c r="AB42" i="5"/>
  <c r="AB44" i="5" s="1"/>
  <c r="AB37" i="5" s="1"/>
  <c r="AD104" i="5"/>
  <c r="AC42" i="5"/>
  <c r="AG66" i="5"/>
  <c r="AG67" i="5" s="1"/>
  <c r="AB67" i="5"/>
  <c r="AB69" i="5" s="1"/>
  <c r="AB62" i="5" s="1"/>
  <c r="AI103" i="5"/>
  <c r="AI104" i="5" s="1"/>
  <c r="AH103" i="5"/>
  <c r="AM103" i="5" s="1"/>
  <c r="AM104" i="5" s="1"/>
  <c r="AC104" i="5"/>
  <c r="AH78" i="5"/>
  <c r="AH79" i="5" s="1"/>
  <c r="AN91" i="5"/>
  <c r="AN92" i="5" s="1"/>
  <c r="AB91" i="5"/>
  <c r="AM31" i="5"/>
  <c r="AH55" i="5"/>
  <c r="AD54" i="5"/>
  <c r="AD56" i="5" s="1"/>
  <c r="AD49" i="5" s="1"/>
  <c r="AI53" i="5"/>
  <c r="AI54" i="5" s="1"/>
  <c r="AI78" i="5"/>
  <c r="AI79" i="5" s="1"/>
  <c r="AI66" i="5"/>
  <c r="AI67" i="5" s="1"/>
  <c r="AB103" i="5"/>
  <c r="AC91" i="5"/>
  <c r="AH91" i="5" s="1"/>
  <c r="AH92" i="5" s="1"/>
  <c r="AH41" i="5"/>
  <c r="AH42" i="5" s="1"/>
  <c r="AD41" i="5"/>
  <c r="AL41" i="5"/>
  <c r="AL42" i="5" s="1"/>
  <c r="AF47" i="5"/>
  <c r="AP31" i="5"/>
  <c r="AK55" i="5"/>
  <c r="AK32" i="5"/>
  <c r="AK25" i="5" s="1"/>
  <c r="AS55" i="5"/>
  <c r="AF68" i="5"/>
  <c r="AF69" i="5" s="1"/>
  <c r="AF62" i="5" s="1"/>
  <c r="AF60" i="5" s="1"/>
  <c r="AK19" i="5"/>
  <c r="AF93" i="5"/>
  <c r="AF94" i="5" s="1"/>
  <c r="AF87" i="5" s="1"/>
  <c r="AF80" i="5"/>
  <c r="AF81" i="5" s="1"/>
  <c r="AF74" i="5" s="1"/>
  <c r="AF72" i="5" s="1"/>
  <c r="AF105" i="5"/>
  <c r="AF106" i="5" s="1"/>
  <c r="AF99" i="5" s="1"/>
  <c r="AF97" i="5" s="1"/>
  <c r="AF43" i="5"/>
  <c r="AF44" i="5" s="1"/>
  <c r="AF37" i="5" s="1"/>
  <c r="AF35" i="5" s="1"/>
  <c r="AF18" i="5"/>
  <c r="AF20" i="5" s="1"/>
  <c r="AF13" i="5" s="1"/>
  <c r="AK17" i="5"/>
  <c r="AK18" i="5" s="1"/>
  <c r="G18" i="5"/>
  <c r="G20" i="5" s="1"/>
  <c r="G13" i="5" s="1"/>
  <c r="AN103" i="5" l="1"/>
  <c r="AN104" i="5" s="1"/>
  <c r="AL31" i="5"/>
  <c r="AG55" i="5"/>
  <c r="AG56" i="5"/>
  <c r="AG49" i="5" s="1"/>
  <c r="AA4" i="5"/>
  <c r="AG93" i="5"/>
  <c r="AG18" i="5"/>
  <c r="AG20" i="5" s="1"/>
  <c r="AG13" i="5" s="1"/>
  <c r="AL17" i="5"/>
  <c r="AG105" i="5"/>
  <c r="AG80" i="5"/>
  <c r="AG81" i="5" s="1"/>
  <c r="AG74" i="5" s="1"/>
  <c r="AG68" i="5"/>
  <c r="AG69" i="5" s="1"/>
  <c r="AG62" i="5" s="1"/>
  <c r="AG43" i="5"/>
  <c r="AG44" i="5" s="1"/>
  <c r="AG37" i="5" s="1"/>
  <c r="AF11" i="5"/>
  <c r="AA5" i="5"/>
  <c r="AH53" i="5"/>
  <c r="AH54" i="5" s="1"/>
  <c r="AF85" i="5"/>
  <c r="AL78" i="5"/>
  <c r="AL79" i="5" s="1"/>
  <c r="AN78" i="5"/>
  <c r="AN79" i="5" s="1"/>
  <c r="AI56" i="5"/>
  <c r="AI49" i="5" s="1"/>
  <c r="AK23" i="5"/>
  <c r="AH66" i="5"/>
  <c r="AH67" i="5" s="1"/>
  <c r="AK54" i="5"/>
  <c r="AK56" i="5" s="1"/>
  <c r="AK49" i="5" s="1"/>
  <c r="AK47" i="5" s="1"/>
  <c r="AP53" i="5"/>
  <c r="AP54" i="5" s="1"/>
  <c r="AL80" i="5"/>
  <c r="AL68" i="5"/>
  <c r="AQ19" i="5"/>
  <c r="AQ93" i="5" s="1"/>
  <c r="AL43" i="5"/>
  <c r="AL44" i="5" s="1"/>
  <c r="AL37" i="5" s="1"/>
  <c r="AL105" i="5"/>
  <c r="AM78" i="5"/>
  <c r="AH56" i="5"/>
  <c r="AH49" i="5" s="1"/>
  <c r="AN53" i="5"/>
  <c r="AN54" i="5" s="1"/>
  <c r="AN56" i="5" s="1"/>
  <c r="AN49" i="5" s="1"/>
  <c r="AS103" i="5"/>
  <c r="AS104" i="5" s="1"/>
  <c r="AQ78" i="5"/>
  <c r="AQ79" i="5" s="1"/>
  <c r="AK92" i="5"/>
  <c r="AP91" i="5"/>
  <c r="AP92" i="5" s="1"/>
  <c r="AD42" i="5"/>
  <c r="AC92" i="5"/>
  <c r="AN66" i="5"/>
  <c r="AN67" i="5" s="1"/>
  <c r="AL53" i="5"/>
  <c r="AL54" i="5" s="1"/>
  <c r="AL66" i="5"/>
  <c r="AL67" i="5" s="1"/>
  <c r="AB92" i="5"/>
  <c r="AB94" i="5" s="1"/>
  <c r="AB87" i="5" s="1"/>
  <c r="AG91" i="5"/>
  <c r="AG92" i="5" s="1"/>
  <c r="AG94" i="5" s="1"/>
  <c r="AG87" i="5" s="1"/>
  <c r="AS91" i="5"/>
  <c r="AS92" i="5" s="1"/>
  <c r="AQ41" i="5"/>
  <c r="AQ42" i="5" s="1"/>
  <c r="AB104" i="5"/>
  <c r="AB106" i="5" s="1"/>
  <c r="AB99" i="5" s="1"/>
  <c r="AG103" i="5"/>
  <c r="AG104" i="5" s="1"/>
  <c r="AI41" i="5"/>
  <c r="AS53" i="5"/>
  <c r="AS54" i="5" s="1"/>
  <c r="AS56" i="5" s="1"/>
  <c r="AS49" i="5" s="1"/>
  <c r="AM55" i="5"/>
  <c r="AR31" i="5"/>
  <c r="AM41" i="5"/>
  <c r="AM42" i="5" s="1"/>
  <c r="AH104" i="5"/>
  <c r="AR103" i="5"/>
  <c r="AR104" i="5" s="1"/>
  <c r="AM91" i="5"/>
  <c r="AM92" i="5" s="1"/>
  <c r="AK20" i="5"/>
  <c r="AK13" i="5" s="1"/>
  <c r="AP55" i="5"/>
  <c r="AP32" i="5"/>
  <c r="AP25" i="5" s="1"/>
  <c r="AP23" i="5" s="1"/>
  <c r="AK80" i="5"/>
  <c r="AK81" i="5" s="1"/>
  <c r="AK74" i="5" s="1"/>
  <c r="AK72" i="5" s="1"/>
  <c r="AK68" i="5"/>
  <c r="AK69" i="5" s="1"/>
  <c r="AK62" i="5" s="1"/>
  <c r="AK60" i="5" s="1"/>
  <c r="AK93" i="5"/>
  <c r="AK43" i="5"/>
  <c r="AK44" i="5" s="1"/>
  <c r="AK37" i="5" s="1"/>
  <c r="AK35" i="5" s="1"/>
  <c r="AP19" i="5"/>
  <c r="AK105" i="5"/>
  <c r="AK106" i="5" s="1"/>
  <c r="AK99" i="5" s="1"/>
  <c r="AK97" i="5" s="1"/>
  <c r="AP17" i="5"/>
  <c r="AP18" i="5" s="1"/>
  <c r="R105" i="5"/>
  <c r="S19" i="5"/>
  <c r="X19" i="5" s="1"/>
  <c r="T19" i="5"/>
  <c r="Y19" i="5" s="1"/>
  <c r="B18" i="5"/>
  <c r="AM53" i="5" l="1"/>
  <c r="AM54" i="5" s="1"/>
  <c r="AQ31" i="5"/>
  <c r="AQ55" i="5" s="1"/>
  <c r="AL55" i="5"/>
  <c r="AL56" i="5" s="1"/>
  <c r="AL49" i="5" s="1"/>
  <c r="AK94" i="5"/>
  <c r="AK87" i="5" s="1"/>
  <c r="AK85" i="5" s="1"/>
  <c r="X105" i="5"/>
  <c r="X106" i="5" s="1"/>
  <c r="X99" i="5" s="1"/>
  <c r="X43" i="5"/>
  <c r="X44" i="5" s="1"/>
  <c r="X37" i="5" s="1"/>
  <c r="X68" i="5"/>
  <c r="X69" i="5" s="1"/>
  <c r="X62" i="5" s="1"/>
  <c r="X80" i="5"/>
  <c r="X81" i="5" s="1"/>
  <c r="X74" i="5" s="1"/>
  <c r="X93" i="5"/>
  <c r="X94" i="5" s="1"/>
  <c r="X87" i="5" s="1"/>
  <c r="AG106" i="5"/>
  <c r="AG99" i="5" s="1"/>
  <c r="Y105" i="5"/>
  <c r="Y106" i="5" s="1"/>
  <c r="Y99" i="5" s="1"/>
  <c r="Y93" i="5"/>
  <c r="Y94" i="5" s="1"/>
  <c r="Y87" i="5" s="1"/>
  <c r="Y43" i="5"/>
  <c r="Y44" i="5" s="1"/>
  <c r="Y37" i="5" s="1"/>
  <c r="Y68" i="5"/>
  <c r="Y69" i="5" s="1"/>
  <c r="Y62" i="5" s="1"/>
  <c r="Y80" i="5"/>
  <c r="Y81" i="5" s="1"/>
  <c r="Y74" i="5" s="1"/>
  <c r="AA112" i="5"/>
  <c r="AL18" i="5"/>
  <c r="AL20" i="5" s="1"/>
  <c r="AL13" i="5" s="1"/>
  <c r="AQ17" i="5"/>
  <c r="AQ18" i="5" s="1"/>
  <c r="AR53" i="5"/>
  <c r="AR54" i="5" s="1"/>
  <c r="AM56" i="5"/>
  <c r="AM49" i="5" s="1"/>
  <c r="AA113" i="5"/>
  <c r="AA111" i="5"/>
  <c r="AF2" i="5"/>
  <c r="AP20" i="5"/>
  <c r="AP13" i="5" s="1"/>
  <c r="AK11" i="5"/>
  <c r="AF5" i="5"/>
  <c r="AL81" i="5"/>
  <c r="AL74" i="5" s="1"/>
  <c r="AS78" i="5"/>
  <c r="AS79" i="5" s="1"/>
  <c r="AL69" i="5"/>
  <c r="AL62" i="5" s="1"/>
  <c r="AM66" i="5"/>
  <c r="AM67" i="5" s="1"/>
  <c r="AM79" i="5"/>
  <c r="AR78" i="5"/>
  <c r="AR79" i="5" s="1"/>
  <c r="AP56" i="5"/>
  <c r="AP49" i="5" s="1"/>
  <c r="AP47" i="5" s="1"/>
  <c r="AQ53" i="5"/>
  <c r="AQ54" i="5" s="1"/>
  <c r="AQ56" i="5" s="1"/>
  <c r="AQ49" i="5" s="1"/>
  <c r="AL91" i="5"/>
  <c r="AL92" i="5" s="1"/>
  <c r="AL94" i="5" s="1"/>
  <c r="AL87" i="5" s="1"/>
  <c r="AR91" i="5"/>
  <c r="AR92" i="5" s="1"/>
  <c r="AQ105" i="5"/>
  <c r="AQ68" i="5"/>
  <c r="AQ43" i="5"/>
  <c r="AQ44" i="5" s="1"/>
  <c r="AQ37" i="5" s="1"/>
  <c r="AQ80" i="5"/>
  <c r="AQ81" i="5" s="1"/>
  <c r="AQ74" i="5" s="1"/>
  <c r="AQ20" i="5"/>
  <c r="AQ13" i="5" s="1"/>
  <c r="S105" i="5"/>
  <c r="AQ66" i="5"/>
  <c r="AQ67" i="5" s="1"/>
  <c r="AI42" i="5"/>
  <c r="AN41" i="5"/>
  <c r="AN42" i="5" s="1"/>
  <c r="AL103" i="5"/>
  <c r="AL104" i="5" s="1"/>
  <c r="AL106" i="5" s="1"/>
  <c r="AL99" i="5" s="1"/>
  <c r="AD19" i="5"/>
  <c r="AS66" i="5"/>
  <c r="AS67" i="5" s="1"/>
  <c r="AR55" i="5"/>
  <c r="AR56" i="5" s="1"/>
  <c r="AR49" i="5" s="1"/>
  <c r="AR41" i="5"/>
  <c r="AR42" i="5" s="1"/>
  <c r="AP68" i="5"/>
  <c r="AP69" i="5" s="1"/>
  <c r="AP62" i="5" s="1"/>
  <c r="AP60" i="5" s="1"/>
  <c r="AP93" i="5"/>
  <c r="AP94" i="5" s="1"/>
  <c r="AP87" i="5" s="1"/>
  <c r="AP80" i="5"/>
  <c r="AP81" i="5" s="1"/>
  <c r="AP74" i="5" s="1"/>
  <c r="AP72" i="5" s="1"/>
  <c r="AP105" i="5"/>
  <c r="AP106" i="5" s="1"/>
  <c r="AP99" i="5" s="1"/>
  <c r="AP97" i="5" s="1"/>
  <c r="AP43" i="5"/>
  <c r="AP44" i="5" s="1"/>
  <c r="AP37" i="5" s="1"/>
  <c r="AP35" i="5" s="1"/>
  <c r="R104" i="5"/>
  <c r="R106" i="5" s="1"/>
  <c r="R99" i="5" s="1"/>
  <c r="R97" i="5" s="1"/>
  <c r="T68" i="5"/>
  <c r="T105" i="5"/>
  <c r="S55" i="5"/>
  <c r="S93" i="5"/>
  <c r="S80" i="5"/>
  <c r="S43" i="5"/>
  <c r="S68" i="5"/>
  <c r="R55" i="5"/>
  <c r="R68" i="5"/>
  <c r="R80" i="5"/>
  <c r="R93" i="5"/>
  <c r="T55" i="5"/>
  <c r="T93" i="5"/>
  <c r="T80" i="5"/>
  <c r="T43" i="5"/>
  <c r="R11" i="5"/>
  <c r="W11" i="5" s="1"/>
  <c r="R92" i="5"/>
  <c r="R67" i="5"/>
  <c r="R42" i="5"/>
  <c r="R79" i="5"/>
  <c r="S17" i="5"/>
  <c r="X17" i="5" s="1"/>
  <c r="X18" i="5" s="1"/>
  <c r="X20" i="5" s="1"/>
  <c r="X13" i="5" s="1"/>
  <c r="H7" i="6"/>
  <c r="AK2" i="5" l="1"/>
  <c r="AP85" i="5"/>
  <c r="AF111" i="5"/>
  <c r="Q108" i="5"/>
  <c r="W97" i="5"/>
  <c r="AF4" i="5"/>
  <c r="AF113" i="5"/>
  <c r="AF112" i="5"/>
  <c r="AP11" i="5"/>
  <c r="AP2" i="5" s="1"/>
  <c r="AK5" i="5"/>
  <c r="AR66" i="5"/>
  <c r="AR67" i="5" s="1"/>
  <c r="AQ69" i="5"/>
  <c r="AQ62" i="5" s="1"/>
  <c r="AQ91" i="5"/>
  <c r="AQ92" i="5" s="1"/>
  <c r="AQ94" i="5" s="1"/>
  <c r="AQ87" i="5" s="1"/>
  <c r="D61" i="8"/>
  <c r="D62" i="8" s="1"/>
  <c r="D57" i="8"/>
  <c r="D58" i="8" s="1"/>
  <c r="AQ103" i="5"/>
  <c r="AQ104" i="5" s="1"/>
  <c r="AQ106" i="5" s="1"/>
  <c r="AQ99" i="5" s="1"/>
  <c r="H10" i="6"/>
  <c r="AC19" i="5"/>
  <c r="S104" i="5"/>
  <c r="S106" i="5" s="1"/>
  <c r="S99" i="5" s="1"/>
  <c r="S97" i="5" s="1"/>
  <c r="X97" i="5" s="1"/>
  <c r="AS41" i="5"/>
  <c r="AS42" i="5" s="1"/>
  <c r="AD80" i="5"/>
  <c r="AD81" i="5" s="1"/>
  <c r="AD74" i="5" s="1"/>
  <c r="AD105" i="5"/>
  <c r="AD106" i="5" s="1"/>
  <c r="AD99" i="5" s="1"/>
  <c r="AD43" i="5"/>
  <c r="AD44" i="5" s="1"/>
  <c r="AD37" i="5" s="1"/>
  <c r="AD68" i="5"/>
  <c r="AD69" i="5" s="1"/>
  <c r="AD62" i="5" s="1"/>
  <c r="AD93" i="5"/>
  <c r="AD94" i="5" s="1"/>
  <c r="AD87" i="5" s="1"/>
  <c r="AI19" i="5"/>
  <c r="R69" i="5"/>
  <c r="R62" i="5" s="1"/>
  <c r="R94" i="5"/>
  <c r="R87" i="5" s="1"/>
  <c r="R85" i="5" s="1"/>
  <c r="R81" i="5"/>
  <c r="R74" i="5" s="1"/>
  <c r="R72" i="5" s="1"/>
  <c r="W72" i="5" s="1"/>
  <c r="S18" i="5"/>
  <c r="S20" i="5" s="1"/>
  <c r="S13" i="5" s="1"/>
  <c r="S92" i="5"/>
  <c r="S94" i="5" s="1"/>
  <c r="S87" i="5" s="1"/>
  <c r="S85" i="5" s="1"/>
  <c r="X85" i="5" s="1"/>
  <c r="S42" i="5"/>
  <c r="S44" i="5" s="1"/>
  <c r="S37" i="5" s="1"/>
  <c r="S35" i="5" s="1"/>
  <c r="X35" i="5" s="1"/>
  <c r="S67" i="5"/>
  <c r="S69" i="5" s="1"/>
  <c r="S62" i="5" s="1"/>
  <c r="S60" i="5" s="1"/>
  <c r="X60" i="5" s="1"/>
  <c r="S79" i="5"/>
  <c r="S81" i="5" s="1"/>
  <c r="S74" i="5" s="1"/>
  <c r="S72" i="5" s="1"/>
  <c r="X72" i="5" s="1"/>
  <c r="R44" i="5"/>
  <c r="H12" i="6"/>
  <c r="P79" i="5"/>
  <c r="B79" i="5"/>
  <c r="B67" i="5"/>
  <c r="B69" i="5" s="1"/>
  <c r="F6" i="6"/>
  <c r="G2" i="5"/>
  <c r="H2" i="5"/>
  <c r="I2" i="5"/>
  <c r="B53" i="10"/>
  <c r="C53" i="10"/>
  <c r="D53" i="10"/>
  <c r="E53" i="10"/>
  <c r="G113" i="5" l="1"/>
  <c r="G111" i="5"/>
  <c r="G112" i="5"/>
  <c r="I112" i="5"/>
  <c r="I113" i="5"/>
  <c r="I111" i="5"/>
  <c r="H113" i="5"/>
  <c r="M4" i="5"/>
  <c r="H111" i="5"/>
  <c r="H112" i="5"/>
  <c r="AK4" i="5"/>
  <c r="AK112" i="5"/>
  <c r="AK113" i="5"/>
  <c r="AK111" i="5"/>
  <c r="W85" i="5"/>
  <c r="E57" i="10"/>
  <c r="R60" i="5"/>
  <c r="W60" i="5" s="1"/>
  <c r="R37" i="5"/>
  <c r="R35" i="5" s="1"/>
  <c r="W35" i="5" s="1"/>
  <c r="S11" i="5"/>
  <c r="X11" i="5" s="1"/>
  <c r="AP112" i="5"/>
  <c r="AP4" i="5"/>
  <c r="AP113" i="5"/>
  <c r="AB97" i="5"/>
  <c r="AP5" i="5"/>
  <c r="AP111" i="5" s="1"/>
  <c r="AB11" i="5"/>
  <c r="D64" i="8"/>
  <c r="F29" i="6"/>
  <c r="F32" i="6"/>
  <c r="F34" i="6"/>
  <c r="F15" i="6"/>
  <c r="F22" i="6"/>
  <c r="F18" i="6"/>
  <c r="F24" i="6"/>
  <c r="AB85" i="5"/>
  <c r="AC80" i="5"/>
  <c r="AC81" i="5" s="1"/>
  <c r="AC74" i="5" s="1"/>
  <c r="AC72" i="5" s="1"/>
  <c r="AC105" i="5"/>
  <c r="AC106" i="5" s="1"/>
  <c r="AC99" i="5" s="1"/>
  <c r="AC43" i="5"/>
  <c r="AC44" i="5" s="1"/>
  <c r="AC37" i="5" s="1"/>
  <c r="AC68" i="5"/>
  <c r="AC69" i="5" s="1"/>
  <c r="AC62" i="5" s="1"/>
  <c r="AC60" i="5" s="1"/>
  <c r="AC93" i="5"/>
  <c r="AC94" i="5" s="1"/>
  <c r="AC87" i="5" s="1"/>
  <c r="AC85" i="5" s="1"/>
  <c r="AH19" i="5"/>
  <c r="AI80" i="5"/>
  <c r="AI81" i="5" s="1"/>
  <c r="AI74" i="5" s="1"/>
  <c r="AI43" i="5"/>
  <c r="AI44" i="5" s="1"/>
  <c r="AI37" i="5" s="1"/>
  <c r="AI93" i="5"/>
  <c r="AI94" i="5" s="1"/>
  <c r="AI87" i="5" s="1"/>
  <c r="AN19" i="5"/>
  <c r="AI68" i="5"/>
  <c r="AI69" i="5" s="1"/>
  <c r="AI62" i="5" s="1"/>
  <c r="AI105" i="5"/>
  <c r="AI106" i="5" s="1"/>
  <c r="AI99" i="5" s="1"/>
  <c r="AC17" i="5"/>
  <c r="J3" i="5"/>
  <c r="B42" i="8"/>
  <c r="C42" i="8"/>
  <c r="D42" i="8"/>
  <c r="B33" i="8"/>
  <c r="B35" i="8" s="1"/>
  <c r="C33" i="8"/>
  <c r="C35" i="8" s="1"/>
  <c r="C6" i="21" s="1"/>
  <c r="D33" i="8"/>
  <c r="D35" i="8" s="1"/>
  <c r="D6" i="21" s="1"/>
  <c r="G53" i="6"/>
  <c r="H53" i="6"/>
  <c r="F53" i="6"/>
  <c r="G49" i="6"/>
  <c r="H49" i="6"/>
  <c r="F49" i="6"/>
  <c r="F7" i="6"/>
  <c r="G7" i="6"/>
  <c r="I7" i="6"/>
  <c r="E61" i="8" s="1"/>
  <c r="AG97" i="5" l="1"/>
  <c r="AL97" i="5" s="1"/>
  <c r="AQ97" i="5" s="1"/>
  <c r="AB35" i="5"/>
  <c r="AG11" i="5"/>
  <c r="AB60" i="5"/>
  <c r="AB72" i="5"/>
  <c r="AG85" i="5"/>
  <c r="G5" i="10"/>
  <c r="I5" i="10"/>
  <c r="H5" i="10"/>
  <c r="J5" i="10"/>
  <c r="E57" i="8"/>
  <c r="E58" i="8" s="1"/>
  <c r="B52" i="8"/>
  <c r="B53" i="8" s="1"/>
  <c r="C61" i="8"/>
  <c r="C62" i="8" s="1"/>
  <c r="C57" i="8"/>
  <c r="C58" i="8" s="1"/>
  <c r="F8" i="6"/>
  <c r="B61" i="8"/>
  <c r="B62" i="8" s="1"/>
  <c r="B57" i="8"/>
  <c r="B58" i="8" s="1"/>
  <c r="D52" i="8"/>
  <c r="C52" i="8"/>
  <c r="AN105" i="5"/>
  <c r="AN106" i="5" s="1"/>
  <c r="AN99" i="5" s="1"/>
  <c r="AS19" i="5"/>
  <c r="AN68" i="5"/>
  <c r="AN69" i="5" s="1"/>
  <c r="AN62" i="5" s="1"/>
  <c r="AN80" i="5"/>
  <c r="AN81" i="5" s="1"/>
  <c r="AN74" i="5" s="1"/>
  <c r="AN93" i="5"/>
  <c r="AN94" i="5" s="1"/>
  <c r="AN87" i="5" s="1"/>
  <c r="AN43" i="5"/>
  <c r="AN44" i="5" s="1"/>
  <c r="AN37" i="5" s="1"/>
  <c r="AC35" i="5"/>
  <c r="AC18" i="5"/>
  <c r="AC20" i="5" s="1"/>
  <c r="AC13" i="5" s="1"/>
  <c r="AH17" i="5"/>
  <c r="AH18" i="5" s="1"/>
  <c r="AH20" i="5" s="1"/>
  <c r="AH13" i="5" s="1"/>
  <c r="AH93" i="5"/>
  <c r="AH94" i="5" s="1"/>
  <c r="AH87" i="5" s="1"/>
  <c r="AH85" i="5" s="1"/>
  <c r="AH105" i="5"/>
  <c r="AH106" i="5" s="1"/>
  <c r="AH99" i="5" s="1"/>
  <c r="AH68" i="5"/>
  <c r="AH69" i="5" s="1"/>
  <c r="AH62" i="5" s="1"/>
  <c r="AH60" i="5" s="1"/>
  <c r="AH43" i="5"/>
  <c r="AH44" i="5" s="1"/>
  <c r="AH37" i="5" s="1"/>
  <c r="AH80" i="5"/>
  <c r="AH81" i="5" s="1"/>
  <c r="AH74" i="5" s="1"/>
  <c r="AH72" i="5" s="1"/>
  <c r="AM19" i="5"/>
  <c r="AC97" i="5"/>
  <c r="I10" i="6"/>
  <c r="I12" i="6"/>
  <c r="G10" i="6"/>
  <c r="G12" i="6"/>
  <c r="F10" i="6"/>
  <c r="F12" i="6"/>
  <c r="F13" i="6"/>
  <c r="K24" i="5"/>
  <c r="P24" i="5"/>
  <c r="K12" i="5"/>
  <c r="P12" i="5"/>
  <c r="N2" i="5"/>
  <c r="O2" i="5"/>
  <c r="E2" i="5"/>
  <c r="J4" i="5" s="1"/>
  <c r="C2" i="5"/>
  <c r="H4" i="5" s="1"/>
  <c r="D2" i="5"/>
  <c r="I4" i="5" s="1"/>
  <c r="B2" i="5"/>
  <c r="G4" i="5" s="1"/>
  <c r="O4" i="5" l="1"/>
  <c r="O112" i="5"/>
  <c r="O113" i="5"/>
  <c r="O111" i="5"/>
  <c r="O3" i="5"/>
  <c r="N113" i="5"/>
  <c r="N111" i="5"/>
  <c r="N4" i="5"/>
  <c r="N112" i="5"/>
  <c r="Q4" i="5"/>
  <c r="L4" i="5"/>
  <c r="L111" i="5"/>
  <c r="L113" i="5"/>
  <c r="L112" i="5"/>
  <c r="F64" i="8"/>
  <c r="AC11" i="5"/>
  <c r="AH11" i="5" s="1"/>
  <c r="AG72" i="5"/>
  <c r="AG60" i="5"/>
  <c r="AL11" i="5"/>
  <c r="F2" i="5"/>
  <c r="AG35" i="5"/>
  <c r="AL85" i="5"/>
  <c r="B64" i="8"/>
  <c r="C64" i="8"/>
  <c r="E62" i="8"/>
  <c r="AH97" i="5"/>
  <c r="B28" i="8"/>
  <c r="AM105" i="5"/>
  <c r="AM106" i="5" s="1"/>
  <c r="AM99" i="5" s="1"/>
  <c r="AM93" i="5"/>
  <c r="AM94" i="5" s="1"/>
  <c r="AM87" i="5" s="1"/>
  <c r="AM85" i="5" s="1"/>
  <c r="AM80" i="5"/>
  <c r="AM81" i="5" s="1"/>
  <c r="AM74" i="5" s="1"/>
  <c r="AM72" i="5" s="1"/>
  <c r="AM68" i="5"/>
  <c r="AM69" i="5" s="1"/>
  <c r="AM62" i="5" s="1"/>
  <c r="AM60" i="5" s="1"/>
  <c r="AR19" i="5"/>
  <c r="AM43" i="5"/>
  <c r="AM44" i="5" s="1"/>
  <c r="AM37" i="5" s="1"/>
  <c r="AH35" i="5"/>
  <c r="AS68" i="5"/>
  <c r="AS69" i="5" s="1"/>
  <c r="AS62" i="5" s="1"/>
  <c r="AS80" i="5"/>
  <c r="AS81" i="5" s="1"/>
  <c r="AS74" i="5" s="1"/>
  <c r="AS105" i="5"/>
  <c r="AS106" i="5" s="1"/>
  <c r="AS99" i="5" s="1"/>
  <c r="AS43" i="5"/>
  <c r="AS44" i="5" s="1"/>
  <c r="AS37" i="5" s="1"/>
  <c r="AS93" i="5"/>
  <c r="AS94" i="5" s="1"/>
  <c r="AS87" i="5" s="1"/>
  <c r="AM17" i="5"/>
  <c r="H18" i="5"/>
  <c r="B30" i="5"/>
  <c r="F80" i="5"/>
  <c r="K93" i="5"/>
  <c r="P93" i="5"/>
  <c r="C79" i="5"/>
  <c r="F78" i="5"/>
  <c r="G79" i="5"/>
  <c r="K79" i="5"/>
  <c r="F68" i="5"/>
  <c r="K68" i="5"/>
  <c r="P68" i="5"/>
  <c r="C67" i="5"/>
  <c r="D67" i="5"/>
  <c r="E67" i="5"/>
  <c r="F66" i="5"/>
  <c r="F67" i="5" s="1"/>
  <c r="G67" i="5"/>
  <c r="H67" i="5"/>
  <c r="I67" i="5"/>
  <c r="J67" i="5"/>
  <c r="K67" i="5"/>
  <c r="M67" i="5"/>
  <c r="N67" i="5"/>
  <c r="P67" i="5"/>
  <c r="F55" i="5"/>
  <c r="B54" i="5"/>
  <c r="C54" i="5"/>
  <c r="D54" i="5"/>
  <c r="E54" i="5"/>
  <c r="F53" i="5"/>
  <c r="F54" i="5" s="1"/>
  <c r="G54" i="5"/>
  <c r="H54" i="5"/>
  <c r="I54" i="5"/>
  <c r="K54" i="5"/>
  <c r="M54" i="5"/>
  <c r="N54" i="5"/>
  <c r="P54" i="5"/>
  <c r="J54" i="5"/>
  <c r="F43" i="5"/>
  <c r="B42" i="5"/>
  <c r="C42" i="5"/>
  <c r="D42" i="5"/>
  <c r="E42" i="5"/>
  <c r="F41" i="5"/>
  <c r="F42" i="5" s="1"/>
  <c r="G42" i="5"/>
  <c r="P42" i="5"/>
  <c r="F19" i="6"/>
  <c r="F79" i="6" s="1"/>
  <c r="G6" i="6"/>
  <c r="G32" i="6" s="1"/>
  <c r="F98" i="5"/>
  <c r="G12" i="5"/>
  <c r="F112" i="5" l="1"/>
  <c r="G82" i="6"/>
  <c r="G84" i="6" s="1"/>
  <c r="F113" i="5"/>
  <c r="F111" i="5"/>
  <c r="K4" i="5"/>
  <c r="I3" i="6"/>
  <c r="P112" i="5"/>
  <c r="P113" i="5"/>
  <c r="I82" i="6"/>
  <c r="I84" i="6" s="1"/>
  <c r="P4" i="5"/>
  <c r="P111" i="5"/>
  <c r="AQ11" i="5"/>
  <c r="AL72" i="5"/>
  <c r="AQ85" i="5"/>
  <c r="AL35" i="5"/>
  <c r="AL60" i="5"/>
  <c r="AM97" i="5"/>
  <c r="G34" i="6"/>
  <c r="F25" i="6"/>
  <c r="F20" i="6"/>
  <c r="AM35" i="5"/>
  <c r="AM18" i="5"/>
  <c r="AM20" i="5" s="1"/>
  <c r="AM13" i="5" s="1"/>
  <c r="AM11" i="5" s="1"/>
  <c r="AR17" i="5"/>
  <c r="AR18" i="5" s="1"/>
  <c r="AR20" i="5" s="1"/>
  <c r="AR13" i="5" s="1"/>
  <c r="AR80" i="5"/>
  <c r="AR81" i="5" s="1"/>
  <c r="AR74" i="5" s="1"/>
  <c r="AR72" i="5" s="1"/>
  <c r="AR105" i="5"/>
  <c r="AR106" i="5" s="1"/>
  <c r="AR99" i="5" s="1"/>
  <c r="AR93" i="5"/>
  <c r="AR94" i="5" s="1"/>
  <c r="AR87" i="5" s="1"/>
  <c r="AR85" i="5" s="1"/>
  <c r="AR68" i="5"/>
  <c r="AR69" i="5" s="1"/>
  <c r="AR62" i="5" s="1"/>
  <c r="AR60" i="5" s="1"/>
  <c r="AR43" i="5"/>
  <c r="AR44" i="5" s="1"/>
  <c r="AR37" i="5" s="1"/>
  <c r="G13" i="6"/>
  <c r="G19" i="6" s="1"/>
  <c r="G24" i="6"/>
  <c r="G22" i="6"/>
  <c r="G15" i="6"/>
  <c r="G18" i="6"/>
  <c r="G8" i="6"/>
  <c r="M56" i="5"/>
  <c r="I92" i="5"/>
  <c r="I94" i="5" s="1"/>
  <c r="I87" i="5" s="1"/>
  <c r="I79" i="5"/>
  <c r="I81" i="5" s="1"/>
  <c r="M92" i="5"/>
  <c r="M94" i="5" s="1"/>
  <c r="M79" i="5"/>
  <c r="M81" i="5" s="1"/>
  <c r="N104" i="5"/>
  <c r="N79" i="5"/>
  <c r="N81" i="5" s="1"/>
  <c r="N74" i="5" s="1"/>
  <c r="H104" i="5"/>
  <c r="H79" i="5"/>
  <c r="H81" i="5" s="1"/>
  <c r="M69" i="5"/>
  <c r="J92" i="5"/>
  <c r="J79" i="5"/>
  <c r="J81" i="5" s="1"/>
  <c r="F103" i="5"/>
  <c r="F104" i="5" s="1"/>
  <c r="F79" i="5"/>
  <c r="D92" i="5"/>
  <c r="D94" i="5" s="1"/>
  <c r="D87" i="5" s="1"/>
  <c r="D79" i="5"/>
  <c r="D81" i="5" s="1"/>
  <c r="D74" i="5" s="1"/>
  <c r="E92" i="5"/>
  <c r="E94" i="5" s="1"/>
  <c r="E87" i="5" s="1"/>
  <c r="E79" i="5"/>
  <c r="E81" i="5" s="1"/>
  <c r="E74" i="5" s="1"/>
  <c r="B81" i="5"/>
  <c r="B74" i="5" s="1"/>
  <c r="F44" i="5"/>
  <c r="B44" i="5"/>
  <c r="B37" i="5" s="1"/>
  <c r="I69" i="5"/>
  <c r="E69" i="5"/>
  <c r="E62" i="5" s="1"/>
  <c r="K56" i="5"/>
  <c r="F56" i="5"/>
  <c r="F49" i="5" s="1"/>
  <c r="B56" i="5"/>
  <c r="B49" i="5" s="1"/>
  <c r="K69" i="5"/>
  <c r="G69" i="5"/>
  <c r="C69" i="5"/>
  <c r="C62" i="5" s="1"/>
  <c r="E44" i="5"/>
  <c r="E37" i="5" s="1"/>
  <c r="P44" i="5"/>
  <c r="G44" i="5"/>
  <c r="G37" i="5" s="1"/>
  <c r="C44" i="5"/>
  <c r="C37" i="5" s="1"/>
  <c r="N56" i="5"/>
  <c r="I56" i="5"/>
  <c r="E56" i="5"/>
  <c r="E49" i="5" s="1"/>
  <c r="N69" i="5"/>
  <c r="J69" i="5"/>
  <c r="F69" i="5"/>
  <c r="F62" i="5" s="1"/>
  <c r="H56" i="5"/>
  <c r="H49" i="5" s="1"/>
  <c r="D56" i="5"/>
  <c r="D49" i="5" s="1"/>
  <c r="N92" i="5"/>
  <c r="B62" i="5"/>
  <c r="P104" i="5"/>
  <c r="P92" i="5"/>
  <c r="P94" i="5" s="1"/>
  <c r="G81" i="5"/>
  <c r="G74" i="5" s="1"/>
  <c r="C81" i="5"/>
  <c r="C74" i="5" s="1"/>
  <c r="D44" i="5"/>
  <c r="D37" i="5" s="1"/>
  <c r="J56" i="5"/>
  <c r="J49" i="5" s="1"/>
  <c r="P56" i="5"/>
  <c r="G56" i="5"/>
  <c r="G49" i="5" s="1"/>
  <c r="C56" i="5"/>
  <c r="C49" i="5" s="1"/>
  <c r="P69" i="5"/>
  <c r="H69" i="5"/>
  <c r="D69" i="5"/>
  <c r="D62" i="5" s="1"/>
  <c r="P81" i="5"/>
  <c r="K81" i="5"/>
  <c r="F81" i="5"/>
  <c r="F74" i="5" s="1"/>
  <c r="B92" i="5"/>
  <c r="G30" i="5"/>
  <c r="H30" i="5"/>
  <c r="I30" i="5"/>
  <c r="I32" i="5" s="1"/>
  <c r="I25" i="5" s="1"/>
  <c r="J30" i="5"/>
  <c r="M30" i="5"/>
  <c r="N30" i="5"/>
  <c r="H6" i="6"/>
  <c r="H32" i="6" s="1"/>
  <c r="G79" i="6" l="1"/>
  <c r="C23" i="17"/>
  <c r="I6" i="6"/>
  <c r="E36" i="13"/>
  <c r="Z14" i="8"/>
  <c r="AR97" i="5"/>
  <c r="G92" i="6"/>
  <c r="G85" i="6"/>
  <c r="AR11" i="5"/>
  <c r="AQ60" i="5"/>
  <c r="AQ35" i="5"/>
  <c r="AQ72" i="5"/>
  <c r="AR35" i="5"/>
  <c r="G62" i="8"/>
  <c r="G64" i="8" s="1"/>
  <c r="H34" i="6"/>
  <c r="K74" i="5"/>
  <c r="K73" i="5" s="1"/>
  <c r="P62" i="5"/>
  <c r="P61" i="5" s="1"/>
  <c r="G25" i="6"/>
  <c r="G20" i="6"/>
  <c r="P49" i="5"/>
  <c r="P48" i="5" s="1"/>
  <c r="P36" i="5"/>
  <c r="K62" i="5"/>
  <c r="K61" i="5" s="1"/>
  <c r="H13" i="6"/>
  <c r="H19" i="6" s="1"/>
  <c r="D23" i="17" s="1"/>
  <c r="H18" i="6"/>
  <c r="H24" i="6"/>
  <c r="H22" i="6"/>
  <c r="H15" i="6"/>
  <c r="H8" i="6"/>
  <c r="P74" i="5"/>
  <c r="P73" i="5" s="1"/>
  <c r="P87" i="5"/>
  <c r="P86" i="5" s="1"/>
  <c r="K49" i="5"/>
  <c r="K48" i="5" s="1"/>
  <c r="E104" i="5"/>
  <c r="E106" i="5" s="1"/>
  <c r="E99" i="5" s="1"/>
  <c r="E98" i="5" s="1"/>
  <c r="M87" i="5"/>
  <c r="M86" i="5" s="1"/>
  <c r="N73" i="5"/>
  <c r="M74" i="5"/>
  <c r="M73" i="5" s="1"/>
  <c r="J74" i="5"/>
  <c r="J73" i="5" s="1"/>
  <c r="I74" i="5"/>
  <c r="I73" i="5" s="1"/>
  <c r="H74" i="5"/>
  <c r="H73" i="5" s="1"/>
  <c r="G73" i="5"/>
  <c r="N62" i="5"/>
  <c r="N61" i="5" s="1"/>
  <c r="M62" i="5"/>
  <c r="M61" i="5" s="1"/>
  <c r="J62" i="5"/>
  <c r="J61" i="5" s="1"/>
  <c r="I62" i="5"/>
  <c r="I61" i="5" s="1"/>
  <c r="H62" i="5"/>
  <c r="H61" i="5" s="1"/>
  <c r="G62" i="5"/>
  <c r="G61" i="5" s="1"/>
  <c r="N49" i="5"/>
  <c r="N48" i="5" s="1"/>
  <c r="M49" i="5"/>
  <c r="M48" i="5" s="1"/>
  <c r="J48" i="5"/>
  <c r="I49" i="5"/>
  <c r="I48" i="5" s="1"/>
  <c r="H48" i="5"/>
  <c r="G48" i="5"/>
  <c r="G36" i="5"/>
  <c r="J104" i="5"/>
  <c r="S29" i="5"/>
  <c r="M104" i="5"/>
  <c r="M106" i="5" s="1"/>
  <c r="H92" i="5"/>
  <c r="H94" i="5" s="1"/>
  <c r="E30" i="5"/>
  <c r="E32" i="5" s="1"/>
  <c r="E25" i="5" s="1"/>
  <c r="D30" i="5"/>
  <c r="D32" i="5" s="1"/>
  <c r="D25" i="5" s="1"/>
  <c r="C30" i="5"/>
  <c r="C32" i="5" s="1"/>
  <c r="C25" i="5" s="1"/>
  <c r="R29" i="5"/>
  <c r="W29" i="5" s="1"/>
  <c r="W30" i="5" s="1"/>
  <c r="W32" i="5" s="1"/>
  <c r="W25" i="5" s="1"/>
  <c r="D104" i="5"/>
  <c r="D106" i="5" s="1"/>
  <c r="D99" i="5" s="1"/>
  <c r="G32" i="5"/>
  <c r="G25" i="5" s="1"/>
  <c r="I86" i="5"/>
  <c r="B94" i="5"/>
  <c r="B87" i="5" s="1"/>
  <c r="F35" i="6"/>
  <c r="I104" i="5"/>
  <c r="I106" i="5" s="1"/>
  <c r="H106" i="5"/>
  <c r="B104" i="5"/>
  <c r="B106" i="5" s="1"/>
  <c r="B99" i="5" s="1"/>
  <c r="C104" i="5"/>
  <c r="C106" i="5" s="1"/>
  <c r="C99" i="5" s="1"/>
  <c r="C92" i="5"/>
  <c r="C94" i="5" s="1"/>
  <c r="C87" i="5" s="1"/>
  <c r="K92" i="5"/>
  <c r="K94" i="5" s="1"/>
  <c r="K104" i="5"/>
  <c r="K106" i="5" s="1"/>
  <c r="F105" i="5"/>
  <c r="F106" i="5" s="1"/>
  <c r="N94" i="5"/>
  <c r="N87" i="5" s="1"/>
  <c r="N106" i="5"/>
  <c r="J94" i="5"/>
  <c r="G92" i="5"/>
  <c r="G94" i="5" s="1"/>
  <c r="G104" i="5"/>
  <c r="G106" i="5" s="1"/>
  <c r="P106" i="5"/>
  <c r="N32" i="5"/>
  <c r="G4" i="6"/>
  <c r="I24" i="5"/>
  <c r="J32" i="5"/>
  <c r="J25" i="5" s="1"/>
  <c r="B32" i="5"/>
  <c r="B25" i="5" s="1"/>
  <c r="M32" i="5"/>
  <c r="H32" i="5"/>
  <c r="B20" i="5"/>
  <c r="B13" i="5" s="1"/>
  <c r="C18" i="5"/>
  <c r="C20" i="5" s="1"/>
  <c r="C13" i="5" s="1"/>
  <c r="D18" i="5"/>
  <c r="D20" i="5" s="1"/>
  <c r="D13" i="5" s="1"/>
  <c r="E18" i="5"/>
  <c r="E20" i="5" s="1"/>
  <c r="E13" i="5" s="1"/>
  <c r="H20" i="5"/>
  <c r="I18" i="5"/>
  <c r="I20" i="5" s="1"/>
  <c r="J18" i="5"/>
  <c r="J20" i="5" s="1"/>
  <c r="M18" i="5"/>
  <c r="M20" i="5" s="1"/>
  <c r="N18" i="5"/>
  <c r="N20" i="5" s="1"/>
  <c r="T17" i="5"/>
  <c r="Y17" i="5" s="1"/>
  <c r="Y18" i="5" s="1"/>
  <c r="Y20" i="5" s="1"/>
  <c r="Y13" i="5" s="1"/>
  <c r="C15" i="21" l="1"/>
  <c r="C12" i="21"/>
  <c r="D25" i="17"/>
  <c r="C25" i="17"/>
  <c r="X29" i="5"/>
  <c r="X30" i="5" s="1"/>
  <c r="X32" i="5" s="1"/>
  <c r="X25" i="5" s="1"/>
  <c r="S30" i="5"/>
  <c r="S32" i="5" s="1"/>
  <c r="B18" i="14"/>
  <c r="I34" i="6"/>
  <c r="I32" i="6"/>
  <c r="G35" i="6"/>
  <c r="H20" i="6"/>
  <c r="H79" i="6"/>
  <c r="H62" i="8"/>
  <c r="H64" i="8" s="1"/>
  <c r="I5" i="6"/>
  <c r="E59" i="8"/>
  <c r="E60" i="8" s="1"/>
  <c r="E64" i="8" s="1"/>
  <c r="K99" i="5"/>
  <c r="K98" i="5" s="1"/>
  <c r="P99" i="5"/>
  <c r="P98" i="5" s="1"/>
  <c r="K87" i="5"/>
  <c r="K86" i="5" s="1"/>
  <c r="T104" i="5"/>
  <c r="T106" i="5" s="1"/>
  <c r="T99" i="5" s="1"/>
  <c r="T97" i="5" s="1"/>
  <c r="F36" i="6"/>
  <c r="F38" i="6"/>
  <c r="AC29" i="5"/>
  <c r="F41" i="6"/>
  <c r="B4" i="10"/>
  <c r="B7" i="10" s="1"/>
  <c r="I2" i="6"/>
  <c r="N99" i="5"/>
  <c r="N98" i="5" s="1"/>
  <c r="M99" i="5"/>
  <c r="M98" i="5" s="1"/>
  <c r="I99" i="5"/>
  <c r="I98" i="5" s="1"/>
  <c r="G99" i="5"/>
  <c r="G98" i="5" s="1"/>
  <c r="H99" i="5"/>
  <c r="H98" i="5" s="1"/>
  <c r="N86" i="5"/>
  <c r="J87" i="5"/>
  <c r="J86" i="5" s="1"/>
  <c r="H87" i="5"/>
  <c r="H86" i="5" s="1"/>
  <c r="G87" i="5"/>
  <c r="G86" i="5" s="1"/>
  <c r="I13" i="5"/>
  <c r="I12" i="5" s="1"/>
  <c r="N13" i="5"/>
  <c r="N12" i="5" s="1"/>
  <c r="H13" i="5"/>
  <c r="H12" i="5" s="1"/>
  <c r="M13" i="5"/>
  <c r="M12" i="5" s="1"/>
  <c r="J13" i="5"/>
  <c r="J12" i="5" s="1"/>
  <c r="M25" i="5"/>
  <c r="M24" i="5" s="1"/>
  <c r="N25" i="5"/>
  <c r="N24" i="5" s="1"/>
  <c r="J24" i="5"/>
  <c r="H24" i="5"/>
  <c r="G24" i="5"/>
  <c r="J106" i="5"/>
  <c r="T18" i="5"/>
  <c r="T20" i="5" s="1"/>
  <c r="T79" i="5"/>
  <c r="T81" i="5" s="1"/>
  <c r="T74" i="5" s="1"/>
  <c r="T72" i="5" s="1"/>
  <c r="Y72" i="5" s="1"/>
  <c r="T92" i="5"/>
  <c r="T94" i="5" s="1"/>
  <c r="T87" i="5" s="1"/>
  <c r="T85" i="5" s="1"/>
  <c r="T42" i="5"/>
  <c r="T44" i="5" s="1"/>
  <c r="T37" i="5" s="1"/>
  <c r="T35" i="5" s="1"/>
  <c r="Y35" i="5" s="1"/>
  <c r="R30" i="5"/>
  <c r="R32" i="5" s="1"/>
  <c r="R54" i="5"/>
  <c r="R56" i="5" s="1"/>
  <c r="S25" i="5"/>
  <c r="S54" i="5"/>
  <c r="S56" i="5" s="1"/>
  <c r="S49" i="5" s="1"/>
  <c r="S47" i="5" s="1"/>
  <c r="X47" i="5" s="1"/>
  <c r="F4" i="6"/>
  <c r="F5" i="6" s="1"/>
  <c r="G5" i="6"/>
  <c r="H25" i="6"/>
  <c r="O67" i="5"/>
  <c r="O69" i="5" s="1"/>
  <c r="O79" i="5"/>
  <c r="O54" i="5"/>
  <c r="O56" i="5" s="1"/>
  <c r="L79" i="5"/>
  <c r="L81" i="5" s="1"/>
  <c r="L74" i="5" s="1"/>
  <c r="L54" i="5"/>
  <c r="L56" i="5" s="1"/>
  <c r="L49" i="5" s="1"/>
  <c r="L67" i="5"/>
  <c r="L69" i="5" s="1"/>
  <c r="L18" i="5"/>
  <c r="L20" i="5" s="1"/>
  <c r="O18" i="5"/>
  <c r="O20" i="5" s="1"/>
  <c r="T29" i="5"/>
  <c r="Y29" i="5" s="1"/>
  <c r="Y30" i="5" s="1"/>
  <c r="Y32" i="5" s="1"/>
  <c r="Y25" i="5" s="1"/>
  <c r="C4" i="10" l="1"/>
  <c r="C7" i="10" s="1"/>
  <c r="C16" i="21"/>
  <c r="C11" i="21"/>
  <c r="D12" i="21"/>
  <c r="D15" i="21"/>
  <c r="B46" i="14"/>
  <c r="B45" i="14"/>
  <c r="R47" i="5"/>
  <c r="W47" i="5" s="1"/>
  <c r="R49" i="5"/>
  <c r="R25" i="5"/>
  <c r="R23" i="5" s="1"/>
  <c r="T13" i="5"/>
  <c r="T11" i="5" s="1"/>
  <c r="Y85" i="5"/>
  <c r="U85" i="5"/>
  <c r="Y97" i="5"/>
  <c r="H80" i="6"/>
  <c r="H92" i="6"/>
  <c r="H93" i="6" s="1"/>
  <c r="H85" i="6"/>
  <c r="H35" i="6"/>
  <c r="S23" i="5"/>
  <c r="S2" i="5" s="1"/>
  <c r="U35" i="5"/>
  <c r="U97" i="5"/>
  <c r="U72" i="5"/>
  <c r="C26" i="10"/>
  <c r="C57" i="10" s="1"/>
  <c r="I62" i="8"/>
  <c r="I64" i="8" s="1"/>
  <c r="G36" i="6"/>
  <c r="F42" i="6"/>
  <c r="F44" i="6"/>
  <c r="F46" i="6"/>
  <c r="G38" i="6"/>
  <c r="G41" i="6"/>
  <c r="I24" i="6"/>
  <c r="AC30" i="5"/>
  <c r="AC32" i="5" s="1"/>
  <c r="AC25" i="5" s="1"/>
  <c r="J99" i="5"/>
  <c r="J98" i="5" s="1"/>
  <c r="AD17" i="5"/>
  <c r="AI17" i="5" s="1"/>
  <c r="AI18" i="5" s="1"/>
  <c r="AI20" i="5" s="1"/>
  <c r="AI13" i="5" s="1"/>
  <c r="AC47" i="5"/>
  <c r="AH47" i="5" s="1"/>
  <c r="AM47" i="5" s="1"/>
  <c r="AR47" i="5" s="1"/>
  <c r="AD29" i="5"/>
  <c r="AH29" i="5"/>
  <c r="AH30" i="5" s="1"/>
  <c r="AH32" i="5" s="1"/>
  <c r="AH25" i="5" s="1"/>
  <c r="AB29" i="5"/>
  <c r="I13" i="6"/>
  <c r="I19" i="6" s="1"/>
  <c r="B19" i="14" s="1"/>
  <c r="E23" i="17" s="1"/>
  <c r="I15" i="6"/>
  <c r="I8" i="6"/>
  <c r="I22" i="6"/>
  <c r="I18" i="6"/>
  <c r="O62" i="5"/>
  <c r="O61" i="5" s="1"/>
  <c r="L62" i="5"/>
  <c r="L61" i="5" s="1"/>
  <c r="O49" i="5"/>
  <c r="O48" i="5" s="1"/>
  <c r="L48" i="5"/>
  <c r="O13" i="5"/>
  <c r="O12" i="5" s="1"/>
  <c r="L13" i="5"/>
  <c r="L12" i="5" s="1"/>
  <c r="T67" i="5"/>
  <c r="T69" i="5" s="1"/>
  <c r="T62" i="5" s="1"/>
  <c r="T60" i="5" s="1"/>
  <c r="Y60" i="5" s="1"/>
  <c r="T30" i="5"/>
  <c r="T32" i="5" s="1"/>
  <c r="T25" i="5" s="1"/>
  <c r="T23" i="5" s="1"/>
  <c r="Y23" i="5" s="1"/>
  <c r="T54" i="5"/>
  <c r="T56" i="5" s="1"/>
  <c r="T49" i="5" s="1"/>
  <c r="T47" i="5" s="1"/>
  <c r="Y47" i="5" s="1"/>
  <c r="O81" i="5"/>
  <c r="O74" i="5" s="1"/>
  <c r="L73" i="5"/>
  <c r="O30" i="5"/>
  <c r="O32" i="5" s="1"/>
  <c r="L30" i="5"/>
  <c r="L32" i="5" s="1"/>
  <c r="L25" i="5" s="1"/>
  <c r="H38" i="6" l="1"/>
  <c r="D16" i="21"/>
  <c r="D11" i="21"/>
  <c r="W23" i="5"/>
  <c r="R2" i="5"/>
  <c r="R5" i="5"/>
  <c r="X23" i="5"/>
  <c r="U47" i="5"/>
  <c r="E25" i="17"/>
  <c r="Y11" i="5"/>
  <c r="U11" i="5"/>
  <c r="Z85" i="5"/>
  <c r="AD85" i="5"/>
  <c r="AI85" i="5" s="1"/>
  <c r="I79" i="6"/>
  <c r="I80" i="6" s="1"/>
  <c r="R111" i="5"/>
  <c r="R4" i="5"/>
  <c r="R113" i="5"/>
  <c r="AC23" i="5"/>
  <c r="U23" i="5"/>
  <c r="S112" i="5"/>
  <c r="S4" i="5"/>
  <c r="S113" i="5"/>
  <c r="S111" i="5"/>
  <c r="Z11" i="5"/>
  <c r="Z60" i="5"/>
  <c r="U60" i="5"/>
  <c r="Z47" i="5"/>
  <c r="AB47" i="5"/>
  <c r="AD72" i="5"/>
  <c r="Z72" i="5"/>
  <c r="AD97" i="5"/>
  <c r="Z97" i="5"/>
  <c r="AD35" i="5"/>
  <c r="Z35" i="5"/>
  <c r="AI29" i="5"/>
  <c r="AI30" i="5" s="1"/>
  <c r="AI32" i="5" s="1"/>
  <c r="AI25" i="5" s="1"/>
  <c r="J62" i="8"/>
  <c r="J64" i="8" s="1"/>
  <c r="AN17" i="5"/>
  <c r="AN18" i="5" s="1"/>
  <c r="AN20" i="5" s="1"/>
  <c r="AN13" i="5" s="1"/>
  <c r="G42" i="6"/>
  <c r="G44" i="6"/>
  <c r="G46" i="6"/>
  <c r="AN29" i="5"/>
  <c r="AN30" i="5" s="1"/>
  <c r="AN32" i="5" s="1"/>
  <c r="AN25" i="5" s="1"/>
  <c r="AM29" i="5"/>
  <c r="AD47" i="5"/>
  <c r="AI47" i="5" s="1"/>
  <c r="AN47" i="5" s="1"/>
  <c r="AS47" i="5" s="1"/>
  <c r="AG29" i="5"/>
  <c r="AB30" i="5"/>
  <c r="AB32" i="5" s="1"/>
  <c r="AB25" i="5" s="1"/>
  <c r="AD30" i="5"/>
  <c r="AD32" i="5" s="1"/>
  <c r="AD25" i="5" s="1"/>
  <c r="AD18" i="5"/>
  <c r="AD20" i="5" s="1"/>
  <c r="AD13" i="5" s="1"/>
  <c r="AD11" i="5" s="1"/>
  <c r="I25" i="6"/>
  <c r="I20" i="6"/>
  <c r="H41" i="6"/>
  <c r="D4" i="10"/>
  <c r="D7" i="10" s="1"/>
  <c r="O73" i="5"/>
  <c r="O25" i="5"/>
  <c r="O24" i="5" s="1"/>
  <c r="L24" i="5"/>
  <c r="T2" i="5"/>
  <c r="H36" i="6"/>
  <c r="L104" i="5"/>
  <c r="L106" i="5" s="1"/>
  <c r="L92" i="5"/>
  <c r="L94" i="5" s="1"/>
  <c r="O92" i="5"/>
  <c r="O94" i="5" s="1"/>
  <c r="O104" i="5"/>
  <c r="O106" i="5" s="1"/>
  <c r="O99" i="5" s="1"/>
  <c r="E15" i="21" l="1"/>
  <c r="E12" i="21"/>
  <c r="AB23" i="5"/>
  <c r="I85" i="6"/>
  <c r="J88" i="6" s="1"/>
  <c r="R112" i="5"/>
  <c r="X5" i="5"/>
  <c r="X2" i="5"/>
  <c r="X4" i="5" s="1"/>
  <c r="W2" i="5"/>
  <c r="W4" i="5" s="1"/>
  <c r="W5" i="5"/>
  <c r="I92" i="6"/>
  <c r="I93" i="6" s="1"/>
  <c r="T3" i="5"/>
  <c r="U2" i="5" s="1"/>
  <c r="U112" i="5" s="1"/>
  <c r="T4" i="5"/>
  <c r="T111" i="5"/>
  <c r="T112" i="5"/>
  <c r="T113" i="5"/>
  <c r="AE85" i="5"/>
  <c r="Y5" i="5"/>
  <c r="Y2" i="5"/>
  <c r="AI97" i="5"/>
  <c r="AN97" i="5" s="1"/>
  <c r="AE97" i="5"/>
  <c r="B20" i="14"/>
  <c r="B22" i="14" s="1"/>
  <c r="B25" i="14" s="1"/>
  <c r="B28" i="14" s="1"/>
  <c r="I35" i="6"/>
  <c r="U5" i="5"/>
  <c r="Z23" i="5"/>
  <c r="Z5" i="5" s="1"/>
  <c r="X113" i="5"/>
  <c r="X112" i="5"/>
  <c r="X111" i="5"/>
  <c r="U113" i="5"/>
  <c r="U4" i="5"/>
  <c r="J82" i="6"/>
  <c r="W112" i="5"/>
  <c r="AI11" i="5"/>
  <c r="AE11" i="5"/>
  <c r="AB2" i="5"/>
  <c r="AB5" i="5"/>
  <c r="AG47" i="5"/>
  <c r="AE47" i="5"/>
  <c r="AN85" i="5"/>
  <c r="AJ85" i="5"/>
  <c r="AC2" i="5"/>
  <c r="AC4" i="5" s="1"/>
  <c r="AC5" i="5"/>
  <c r="AD60" i="5"/>
  <c r="AI35" i="5"/>
  <c r="AE35" i="5"/>
  <c r="AI72" i="5"/>
  <c r="AE72" i="5"/>
  <c r="D26" i="10"/>
  <c r="AS17" i="5"/>
  <c r="AS18" i="5" s="1"/>
  <c r="AS20" i="5" s="1"/>
  <c r="AS13" i="5" s="1"/>
  <c r="AH23" i="5"/>
  <c r="AH5" i="5" s="1"/>
  <c r="AS29" i="5"/>
  <c r="AS30" i="5" s="1"/>
  <c r="AS32" i="5" s="1"/>
  <c r="AS25" i="5" s="1"/>
  <c r="H42" i="6"/>
  <c r="H44" i="6"/>
  <c r="H46" i="6"/>
  <c r="AM30" i="5"/>
  <c r="AM32" i="5" s="1"/>
  <c r="AM25" i="5" s="1"/>
  <c r="AR29" i="5"/>
  <c r="AR30" i="5" s="1"/>
  <c r="AR32" i="5" s="1"/>
  <c r="AR25" i="5" s="1"/>
  <c r="AG30" i="5"/>
  <c r="AG32" i="5" s="1"/>
  <c r="AG25" i="5" s="1"/>
  <c r="AG23" i="5" s="1"/>
  <c r="AL29" i="5"/>
  <c r="AL30" i="5" s="1"/>
  <c r="AL32" i="5" s="1"/>
  <c r="AL25" i="5" s="1"/>
  <c r="AD23" i="5"/>
  <c r="AI23" i="5" s="1"/>
  <c r="O98" i="5"/>
  <c r="L99" i="5"/>
  <c r="L98" i="5" s="1"/>
  <c r="O87" i="5"/>
  <c r="O86" i="5" s="1"/>
  <c r="L87" i="5"/>
  <c r="L86" i="5" s="1"/>
  <c r="E16" i="21" l="1"/>
  <c r="E11" i="21"/>
  <c r="W113" i="5"/>
  <c r="W111" i="5"/>
  <c r="AB4" i="5"/>
  <c r="AD2" i="5"/>
  <c r="AD4" i="5" s="1"/>
  <c r="J81" i="6"/>
  <c r="J84" i="6" s="1"/>
  <c r="U111" i="5"/>
  <c r="Y111" i="5"/>
  <c r="Y4" i="5"/>
  <c r="Y3" i="5"/>
  <c r="Z2" i="5" s="1"/>
  <c r="K3" i="6" s="1"/>
  <c r="K4" i="6" s="1"/>
  <c r="Y113" i="5"/>
  <c r="Y112" i="5"/>
  <c r="AJ97" i="5"/>
  <c r="AS97" i="5"/>
  <c r="AT97" i="5" s="1"/>
  <c r="I41" i="6"/>
  <c r="I42" i="6" s="1"/>
  <c r="E4" i="10"/>
  <c r="I40" i="6"/>
  <c r="D57" i="10"/>
  <c r="AC111" i="5"/>
  <c r="AC112" i="5"/>
  <c r="AC113" i="5"/>
  <c r="AB112" i="5"/>
  <c r="AB113" i="5"/>
  <c r="K81" i="6"/>
  <c r="AB111" i="5"/>
  <c r="AJ23" i="5"/>
  <c r="AG5" i="5"/>
  <c r="AN35" i="5"/>
  <c r="AJ35" i="5"/>
  <c r="AO97" i="5"/>
  <c r="AI60" i="5"/>
  <c r="AI5" i="5" s="1"/>
  <c r="AE60" i="5"/>
  <c r="AD5" i="5"/>
  <c r="AN72" i="5"/>
  <c r="AJ72" i="5"/>
  <c r="AS85" i="5"/>
  <c r="AO85" i="5"/>
  <c r="AL47" i="5"/>
  <c r="AJ47" i="5"/>
  <c r="AE23" i="5"/>
  <c r="AN11" i="5"/>
  <c r="AJ11" i="5"/>
  <c r="AM23" i="5"/>
  <c r="AM5" i="5" s="1"/>
  <c r="AG2" i="5"/>
  <c r="AL23" i="5"/>
  <c r="AH2" i="5"/>
  <c r="AH111" i="5" s="1"/>
  <c r="AQ29" i="5"/>
  <c r="AQ30" i="5" s="1"/>
  <c r="AQ32" i="5" s="1"/>
  <c r="AQ25" i="5" s="1"/>
  <c r="I38" i="6"/>
  <c r="I36" i="6"/>
  <c r="AN23" i="5"/>
  <c r="J3" i="6"/>
  <c r="M42" i="5"/>
  <c r="M44" i="5" s="1"/>
  <c r="M37" i="5" s="1"/>
  <c r="M36" i="5" s="1"/>
  <c r="L42" i="5"/>
  <c r="L44" i="5" s="1"/>
  <c r="L37" i="5" s="1"/>
  <c r="L36" i="5" s="1"/>
  <c r="J42" i="5"/>
  <c r="J44" i="5" s="1"/>
  <c r="J37" i="5" s="1"/>
  <c r="J36" i="5" s="1"/>
  <c r="K42" i="5"/>
  <c r="K44" i="5" s="1"/>
  <c r="K37" i="5" s="1"/>
  <c r="K36" i="5" s="1"/>
  <c r="I42" i="5"/>
  <c r="I44" i="5" s="1"/>
  <c r="I37" i="5" s="1"/>
  <c r="I36" i="5" s="1"/>
  <c r="O42" i="5"/>
  <c r="O44" i="5" s="1"/>
  <c r="O37" i="5" s="1"/>
  <c r="O36" i="5" s="1"/>
  <c r="N42" i="5"/>
  <c r="N44" i="5" s="1"/>
  <c r="H42" i="5"/>
  <c r="H44" i="5" s="1"/>
  <c r="H37" i="5" s="1"/>
  <c r="H36" i="5" s="1"/>
  <c r="I44" i="6" l="1"/>
  <c r="J44" i="6" s="1"/>
  <c r="K44" i="6" s="1"/>
  <c r="L44" i="6" s="1"/>
  <c r="M44" i="6" s="1"/>
  <c r="N44" i="6" s="1"/>
  <c r="G29" i="13"/>
  <c r="G31" i="13" s="1"/>
  <c r="G35" i="13" s="1"/>
  <c r="G34" i="13" s="1"/>
  <c r="Z111" i="5"/>
  <c r="Z4" i="5"/>
  <c r="AD3" i="5"/>
  <c r="AE2" i="5" s="1"/>
  <c r="K82" i="6"/>
  <c r="K84" i="6" s="1"/>
  <c r="Z113" i="5"/>
  <c r="Z112" i="5"/>
  <c r="AD111" i="5"/>
  <c r="AD113" i="5"/>
  <c r="AD112" i="5"/>
  <c r="H18" i="17"/>
  <c r="AT85" i="5"/>
  <c r="I46" i="6"/>
  <c r="J46" i="6" s="1"/>
  <c r="K46" i="6" s="1"/>
  <c r="L46" i="6" s="1"/>
  <c r="M46" i="6" s="1"/>
  <c r="N46" i="6" s="1"/>
  <c r="F21" i="8"/>
  <c r="J4" i="6"/>
  <c r="J6" i="6" s="1"/>
  <c r="F20" i="8"/>
  <c r="AL2" i="5"/>
  <c r="AE5" i="5"/>
  <c r="L81" i="6" s="1"/>
  <c r="AM2" i="5"/>
  <c r="AM112" i="5" s="1"/>
  <c r="AR23" i="5"/>
  <c r="AR5" i="5" s="1"/>
  <c r="AG111" i="5"/>
  <c r="K6" i="6"/>
  <c r="G20" i="8"/>
  <c r="AH4" i="5"/>
  <c r="AH112" i="5"/>
  <c r="AH113" i="5"/>
  <c r="G21" i="8"/>
  <c r="I8" i="18" s="1"/>
  <c r="AG113" i="5"/>
  <c r="AG4" i="5"/>
  <c r="AG112" i="5"/>
  <c r="D26" i="14"/>
  <c r="G32" i="13"/>
  <c r="G45" i="13"/>
  <c r="AO23" i="5"/>
  <c r="AL5" i="5"/>
  <c r="AQ47" i="5"/>
  <c r="AT47" i="5" s="1"/>
  <c r="AO47" i="5"/>
  <c r="AS72" i="5"/>
  <c r="AT72" i="5" s="1"/>
  <c r="AO72" i="5"/>
  <c r="AS35" i="5"/>
  <c r="AT35" i="5" s="1"/>
  <c r="AO35" i="5"/>
  <c r="AN60" i="5"/>
  <c r="AN2" i="5" s="1"/>
  <c r="AJ60" i="5"/>
  <c r="AJ5" i="5" s="1"/>
  <c r="AI2" i="5"/>
  <c r="AI3" i="5" s="1"/>
  <c r="AS11" i="5"/>
  <c r="AO11" i="5"/>
  <c r="AQ23" i="5"/>
  <c r="N37" i="5"/>
  <c r="N36" i="5" s="1"/>
  <c r="J2" i="6"/>
  <c r="AS23" i="5"/>
  <c r="K2" i="6"/>
  <c r="AR2" i="5" l="1"/>
  <c r="F45" i="13"/>
  <c r="F31" i="13"/>
  <c r="G29" i="10"/>
  <c r="G13" i="16" s="1"/>
  <c r="G16" i="16" s="1"/>
  <c r="AL112" i="5"/>
  <c r="AN3" i="5"/>
  <c r="AO2" i="5" s="1"/>
  <c r="AE4" i="5"/>
  <c r="AE112" i="5"/>
  <c r="AE113" i="5"/>
  <c r="L82" i="6"/>
  <c r="L84" i="6" s="1"/>
  <c r="L3" i="6"/>
  <c r="L2" i="6" s="1"/>
  <c r="AM4" i="5"/>
  <c r="AE111" i="5"/>
  <c r="AL113" i="5"/>
  <c r="AJ2" i="5"/>
  <c r="AI4" i="5"/>
  <c r="AI112" i="5"/>
  <c r="AI113" i="5"/>
  <c r="AN4" i="5"/>
  <c r="AN113" i="5"/>
  <c r="AN112" i="5"/>
  <c r="AI111" i="5"/>
  <c r="C26" i="14"/>
  <c r="F29" i="10"/>
  <c r="F39" i="10" s="1"/>
  <c r="H8" i="18"/>
  <c r="H5" i="18"/>
  <c r="H7" i="18" s="1"/>
  <c r="C18" i="14"/>
  <c r="B44" i="14" s="1"/>
  <c r="J33" i="6"/>
  <c r="J31" i="6"/>
  <c r="K31" i="6"/>
  <c r="I5" i="18"/>
  <c r="AL4" i="5"/>
  <c r="AL111" i="5"/>
  <c r="AM111" i="5"/>
  <c r="AM113" i="5"/>
  <c r="K14" i="6"/>
  <c r="K21" i="6"/>
  <c r="K23" i="6"/>
  <c r="D18" i="14"/>
  <c r="K7" i="6"/>
  <c r="K33" i="6"/>
  <c r="K17" i="6"/>
  <c r="G8" i="10"/>
  <c r="D23" i="14"/>
  <c r="M81" i="6"/>
  <c r="AR4" i="5"/>
  <c r="AR111" i="5"/>
  <c r="AR112" i="5"/>
  <c r="AR113" i="5"/>
  <c r="AN5" i="5"/>
  <c r="AN111" i="5" s="1"/>
  <c r="AQ2" i="5"/>
  <c r="AT23" i="5"/>
  <c r="AQ5" i="5"/>
  <c r="AT11" i="5"/>
  <c r="AS60" i="5"/>
  <c r="AT60" i="5" s="1"/>
  <c r="AO60" i="5"/>
  <c r="AO5" i="5" s="1"/>
  <c r="J7" i="6"/>
  <c r="F45" i="8" s="1"/>
  <c r="J14" i="6"/>
  <c r="J23" i="6"/>
  <c r="J21" i="6"/>
  <c r="J17" i="6"/>
  <c r="D17" i="14" l="1"/>
  <c r="B43" i="14"/>
  <c r="C17" i="14"/>
  <c r="J18" i="17"/>
  <c r="J3" i="17" s="1"/>
  <c r="H3" i="17"/>
  <c r="H20" i="8"/>
  <c r="J5" i="18" s="1"/>
  <c r="M3" i="6"/>
  <c r="M4" i="6" s="1"/>
  <c r="N3" i="6"/>
  <c r="N4" i="6" s="1"/>
  <c r="C37" i="14"/>
  <c r="H21" i="8"/>
  <c r="J8" i="18" s="1"/>
  <c r="L4" i="6"/>
  <c r="L6" i="6" s="1"/>
  <c r="E18" i="14" s="1"/>
  <c r="E17" i="14" s="1"/>
  <c r="H29" i="13"/>
  <c r="I18" i="17"/>
  <c r="AS5" i="5"/>
  <c r="F69" i="8"/>
  <c r="C24" i="14" s="1"/>
  <c r="F23" i="10"/>
  <c r="F51" i="8"/>
  <c r="H9" i="18"/>
  <c r="D37" i="14"/>
  <c r="H10" i="18"/>
  <c r="K11" i="6"/>
  <c r="G45" i="8"/>
  <c r="I7" i="18"/>
  <c r="I9" i="18"/>
  <c r="K9" i="6"/>
  <c r="K13" i="6"/>
  <c r="K19" i="6" s="1"/>
  <c r="D19" i="14" s="1"/>
  <c r="D46" i="14"/>
  <c r="AO4" i="5"/>
  <c r="AO113" i="5"/>
  <c r="AO112" i="5"/>
  <c r="N82" i="6"/>
  <c r="D45" i="14"/>
  <c r="AO111" i="5"/>
  <c r="N81" i="6"/>
  <c r="AJ4" i="5"/>
  <c r="AJ112" i="5"/>
  <c r="AJ113" i="5"/>
  <c r="M82" i="6"/>
  <c r="M84" i="6" s="1"/>
  <c r="AJ111" i="5"/>
  <c r="AQ111" i="5"/>
  <c r="AQ112" i="5"/>
  <c r="AQ4" i="5"/>
  <c r="AQ113" i="5"/>
  <c r="AS2" i="5"/>
  <c r="AT5" i="5"/>
  <c r="J9" i="6"/>
  <c r="J11" i="6"/>
  <c r="J13" i="6"/>
  <c r="D43" i="14" l="1"/>
  <c r="G23" i="17"/>
  <c r="I3" i="17"/>
  <c r="L23" i="6"/>
  <c r="J21" i="8"/>
  <c r="L8" i="18" s="1"/>
  <c r="E37" i="14"/>
  <c r="J29" i="13"/>
  <c r="J45" i="13" s="1"/>
  <c r="L21" i="6"/>
  <c r="L17" i="6"/>
  <c r="L7" i="6"/>
  <c r="L13" i="6" s="1"/>
  <c r="L33" i="6"/>
  <c r="L14" i="6"/>
  <c r="L31" i="6"/>
  <c r="H31" i="13"/>
  <c r="H35" i="13" s="1"/>
  <c r="H34" i="13" s="1"/>
  <c r="H29" i="10"/>
  <c r="H13" i="16" s="1"/>
  <c r="H16" i="16" s="1"/>
  <c r="E26" i="14"/>
  <c r="E46" i="14" s="1"/>
  <c r="H32" i="13"/>
  <c r="H45" i="13"/>
  <c r="H11" i="18"/>
  <c r="H13" i="18" s="1"/>
  <c r="I10" i="18"/>
  <c r="J7" i="18"/>
  <c r="J9" i="18"/>
  <c r="G51" i="8"/>
  <c r="N6" i="6"/>
  <c r="N7" i="6" s="1"/>
  <c r="J45" i="8" s="1"/>
  <c r="J51" i="8" s="1"/>
  <c r="N84" i="6"/>
  <c r="J20" i="8"/>
  <c r="K25" i="6"/>
  <c r="K79" i="6"/>
  <c r="K85" i="6" s="1"/>
  <c r="L88" i="6" s="1"/>
  <c r="K20" i="6"/>
  <c r="N2" i="6"/>
  <c r="I29" i="13"/>
  <c r="I21" i="8"/>
  <c r="K8" i="18" s="1"/>
  <c r="M2" i="6"/>
  <c r="I20" i="8"/>
  <c r="M6" i="6"/>
  <c r="AS3" i="5"/>
  <c r="AT2" i="5" s="1"/>
  <c r="AT3" i="5" s="1"/>
  <c r="AS4" i="5"/>
  <c r="AS111" i="5"/>
  <c r="AS112" i="5"/>
  <c r="AS113" i="5"/>
  <c r="J19" i="6"/>
  <c r="J25" i="6" s="1"/>
  <c r="G15" i="21" l="1"/>
  <c r="G12" i="21"/>
  <c r="F15" i="21"/>
  <c r="F12" i="21"/>
  <c r="G22" i="17"/>
  <c r="J32" i="13"/>
  <c r="G26" i="14"/>
  <c r="J31" i="13"/>
  <c r="J35" i="13" s="1"/>
  <c r="J34" i="13" s="1"/>
  <c r="J29" i="10"/>
  <c r="J13" i="16" s="1"/>
  <c r="J16" i="16" s="1"/>
  <c r="L19" i="6"/>
  <c r="L25" i="6" s="1"/>
  <c r="L9" i="6"/>
  <c r="H45" i="8"/>
  <c r="J10" i="18" s="1"/>
  <c r="L11" i="6"/>
  <c r="E23" i="14"/>
  <c r="H8" i="10"/>
  <c r="L5" i="18"/>
  <c r="L7" i="18" s="1"/>
  <c r="H14" i="18"/>
  <c r="H16" i="18" s="1"/>
  <c r="H19" i="18" s="1"/>
  <c r="K5" i="18"/>
  <c r="K7" i="18" s="1"/>
  <c r="G18" i="14"/>
  <c r="N31" i="6"/>
  <c r="M21" i="6"/>
  <c r="F18" i="14"/>
  <c r="F17" i="14" s="1"/>
  <c r="M31" i="6"/>
  <c r="L10" i="18"/>
  <c r="I11" i="18"/>
  <c r="I13" i="18" s="1"/>
  <c r="D20" i="14"/>
  <c r="D44" i="14" s="1"/>
  <c r="N14" i="6"/>
  <c r="N33" i="6"/>
  <c r="N17" i="6"/>
  <c r="N23" i="6"/>
  <c r="N21" i="6"/>
  <c r="M14" i="6"/>
  <c r="M23" i="6"/>
  <c r="M17" i="6"/>
  <c r="M7" i="6"/>
  <c r="G23" i="14"/>
  <c r="J8" i="10"/>
  <c r="M33" i="6"/>
  <c r="I31" i="13"/>
  <c r="I35" i="13" s="1"/>
  <c r="I34" i="13" s="1"/>
  <c r="F26" i="14"/>
  <c r="I32" i="13"/>
  <c r="I29" i="10"/>
  <c r="I45" i="13"/>
  <c r="AT111" i="5"/>
  <c r="AT4" i="5"/>
  <c r="AT112" i="5"/>
  <c r="AT113" i="5"/>
  <c r="J79" i="6"/>
  <c r="J20" i="6"/>
  <c r="N9" i="6"/>
  <c r="N11" i="6"/>
  <c r="N13" i="6"/>
  <c r="H12" i="21" l="1"/>
  <c r="H15" i="21"/>
  <c r="G17" i="14"/>
  <c r="F37" i="14"/>
  <c r="G46" i="14"/>
  <c r="L20" i="6"/>
  <c r="L79" i="6"/>
  <c r="L85" i="6" s="1"/>
  <c r="M88" i="6" s="1"/>
  <c r="E19" i="14"/>
  <c r="E40" i="14"/>
  <c r="E45" i="14"/>
  <c r="L9" i="18"/>
  <c r="K9" i="18"/>
  <c r="I14" i="18"/>
  <c r="I16" i="18" s="1"/>
  <c r="I19" i="18" s="1"/>
  <c r="M9" i="6"/>
  <c r="I45" i="8"/>
  <c r="L11" i="18"/>
  <c r="L13" i="18" s="1"/>
  <c r="E20" i="14"/>
  <c r="E39" i="14" s="1"/>
  <c r="J11" i="18"/>
  <c r="J13" i="18" s="1"/>
  <c r="F3" i="16"/>
  <c r="F7" i="16" s="1"/>
  <c r="D22" i="14"/>
  <c r="N19" i="6"/>
  <c r="G19" i="14" s="1"/>
  <c r="J23" i="17" s="1"/>
  <c r="J22" i="17" s="1"/>
  <c r="H3" i="16"/>
  <c r="H7" i="16" s="1"/>
  <c r="M11" i="6"/>
  <c r="M13" i="6"/>
  <c r="M19" i="6" s="1"/>
  <c r="M79" i="6" s="1"/>
  <c r="J80" i="6"/>
  <c r="J85" i="6"/>
  <c r="K80" i="6"/>
  <c r="F46" i="14"/>
  <c r="G45" i="14"/>
  <c r="I8" i="10"/>
  <c r="F23" i="14"/>
  <c r="G40" i="14" s="1"/>
  <c r="G37" i="14"/>
  <c r="I13" i="16"/>
  <c r="I16" i="16" s="1"/>
  <c r="C20" i="14"/>
  <c r="L90" i="6" l="1"/>
  <c r="L92" i="6" s="1"/>
  <c r="L80" i="6"/>
  <c r="I51" i="8"/>
  <c r="E38" i="14"/>
  <c r="H23" i="17"/>
  <c r="E43" i="14"/>
  <c r="K10" i="18"/>
  <c r="J14" i="18"/>
  <c r="J16" i="18" s="1"/>
  <c r="J19" i="18" s="1"/>
  <c r="L14" i="18"/>
  <c r="N25" i="6"/>
  <c r="N79" i="6"/>
  <c r="N80" i="6" s="1"/>
  <c r="N20" i="6"/>
  <c r="E22" i="14"/>
  <c r="E44" i="14"/>
  <c r="M25" i="6"/>
  <c r="M20" i="6"/>
  <c r="G43" i="14"/>
  <c r="K88" i="6"/>
  <c r="K90" i="6" s="1"/>
  <c r="K92" i="6" s="1"/>
  <c r="J90" i="6"/>
  <c r="F19" i="14"/>
  <c r="I23" i="17" s="1"/>
  <c r="M80" i="6"/>
  <c r="M85" i="6"/>
  <c r="F45" i="14"/>
  <c r="F40" i="14"/>
  <c r="D39" i="14"/>
  <c r="C22" i="14"/>
  <c r="C44" i="14"/>
  <c r="C39" i="14"/>
  <c r="J92" i="6" l="1"/>
  <c r="J93" i="6" s="1"/>
  <c r="I15" i="21"/>
  <c r="I12" i="21"/>
  <c r="J15" i="21"/>
  <c r="J12" i="21"/>
  <c r="I22" i="17"/>
  <c r="H22" i="17"/>
  <c r="J3" i="16"/>
  <c r="J7" i="16" s="1"/>
  <c r="G20" i="14"/>
  <c r="G22" i="14" s="1"/>
  <c r="F20" i="14"/>
  <c r="F44" i="14" s="1"/>
  <c r="K11" i="18"/>
  <c r="K13" i="18" s="1"/>
  <c r="F8" i="16"/>
  <c r="N85" i="6"/>
  <c r="I3" i="16"/>
  <c r="I7" i="16" s="1"/>
  <c r="K93" i="6"/>
  <c r="L93" i="6"/>
  <c r="F38" i="14"/>
  <c r="F43" i="14"/>
  <c r="N88" i="6"/>
  <c r="M90" i="6"/>
  <c r="M92" i="6" s="1"/>
  <c r="M93" i="6" s="1"/>
  <c r="G38" i="14"/>
  <c r="N90" i="6" l="1"/>
  <c r="N92" i="6" s="1"/>
  <c r="N93" i="6" s="1"/>
  <c r="K14" i="18"/>
  <c r="K16" i="18" s="1"/>
  <c r="K19" i="18" s="1"/>
  <c r="G44" i="14"/>
  <c r="G22" i="8"/>
  <c r="F22" i="14"/>
  <c r="F39" i="14"/>
  <c r="G39" i="14"/>
  <c r="H22" i="8" l="1"/>
  <c r="H23" i="10" s="1"/>
  <c r="G23" i="10"/>
  <c r="G69" i="8"/>
  <c r="D24" i="14" s="1"/>
  <c r="D25" i="14" s="1"/>
  <c r="D28" i="14" s="1"/>
  <c r="L16" i="18"/>
  <c r="L19" i="18" s="1"/>
  <c r="I22" i="8" l="1"/>
  <c r="H69" i="8"/>
  <c r="E24" i="14" s="1"/>
  <c r="E25" i="14" s="1"/>
  <c r="E28" i="14" s="1"/>
  <c r="H57" i="15"/>
  <c r="G57" i="15"/>
  <c r="I69" i="8" l="1"/>
  <c r="F24" i="14" s="1"/>
  <c r="F25" i="14" s="1"/>
  <c r="F28" i="14" s="1"/>
  <c r="I23" i="10"/>
  <c r="J22" i="8"/>
  <c r="J23" i="10"/>
  <c r="F58" i="15"/>
  <c r="H58" i="15"/>
  <c r="G58" i="15"/>
  <c r="J57" i="15"/>
  <c r="I57" i="15"/>
  <c r="J69" i="8" l="1"/>
  <c r="G24" i="14" s="1"/>
  <c r="G25" i="14" s="1"/>
  <c r="G28" i="14" s="1"/>
  <c r="I58" i="15"/>
  <c r="K57" i="15"/>
  <c r="J58" i="15"/>
  <c r="H17" i="15" l="1"/>
  <c r="G21" i="15"/>
  <c r="G23" i="15" l="1"/>
  <c r="G59" i="15"/>
  <c r="I17" i="15"/>
  <c r="H21" i="15"/>
  <c r="G60" i="15" l="1"/>
  <c r="H51" i="8" s="1"/>
  <c r="H59" i="15"/>
  <c r="H23" i="15"/>
  <c r="I21" i="15"/>
  <c r="J17" i="15"/>
  <c r="H60" i="15" l="1"/>
  <c r="K17" i="15"/>
  <c r="J21" i="15"/>
  <c r="I23" i="15"/>
  <c r="I59" i="15"/>
  <c r="J23" i="15" l="1"/>
  <c r="J59" i="15"/>
  <c r="K21" i="15"/>
  <c r="I60" i="15"/>
  <c r="J60" i="15" l="1"/>
  <c r="AA13" i="8"/>
  <c r="AB13" i="8" s="1"/>
  <c r="AA11" i="8" l="1"/>
  <c r="AC13" i="8"/>
  <c r="AB11" i="8"/>
  <c r="AD13" i="8" l="1"/>
  <c r="AC11" i="8"/>
  <c r="AE13" i="8" l="1"/>
  <c r="AE11" i="8" s="1"/>
  <c r="AD11" i="8"/>
  <c r="C5" i="8" l="1"/>
  <c r="C6" i="8" s="1"/>
  <c r="E5" i="8"/>
  <c r="D5" i="8"/>
  <c r="D6" i="8" s="1"/>
  <c r="E19" i="8" l="1"/>
  <c r="E6" i="8"/>
  <c r="D19" i="8"/>
  <c r="D27" i="8" s="1"/>
  <c r="C19" i="8"/>
  <c r="C27" i="8" s="1"/>
  <c r="C7" i="21" s="1"/>
  <c r="F5" i="8"/>
  <c r="G5" i="8" s="1"/>
  <c r="H5" i="8" s="1"/>
  <c r="I5" i="8" s="1"/>
  <c r="J5" i="8" s="1"/>
  <c r="D53" i="8" l="1"/>
  <c r="D10" i="21"/>
  <c r="D7" i="21"/>
  <c r="C53" i="8"/>
  <c r="C10" i="21"/>
  <c r="C28" i="8"/>
  <c r="D28" i="8"/>
  <c r="E27" i="8" l="1"/>
  <c r="E28" i="8" l="1"/>
  <c r="E10" i="21"/>
  <c r="E7" i="21"/>
  <c r="E53" i="8"/>
  <c r="C8" i="16" l="1"/>
  <c r="C11" i="16" s="1"/>
  <c r="C18" i="16" s="1"/>
  <c r="C22" i="16" s="1"/>
  <c r="C24" i="16" s="1"/>
  <c r="D8" i="16"/>
  <c r="D11" i="16" s="1"/>
  <c r="D18" i="16" s="1"/>
  <c r="D22" i="16" s="1"/>
  <c r="D24" i="16" s="1"/>
  <c r="H8" i="16"/>
  <c r="I8" i="16" l="1"/>
  <c r="B21" i="10"/>
  <c r="B26" i="10" l="1"/>
  <c r="B57" i="10" s="1"/>
  <c r="G8" i="16"/>
  <c r="J8" i="16"/>
  <c r="L6" i="14" l="1"/>
  <c r="L5" i="14"/>
  <c r="L12" i="14" s="1"/>
  <c r="C52" i="14" l="1"/>
  <c r="G34" i="14" l="1"/>
  <c r="E33" i="14"/>
  <c r="E34" i="14" s="1"/>
  <c r="D33" i="14"/>
  <c r="D34" i="14" s="1"/>
  <c r="F33" i="14"/>
  <c r="F34" i="14" s="1"/>
  <c r="C33" i="14"/>
  <c r="C54" i="14" l="1"/>
  <c r="F32" i="13" l="1"/>
  <c r="C46" i="14"/>
  <c r="F35" i="13"/>
  <c r="F34" i="13" s="1"/>
  <c r="F15" i="13"/>
  <c r="F8" i="10" l="1"/>
  <c r="C19" i="14" s="1"/>
  <c r="F23" i="17" s="1"/>
  <c r="F22" i="17" s="1"/>
  <c r="C23" i="14"/>
  <c r="C25" i="14" s="1"/>
  <c r="F13" i="16"/>
  <c r="F16" i="16" s="1"/>
  <c r="C28" i="14" l="1"/>
  <c r="C34" i="14" s="1"/>
  <c r="C51" i="14" s="1"/>
  <c r="H51" i="14" s="1"/>
  <c r="C55" i="14" s="1"/>
  <c r="G3" i="16"/>
  <c r="G7" i="16" s="1"/>
  <c r="F16" i="13"/>
  <c r="G15" i="13"/>
  <c r="H15" i="13" s="1"/>
  <c r="I15" i="13" s="1"/>
  <c r="J15" i="13" s="1"/>
  <c r="C43" i="14"/>
  <c r="C38" i="14"/>
  <c r="D38" i="14"/>
  <c r="D40" i="14"/>
  <c r="C40" i="14"/>
  <c r="C45" i="14"/>
  <c r="K9" i="13" l="1"/>
  <c r="F18" i="13"/>
  <c r="G16" i="13"/>
  <c r="H16" i="13"/>
  <c r="F11" i="8" l="1"/>
  <c r="F19" i="8" s="1"/>
  <c r="F19" i="10"/>
  <c r="G18" i="13"/>
  <c r="L9" i="13"/>
  <c r="G19" i="10" s="1"/>
  <c r="H18" i="13"/>
  <c r="H11" i="8" s="1"/>
  <c r="H19" i="8" s="1"/>
  <c r="M9" i="13"/>
  <c r="H19" i="10" s="1"/>
  <c r="I16" i="13"/>
  <c r="I18" i="13" l="1"/>
  <c r="I11" i="8" s="1"/>
  <c r="I19" i="8" s="1"/>
  <c r="N9" i="13"/>
  <c r="I19" i="10" s="1"/>
  <c r="G11" i="8"/>
  <c r="G19" i="8" s="1"/>
  <c r="J16" i="13"/>
  <c r="J18" i="13" l="1"/>
  <c r="J11" i="8" s="1"/>
  <c r="J19" i="8" s="1"/>
  <c r="O9" i="13"/>
  <c r="J19" i="10" s="1"/>
  <c r="G20" i="16" l="1"/>
  <c r="F20" i="16"/>
  <c r="F40" i="10" l="1"/>
  <c r="H20" i="16"/>
  <c r="G39" i="10"/>
  <c r="J39" i="10" l="1"/>
  <c r="H39" i="10"/>
  <c r="H40" i="10" s="1"/>
  <c r="I20" i="16"/>
  <c r="J20" i="16"/>
  <c r="G40" i="10"/>
  <c r="I39" i="10" l="1"/>
  <c r="J40" i="10"/>
  <c r="I40" i="10" l="1"/>
  <c r="G18" i="17"/>
  <c r="G3" i="17" s="1"/>
  <c r="F18" i="17"/>
  <c r="F3" i="17" s="1"/>
  <c r="F4" i="17" s="1"/>
  <c r="G2" i="17" s="1"/>
  <c r="F38" i="8" l="1"/>
  <c r="G4" i="17"/>
  <c r="H2" i="17" s="1"/>
  <c r="H4" i="17" s="1"/>
  <c r="I2" i="17" s="1"/>
  <c r="I4" i="17" s="1"/>
  <c r="J2" i="17" s="1"/>
  <c r="J4" i="17" s="1"/>
  <c r="F50" i="10" l="1"/>
  <c r="F27" i="17"/>
  <c r="J28" i="6"/>
  <c r="F42" i="8"/>
  <c r="G38" i="8"/>
  <c r="G50" i="10" l="1"/>
  <c r="K28" i="6"/>
  <c r="G26" i="17"/>
  <c r="G27" i="17" s="1"/>
  <c r="G42" i="8"/>
  <c r="H38" i="8"/>
  <c r="I38" i="8" l="1"/>
  <c r="H50" i="10"/>
  <c r="L28" i="6"/>
  <c r="H26" i="17"/>
  <c r="H27" i="17" s="1"/>
  <c r="H42" i="8"/>
  <c r="I50" i="10" l="1"/>
  <c r="M28" i="6"/>
  <c r="I26" i="17"/>
  <c r="I27" i="17" s="1"/>
  <c r="J38" i="8"/>
  <c r="J42" i="8" s="1"/>
  <c r="I42" i="8"/>
  <c r="J26" i="17" l="1"/>
  <c r="J27" i="17" s="1"/>
  <c r="J50" i="10"/>
  <c r="N28" i="6"/>
  <c r="J30" i="6"/>
  <c r="J35" i="6" s="1"/>
  <c r="F16" i="10" l="1"/>
  <c r="F51" i="10" s="1"/>
  <c r="F53" i="10" s="1"/>
  <c r="F4" i="10"/>
  <c r="F7" i="10" s="1"/>
  <c r="J37" i="6"/>
  <c r="F22" i="10" s="1"/>
  <c r="F16" i="21"/>
  <c r="J36" i="6"/>
  <c r="F11" i="21"/>
  <c r="F21" i="10" l="1"/>
  <c r="F26" i="10" s="1"/>
  <c r="F57" i="10" s="1"/>
  <c r="C21" i="14"/>
  <c r="F9" i="16"/>
  <c r="F11" i="16" s="1"/>
  <c r="F18" i="16" s="1"/>
  <c r="F22" i="16" s="1"/>
  <c r="F32" i="8"/>
  <c r="F33" i="8" l="1"/>
  <c r="F27" i="10"/>
  <c r="F24" i="8"/>
  <c r="J53" i="6"/>
  <c r="J43" i="6"/>
  <c r="J42" i="6"/>
  <c r="J45" i="6"/>
  <c r="J54" i="6" l="1"/>
  <c r="J56" i="6"/>
  <c r="F35" i="8"/>
  <c r="K27" i="6"/>
  <c r="F26" i="8"/>
  <c r="F27" i="8" s="1"/>
  <c r="I97" i="6"/>
  <c r="I99" i="6" s="1"/>
  <c r="J65" i="6"/>
  <c r="J66" i="6"/>
  <c r="J61" i="6"/>
  <c r="K30" i="6" l="1"/>
  <c r="G16" i="10" s="1"/>
  <c r="G51" i="10" s="1"/>
  <c r="G53" i="10" s="1"/>
  <c r="K26" i="6"/>
  <c r="F10" i="21"/>
  <c r="F7" i="21"/>
  <c r="F6" i="21"/>
  <c r="F52" i="8"/>
  <c r="K35" i="6" l="1"/>
  <c r="K36" i="6" s="1"/>
  <c r="F28" i="8"/>
  <c r="F53" i="8"/>
  <c r="F29" i="8" s="1"/>
  <c r="K37" i="6"/>
  <c r="G16" i="21" l="1"/>
  <c r="G11" i="21"/>
  <c r="G4" i="10"/>
  <c r="G7" i="10" s="1"/>
  <c r="G21" i="10" s="1"/>
  <c r="D21" i="14"/>
  <c r="G22" i="10"/>
  <c r="G9" i="16"/>
  <c r="G11" i="16" s="1"/>
  <c r="G18" i="16" s="1"/>
  <c r="G22" i="16" s="1"/>
  <c r="K41" i="6"/>
  <c r="G32" i="8" s="1"/>
  <c r="G26" i="10" l="1"/>
  <c r="G27" i="10" s="1"/>
  <c r="K45" i="6"/>
  <c r="K53" i="6"/>
  <c r="K42" i="6"/>
  <c r="K43" i="6"/>
  <c r="G57" i="10" l="1"/>
  <c r="G24" i="8" s="1"/>
  <c r="G26" i="8" s="1"/>
  <c r="G27" i="8" s="1"/>
  <c r="K56" i="6"/>
  <c r="K54" i="6"/>
  <c r="G33" i="8"/>
  <c r="G35" i="8" s="1"/>
  <c r="K61" i="6"/>
  <c r="K65" i="6"/>
  <c r="K66" i="6"/>
  <c r="J97" i="6"/>
  <c r="J96" i="6" s="1"/>
  <c r="L27" i="6" l="1"/>
  <c r="L30" i="6" s="1"/>
  <c r="H16" i="10" s="1"/>
  <c r="H51" i="10" s="1"/>
  <c r="H53" i="10" s="1"/>
  <c r="G7" i="21"/>
  <c r="G10" i="21"/>
  <c r="G52" i="8"/>
  <c r="G28" i="8" s="1"/>
  <c r="G6" i="21"/>
  <c r="L26" i="6" l="1"/>
  <c r="L35" i="6"/>
  <c r="H16" i="21" s="1"/>
  <c r="G53" i="8"/>
  <c r="G29" i="8" s="1"/>
  <c r="L36" i="6"/>
  <c r="H11" i="21" l="1"/>
  <c r="H4" i="10"/>
  <c r="H7" i="10" s="1"/>
  <c r="H21" i="10" s="1"/>
  <c r="L37" i="6"/>
  <c r="L41" i="6" s="1"/>
  <c r="H32" i="8" s="1"/>
  <c r="L53" i="6" l="1"/>
  <c r="E21" i="14"/>
  <c r="H22" i="10"/>
  <c r="H26" i="10" s="1"/>
  <c r="H27" i="10" s="1"/>
  <c r="L42" i="6"/>
  <c r="L43" i="6"/>
  <c r="L65" i="6" s="1"/>
  <c r="H9" i="16"/>
  <c r="H11" i="16" s="1"/>
  <c r="H18" i="16" s="1"/>
  <c r="H22" i="16" s="1"/>
  <c r="L45" i="6"/>
  <c r="H33" i="8"/>
  <c r="H35" i="8" s="1"/>
  <c r="L56" i="6"/>
  <c r="L54" i="6"/>
  <c r="L66" i="6"/>
  <c r="L61" i="6" l="1"/>
  <c r="H57" i="10"/>
  <c r="H24" i="8" s="1"/>
  <c r="K97" i="6" s="1"/>
  <c r="K96" i="6" s="1"/>
  <c r="H6" i="21"/>
  <c r="H52" i="8"/>
  <c r="H26" i="8" l="1"/>
  <c r="H27" i="8" s="1"/>
  <c r="H53" i="8" s="1"/>
  <c r="H29" i="8" s="1"/>
  <c r="M27" i="6"/>
  <c r="M30" i="6"/>
  <c r="I16" i="10" s="1"/>
  <c r="I51" i="10" s="1"/>
  <c r="I53" i="10" s="1"/>
  <c r="M26" i="6"/>
  <c r="H7" i="21"/>
  <c r="H10" i="21" l="1"/>
  <c r="H28" i="8"/>
  <c r="M35" i="6"/>
  <c r="I11" i="21" s="1"/>
  <c r="I4" i="10" l="1"/>
  <c r="I7" i="10" s="1"/>
  <c r="I21" i="10" s="1"/>
  <c r="M36" i="6"/>
  <c r="I16" i="21"/>
  <c r="M37" i="6"/>
  <c r="M41" i="6" s="1"/>
  <c r="I32" i="8" s="1"/>
  <c r="I9" i="16" l="1"/>
  <c r="I11" i="16" s="1"/>
  <c r="I18" i="16" s="1"/>
  <c r="I22" i="16" s="1"/>
  <c r="F21" i="14"/>
  <c r="I22" i="10"/>
  <c r="I26" i="10" s="1"/>
  <c r="I57" i="10" s="1"/>
  <c r="I24" i="8" s="1"/>
  <c r="M43" i="6"/>
  <c r="M61" i="6" s="1"/>
  <c r="M53" i="6"/>
  <c r="M56" i="6" s="1"/>
  <c r="I33" i="8"/>
  <c r="I35" i="8" s="1"/>
  <c r="M45" i="6"/>
  <c r="M42" i="6"/>
  <c r="I27" i="10" l="1"/>
  <c r="M54" i="6"/>
  <c r="M66" i="6"/>
  <c r="M65" i="6"/>
  <c r="I6" i="21"/>
  <c r="I52" i="8"/>
  <c r="I26" i="8"/>
  <c r="I27" i="8" s="1"/>
  <c r="N27" i="6"/>
  <c r="L97" i="6"/>
  <c r="L96" i="6" s="1"/>
  <c r="N30" i="6" l="1"/>
  <c r="N35" i="6" s="1"/>
  <c r="N26" i="6"/>
  <c r="I53" i="8"/>
  <c r="I29" i="8" s="1"/>
  <c r="I10" i="21"/>
  <c r="I7" i="21"/>
  <c r="I28" i="8"/>
  <c r="J16" i="10" l="1"/>
  <c r="J51" i="10" s="1"/>
  <c r="J53" i="10" s="1"/>
  <c r="N37" i="6"/>
  <c r="J16" i="21"/>
  <c r="J4" i="10"/>
  <c r="J7" i="10" s="1"/>
  <c r="J11" i="21"/>
  <c r="N36" i="6"/>
  <c r="J21" i="10" l="1"/>
  <c r="G21" i="14"/>
  <c r="J22" i="10"/>
  <c r="J9" i="16"/>
  <c r="J11" i="16" s="1"/>
  <c r="J18" i="16" s="1"/>
  <c r="J22" i="16" s="1"/>
  <c r="N41" i="6"/>
  <c r="J32" i="8" s="1"/>
  <c r="J26" i="10" l="1"/>
  <c r="J27" i="10" s="1"/>
  <c r="N42" i="6"/>
  <c r="N43" i="6"/>
  <c r="N53" i="6"/>
  <c r="N45" i="6"/>
  <c r="J33" i="8"/>
  <c r="J35" i="8" s="1"/>
  <c r="J57" i="10" l="1"/>
  <c r="J24" i="8" s="1"/>
  <c r="J6" i="21"/>
  <c r="J52" i="8"/>
  <c r="N61" i="6"/>
  <c r="N65" i="6"/>
  <c r="N66" i="6"/>
  <c r="N56" i="6"/>
  <c r="N54" i="6"/>
  <c r="H10" i="14" l="1"/>
  <c r="H11" i="14" s="1"/>
  <c r="H12" i="14" s="1"/>
  <c r="J26" i="8"/>
  <c r="J27" i="8" s="1"/>
  <c r="J7" i="21" s="1"/>
  <c r="M97" i="6"/>
  <c r="M96" i="6" s="1"/>
  <c r="H53" i="14" l="1"/>
  <c r="H54" i="14" s="1"/>
  <c r="H55" i="14" s="1"/>
  <c r="L51" i="14" s="1"/>
  <c r="L54" i="14" s="1"/>
  <c r="J28" i="8"/>
  <c r="J53" i="8"/>
  <c r="J29" i="8" s="1"/>
  <c r="J10" i="21"/>
</calcChain>
</file>

<file path=xl/comments1.xml><?xml version="1.0" encoding="utf-8"?>
<comments xmlns="http://schemas.openxmlformats.org/spreadsheetml/2006/main">
  <authors>
    <author>Author</author>
  </authors>
  <commentList>
    <comment ref="R14" authorId="0" shapeId="0">
      <text>
        <r>
          <rPr>
            <b/>
            <sz val="9"/>
            <color indexed="81"/>
            <rFont val="Tahoma"/>
            <family val="2"/>
          </rPr>
          <t>Author:</t>
        </r>
        <r>
          <rPr>
            <sz val="9"/>
            <color indexed="81"/>
            <rFont val="Tahoma"/>
            <family val="2"/>
          </rPr>
          <t xml:space="preserve">
All of these Assumed Rates are Based on Company's Financial Reports
</t>
        </r>
      </text>
    </comment>
    <comment ref="U14" authorId="0" shapeId="0">
      <text>
        <r>
          <rPr>
            <b/>
            <sz val="9"/>
            <color indexed="81"/>
            <rFont val="Tahoma"/>
            <family val="2"/>
          </rPr>
          <t>Author:</t>
        </r>
        <r>
          <rPr>
            <sz val="9"/>
            <color indexed="81"/>
            <rFont val="Tahoma"/>
            <family val="2"/>
          </rPr>
          <t xml:space="preserve">
Decrease New Space Growth by .1% because of store disposal
 and 0.1% negative because of high competition</t>
        </r>
      </text>
    </comment>
    <comment ref="U25" authorId="0" shapeId="0">
      <text>
        <r>
          <rPr>
            <b/>
            <sz val="9"/>
            <color indexed="81"/>
            <rFont val="Tahoma"/>
            <family val="2"/>
          </rPr>
          <t>Author:</t>
        </r>
        <r>
          <rPr>
            <sz val="9"/>
            <color indexed="81"/>
            <rFont val="Tahoma"/>
            <family val="2"/>
          </rPr>
          <t xml:space="preserve">
Decrease New Space Growth by .1% because of store disposal
 and inc in ssg by 1.2%
</t>
        </r>
      </text>
    </comment>
    <comment ref="U38" authorId="0" shapeId="0">
      <text>
        <r>
          <rPr>
            <b/>
            <sz val="9"/>
            <color indexed="81"/>
            <rFont val="Tahoma"/>
            <family val="2"/>
          </rPr>
          <t>Growth Decline by 0.2%
while SSG will remain similar</t>
        </r>
      </text>
    </comment>
    <comment ref="U49" authorId="0" shapeId="0">
      <text>
        <r>
          <rPr>
            <b/>
            <sz val="9"/>
            <color indexed="81"/>
            <rFont val="Tahoma"/>
            <family val="2"/>
          </rPr>
          <t>Author:
Decline trend will start to improve because of growing market share and industry</t>
        </r>
      </text>
    </comment>
    <comment ref="U63" authorId="0" shapeId="0">
      <text>
        <r>
          <rPr>
            <b/>
            <sz val="9"/>
            <color indexed="81"/>
            <rFont val="Tahoma"/>
            <family val="2"/>
          </rPr>
          <t>Author:</t>
        </r>
        <r>
          <rPr>
            <sz val="9"/>
            <color indexed="81"/>
            <rFont val="Tahoma"/>
            <family val="2"/>
          </rPr>
          <t xml:space="preserve">
Normal Expected Growth and  SSG
</t>
        </r>
      </text>
    </comment>
    <comment ref="U74" authorId="0" shapeId="0">
      <text>
        <r>
          <rPr>
            <b/>
            <sz val="9"/>
            <color indexed="81"/>
            <rFont val="Tahoma"/>
            <family val="2"/>
          </rPr>
          <t>Author:</t>
        </r>
        <r>
          <rPr>
            <sz val="9"/>
            <color indexed="81"/>
            <rFont val="Tahoma"/>
            <family val="2"/>
          </rPr>
          <t xml:space="preserve">
Negative Space and SSG 
</t>
        </r>
      </text>
    </comment>
    <comment ref="U88" authorId="0" shapeId="0">
      <text>
        <r>
          <rPr>
            <b/>
            <sz val="9"/>
            <color indexed="81"/>
            <rFont val="Tahoma"/>
            <family val="2"/>
          </rPr>
          <t>Author:</t>
        </r>
        <r>
          <rPr>
            <sz val="9"/>
            <color indexed="81"/>
            <rFont val="Tahoma"/>
            <family val="2"/>
          </rPr>
          <t xml:space="preserve">
Stable Growth and Increase Market Share
</t>
        </r>
      </text>
    </comment>
  </commentList>
</comments>
</file>

<file path=xl/comments10.xml><?xml version="1.0" encoding="utf-8"?>
<comments xmlns="http://schemas.openxmlformats.org/spreadsheetml/2006/main">
  <authors>
    <author>Author</author>
  </authors>
  <commentList>
    <comment ref="K24" authorId="0" shapeId="0">
      <text>
        <r>
          <rPr>
            <b/>
            <sz val="9"/>
            <color indexed="81"/>
            <rFont val="Tahoma"/>
            <family val="2"/>
          </rPr>
          <t>Author:</t>
        </r>
        <r>
          <rPr>
            <sz val="9"/>
            <color indexed="81"/>
            <rFont val="Tahoma"/>
            <family val="2"/>
          </rPr>
          <t xml:space="preserve">
Simple Formula
Equity Value – Cash + Debt
May use Later
Enterprise Value = Equity Value – Cash + Debt + Minority Interest + Preferred Stock</t>
        </r>
      </text>
    </comment>
  </commentList>
</comments>
</file>

<file path=xl/comments2.xml><?xml version="1.0" encoding="utf-8"?>
<comments xmlns="http://schemas.openxmlformats.org/spreadsheetml/2006/main">
  <authors>
    <author>Author</author>
  </authors>
  <commentList>
    <comment ref="L1" authorId="0" shapeId="0">
      <text>
        <r>
          <rPr>
            <b/>
            <sz val="9"/>
            <color indexed="81"/>
            <rFont val="Tahoma"/>
            <family val="2"/>
          </rPr>
          <t>Author:</t>
        </r>
        <r>
          <rPr>
            <sz val="9"/>
            <color indexed="81"/>
            <rFont val="Tahoma"/>
            <family val="2"/>
          </rPr>
          <t xml:space="preserve">
Take into account the cost saving goal of Firm By Solar Pannels
</t>
        </r>
      </text>
    </comment>
    <comment ref="A4" authorId="0" shapeId="0">
      <text>
        <r>
          <rPr>
            <b/>
            <sz val="9"/>
            <color indexed="81"/>
            <rFont val="Tahoma"/>
            <family val="2"/>
          </rPr>
          <t>Author:</t>
        </r>
        <r>
          <rPr>
            <sz val="9"/>
            <color indexed="81"/>
            <rFont val="Tahoma"/>
            <family val="2"/>
          </rPr>
          <t xml:space="preserve">
consists of revenue from the property development and property trading businesses, other
revenue from rendering of services, incidental revenues and revenues from secondary activities, including
fees in connection with the sales of travel packages, fees related to franchise activity and income related to
energy efficiency activities.
</t>
        </r>
      </text>
    </comment>
    <comment ref="A16" authorId="0" shapeId="0">
      <text>
        <r>
          <rPr>
            <b/>
            <sz val="9"/>
            <color indexed="81"/>
            <rFont val="Tahoma"/>
            <family val="2"/>
          </rPr>
          <t>Author:</t>
        </r>
        <r>
          <rPr>
            <sz val="9"/>
            <color indexed="81"/>
            <rFont val="Tahoma"/>
            <family val="2"/>
          </rPr>
          <t xml:space="preserve">
Defined as significant items of income and expense that are limited in
number, unusual or abnormal, whose occurrence is rare
</t>
        </r>
      </text>
    </comment>
    <comment ref="A21" authorId="0" shapeId="0">
      <text>
        <r>
          <rPr>
            <b/>
            <sz val="9"/>
            <color indexed="81"/>
            <rFont val="Tahoma"/>
            <family val="2"/>
          </rPr>
          <t>Author:</t>
        </r>
        <r>
          <rPr>
            <sz val="9"/>
            <color indexed="81"/>
            <rFont val="Tahoma"/>
            <family val="2"/>
          </rPr>
          <t xml:space="preserve">
Based on 
Gains Made on Sales of NCAssets
+ Gains on remeasurement at fair value of different items
+ Forex Changes </t>
        </r>
      </text>
    </comment>
    <comment ref="K22" authorId="0" shapeId="0">
      <text>
        <r>
          <rPr>
            <b/>
            <sz val="9"/>
            <color indexed="81"/>
            <rFont val="Tahoma"/>
            <family val="2"/>
          </rPr>
          <t>Author:</t>
        </r>
        <r>
          <rPr>
            <sz val="9"/>
            <color indexed="81"/>
            <rFont val="Tahoma"/>
            <family val="2"/>
          </rPr>
          <t xml:space="preserve">
Author:
Reduction in Other Operating Income because of Completion of Asset Disposal
</t>
        </r>
      </text>
    </comment>
    <comment ref="A23" authorId="0" shapeId="0">
      <text>
        <r>
          <rPr>
            <b/>
            <sz val="9"/>
            <color indexed="81"/>
            <rFont val="Tahoma"/>
            <family val="2"/>
          </rPr>
          <t>Author:</t>
        </r>
        <r>
          <rPr>
            <b/>
            <sz val="9"/>
            <color indexed="81"/>
            <rFont val="Tahoma"/>
            <family val="2"/>
          </rPr>
          <t xml:space="preserve">
Based on 
Asset Valuation + Restructing Costs + Other Related Restructuring Costs(Like Risk and Litigation Costs)
Analyst Transcript 
Y 2018 
We also want to cut down on our operating expenses and savings on purchases up to
150 million by 2020.
</t>
        </r>
      </text>
    </comment>
    <comment ref="J24" authorId="0" shapeId="0">
      <text>
        <r>
          <rPr>
            <b/>
            <sz val="9"/>
            <color indexed="81"/>
            <rFont val="Tahoma"/>
            <family val="2"/>
          </rPr>
          <t>Author:</t>
        </r>
        <r>
          <rPr>
            <sz val="9"/>
            <color indexed="81"/>
            <rFont val="Tahoma"/>
            <family val="2"/>
          </rPr>
          <t xml:space="preserve">
Company's Goal to Reduce Opex by 130 million forecast given for FY 2019
AND 200 million for FY 2020
</t>
        </r>
      </text>
    </comment>
    <comment ref="L24" authorId="0" shapeId="0">
      <text>
        <r>
          <rPr>
            <b/>
            <sz val="9"/>
            <color indexed="81"/>
            <rFont val="Tahoma"/>
            <family val="2"/>
          </rPr>
          <t>Author:</t>
        </r>
        <r>
          <rPr>
            <sz val="9"/>
            <color indexed="81"/>
            <rFont val="Tahoma"/>
            <family val="2"/>
          </rPr>
          <t xml:space="preserve">
Reduction in Opex Because of Company's goal to cut down expenses and reduce this expense by 150 mil
lion
If we are following the 150 million cut which is around 1.5% the PAT is going abnormally high over the previos year
</t>
        </r>
      </text>
    </comment>
    <comment ref="A28" authorId="0" shapeId="0">
      <text>
        <r>
          <rPr>
            <b/>
            <sz val="9"/>
            <color indexed="81"/>
            <rFont val="Tahoma"/>
            <family val="2"/>
          </rPr>
          <t>Author:</t>
        </r>
        <r>
          <rPr>
            <sz val="9"/>
            <color indexed="81"/>
            <rFont val="Tahoma"/>
            <family val="2"/>
          </rPr>
          <t xml:space="preserve">
Expense of Hedging 
+
 Lease Payment Liabilities
+
The Assumption for the lease payment will be linked to the growth numbers for the stores and operational lease payments made for them
+ 
Distribution between Hedging and Lease Payments is around
 4:1 (80/20%) ratio 
therefore overall there be an increase in the Finance Costs by a multplier(growth in stores) into 20% approximately  (which currently i have assumed to be a .5% increase)</t>
        </r>
      </text>
    </comment>
    <comment ref="J29" authorId="0" shapeId="0">
      <text>
        <r>
          <rPr>
            <b/>
            <sz val="9"/>
            <color indexed="81"/>
            <rFont val="Tahoma"/>
            <family val="2"/>
          </rPr>
          <t xml:space="preserve">Author:
</t>
        </r>
      </text>
    </comment>
    <comment ref="A31" authorId="0" shapeId="0">
      <text>
        <r>
          <rPr>
            <b/>
            <sz val="9"/>
            <color indexed="81"/>
            <rFont val="Tahoma"/>
            <family val="2"/>
          </rPr>
          <t>Author:</t>
        </r>
        <r>
          <rPr>
            <sz val="9"/>
            <color indexed="81"/>
            <rFont val="Tahoma"/>
            <family val="2"/>
          </rPr>
          <t xml:space="preserve">
Investment Income + 
Forex + 
Fair Value of Assets + 
Lease Payments Received
</t>
        </r>
      </text>
    </comment>
    <comment ref="G31" authorId="0" shapeId="0">
      <text>
        <r>
          <rPr>
            <b/>
            <sz val="9"/>
            <color indexed="81"/>
            <rFont val="Tahoma"/>
            <family val="2"/>
          </rPr>
          <t>Author:</t>
        </r>
        <r>
          <rPr>
            <sz val="9"/>
            <color indexed="81"/>
            <rFont val="Tahoma"/>
            <family val="2"/>
          </rPr>
          <t xml:space="preserve">
Abnormal Gain of 185 on a Sale of an asset
</t>
        </r>
      </text>
    </comment>
    <comment ref="A33" authorId="0" shapeId="0">
      <text>
        <r>
          <rPr>
            <b/>
            <sz val="9"/>
            <color indexed="81"/>
            <rFont val="Tahoma"/>
            <family val="2"/>
          </rPr>
          <t>Author:</t>
        </r>
        <r>
          <rPr>
            <sz val="9"/>
            <color indexed="81"/>
            <rFont val="Tahoma"/>
            <family val="2"/>
          </rPr>
          <t xml:space="preserve">
Forex Lossses (Country Wise dependency)
+
Hedging Loss
+
Non-recourse factoring costs(Provision for Losses)
+
Other Financial Expenses(no specifics)
</t>
        </r>
      </text>
    </comment>
    <comment ref="A35" authorId="0" shapeId="0">
      <text>
        <r>
          <rPr>
            <b/>
            <sz val="9"/>
            <color indexed="81"/>
            <rFont val="Tahoma"/>
            <family val="2"/>
          </rPr>
          <t xml:space="preserve">Notes for PBT : 
</t>
        </r>
      </text>
    </comment>
    <comment ref="I40" authorId="0" shapeId="0">
      <text>
        <r>
          <rPr>
            <b/>
            <sz val="9"/>
            <color indexed="81"/>
            <rFont val="Tahoma"/>
            <family val="2"/>
          </rPr>
          <t>Author:</t>
        </r>
        <r>
          <rPr>
            <sz val="9"/>
            <color indexed="81"/>
            <rFont val="Tahoma"/>
            <family val="2"/>
          </rPr>
          <t xml:space="preserve">
Percentage Based Assumption on Past Historicals</t>
        </r>
      </text>
    </comment>
    <comment ref="A45" authorId="0" shapeId="0">
      <text>
        <r>
          <rPr>
            <b/>
            <sz val="9"/>
            <color indexed="81"/>
            <rFont val="Tahoma"/>
            <family val="2"/>
          </rPr>
          <t>Author:</t>
        </r>
        <r>
          <rPr>
            <sz val="9"/>
            <color indexed="81"/>
            <rFont val="Tahoma"/>
            <family val="2"/>
          </rPr>
          <t xml:space="preserve">
 A non-controlling interest is the
equity in a subsidiary not attributable, directly or indirectly, to a parent.
</t>
        </r>
      </text>
    </comment>
    <comment ref="J49" authorId="0" shapeId="0">
      <text>
        <r>
          <rPr>
            <b/>
            <sz val="9"/>
            <color indexed="81"/>
            <rFont val="Tahoma"/>
            <family val="2"/>
          </rPr>
          <t>Author:</t>
        </r>
        <r>
          <rPr>
            <sz val="9"/>
            <color indexed="81"/>
            <rFont val="Tahoma"/>
            <family val="2"/>
          </rPr>
          <t xml:space="preserve">
NEED SOME BETTER LOGIC for this than average or why average
</t>
        </r>
      </text>
    </comment>
    <comment ref="A58" authorId="0" shapeId="0">
      <text>
        <r>
          <rPr>
            <b/>
            <sz val="9"/>
            <color indexed="81"/>
            <rFont val="Tahoma"/>
            <family val="2"/>
          </rPr>
          <t>Author:</t>
        </r>
        <r>
          <rPr>
            <sz val="9"/>
            <color indexed="81"/>
            <rFont val="Tahoma"/>
            <family val="2"/>
          </rPr>
          <t xml:space="preserve">
They've proposed a dividend of 3.12 
Source : Pg 5,Calll transcript Y2018
</t>
        </r>
      </text>
    </comment>
    <comment ref="J84" authorId="0" shapeId="0">
      <text>
        <r>
          <rPr>
            <b/>
            <sz val="9"/>
            <color indexed="81"/>
            <rFont val="Tahoma"/>
            <family val="2"/>
          </rPr>
          <t>Author:</t>
        </r>
        <r>
          <rPr>
            <sz val="9"/>
            <color indexed="81"/>
            <rFont val="Tahoma"/>
            <family val="2"/>
          </rPr>
          <t xml:space="preserve">
This Declining number from Here also Explain the Group's Long Term Goal to reduce Sales Contribution from Retail and Shift More Towards E-Commerce and Digitisation
Verify with Outlook Later
</t>
        </r>
      </text>
    </comment>
    <comment ref="J86" authorId="0" shapeId="0">
      <text>
        <r>
          <rPr>
            <b/>
            <sz val="9"/>
            <color indexed="81"/>
            <rFont val="Tahoma"/>
            <family val="2"/>
          </rPr>
          <t>Author:</t>
        </r>
        <r>
          <rPr>
            <sz val="9"/>
            <color indexed="81"/>
            <rFont val="Tahoma"/>
            <family val="2"/>
          </rPr>
          <t xml:space="preserve">
As Mentioned in the Annual Report
 Growth in trading profit for the retail business of 10% per year;</t>
        </r>
      </text>
    </comment>
  </commentList>
</comments>
</file>

<file path=xl/comments3.xml><?xml version="1.0" encoding="utf-8"?>
<comments xmlns="http://schemas.openxmlformats.org/spreadsheetml/2006/main">
  <authors>
    <author>Author</author>
  </authors>
  <commentList>
    <comment ref="F17" authorId="0" shapeId="0">
      <text>
        <r>
          <rPr>
            <b/>
            <sz val="9"/>
            <color indexed="81"/>
            <rFont val="Tahoma"/>
            <family val="2"/>
          </rPr>
          <t>Author:</t>
        </r>
        <r>
          <rPr>
            <sz val="9"/>
            <color indexed="81"/>
            <rFont val="Tahoma"/>
            <family val="2"/>
          </rPr>
          <t xml:space="preserve">
Already Included Under Net Finance Costs
</t>
        </r>
      </text>
    </comment>
    <comment ref="F19" authorId="0" shapeId="0">
      <text>
        <r>
          <rPr>
            <b/>
            <sz val="9"/>
            <color indexed="81"/>
            <rFont val="Tahoma"/>
            <family val="2"/>
          </rPr>
          <t>Author:</t>
        </r>
        <r>
          <rPr>
            <sz val="9"/>
            <color indexed="81"/>
            <rFont val="Tahoma"/>
            <family val="2"/>
          </rPr>
          <t xml:space="preserve">
Adjustment for NET PPE from Dep Schedule
</t>
        </r>
      </text>
    </comment>
    <comment ref="E21" authorId="0" shapeId="0">
      <text>
        <r>
          <rPr>
            <b/>
            <sz val="9"/>
            <color indexed="81"/>
            <rFont val="Tahoma"/>
            <family val="2"/>
          </rPr>
          <t>Author:</t>
        </r>
        <r>
          <rPr>
            <sz val="9"/>
            <color indexed="81"/>
            <rFont val="Tahoma"/>
            <family val="2"/>
          </rPr>
          <t xml:space="preserve">
The figure total is not matching from Statements
</t>
        </r>
      </text>
    </comment>
    <comment ref="F29" authorId="0" shapeId="0">
      <text>
        <r>
          <rPr>
            <b/>
            <sz val="9"/>
            <color indexed="81"/>
            <rFont val="Tahoma"/>
            <family val="2"/>
          </rPr>
          <t>Author:</t>
        </r>
        <r>
          <rPr>
            <sz val="9"/>
            <color indexed="81"/>
            <rFont val="Tahoma"/>
            <family val="2"/>
          </rPr>
          <t xml:space="preserve">
Check Capex Sheet 
Old Assumption
Method used to forecast Capex
As it can be observed that capex is ranging around 3.2% to 3.5% of Sales on a Historical Trend Basis
we can assume it to be similar for the future but other variables which can affect the assumptions are 
1.Asset Disposal with Store Closure
2.Reducing Store intensive format and focusing more on new Innovations based on Technology
</t>
        </r>
      </text>
    </comment>
    <comment ref="E30" authorId="0" shapeId="0">
      <text>
        <r>
          <rPr>
            <b/>
            <sz val="9"/>
            <color indexed="81"/>
            <rFont val="Tahoma"/>
            <family val="2"/>
          </rPr>
          <t>Author:</t>
        </r>
        <r>
          <rPr>
            <sz val="9"/>
            <color indexed="81"/>
            <rFont val="Tahoma"/>
            <family val="2"/>
          </rPr>
          <t xml:space="preserve">
No Data Given
 Use a Ratio from NCFA in B/S to predict numbers ?
</t>
        </r>
      </text>
    </comment>
    <comment ref="E32" authorId="0" shapeId="0">
      <text>
        <r>
          <rPr>
            <b/>
            <sz val="9"/>
            <color indexed="81"/>
            <rFont val="Tahoma"/>
            <family val="2"/>
          </rPr>
          <t>Author:</t>
        </r>
        <r>
          <rPr>
            <sz val="9"/>
            <color indexed="81"/>
            <rFont val="Tahoma"/>
            <family val="2"/>
          </rPr>
          <t xml:space="preserve">
Includes proceeds from disposals
+Gain/Loss
+Assets held for Sale
</t>
        </r>
      </text>
    </comment>
    <comment ref="O32" authorId="0" shapeId="0">
      <text>
        <r>
          <rPr>
            <b/>
            <sz val="9"/>
            <color indexed="81"/>
            <rFont val="Tahoma"/>
            <family val="2"/>
          </rPr>
          <t>Author:</t>
        </r>
        <r>
          <rPr>
            <sz val="9"/>
            <color indexed="81"/>
            <rFont val="Tahoma"/>
            <family val="2"/>
          </rPr>
          <t xml:space="preserve">
ASSET DISPOSAL
  AFFECTS FCF
</t>
        </r>
      </text>
    </comment>
    <comment ref="E33" authorId="0" shapeId="0">
      <text>
        <r>
          <rPr>
            <b/>
            <sz val="9"/>
            <color indexed="81"/>
            <rFont val="Tahoma"/>
            <family val="2"/>
          </rPr>
          <t>Author:</t>
        </r>
        <r>
          <rPr>
            <sz val="9"/>
            <color indexed="81"/>
            <rFont val="Tahoma"/>
            <family val="2"/>
          </rPr>
          <t xml:space="preserve">
No data
</t>
        </r>
      </text>
    </comment>
    <comment ref="E34" authorId="0" shapeId="0">
      <text>
        <r>
          <rPr>
            <b/>
            <sz val="9"/>
            <color indexed="81"/>
            <rFont val="Tahoma"/>
            <family val="2"/>
          </rPr>
          <t>Author:</t>
        </r>
        <r>
          <rPr>
            <sz val="9"/>
            <color indexed="81"/>
            <rFont val="Tahoma"/>
            <family val="2"/>
          </rPr>
          <t xml:space="preserve">
Acquiring Costs which can not be predicted for the future.</t>
        </r>
      </text>
    </comment>
    <comment ref="E36" authorId="0" shapeId="0">
      <text>
        <r>
          <rPr>
            <b/>
            <sz val="9"/>
            <color indexed="81"/>
            <rFont val="Tahoma"/>
            <family val="2"/>
          </rPr>
          <t xml:space="preserve">
No data
</t>
        </r>
      </text>
    </comment>
    <comment ref="E37" authorId="0" shapeId="0">
      <text>
        <r>
          <rPr>
            <b/>
            <sz val="9"/>
            <color indexed="81"/>
            <rFont val="Tahoma"/>
            <family val="2"/>
          </rPr>
          <t>Author:</t>
        </r>
        <r>
          <rPr>
            <sz val="9"/>
            <color indexed="81"/>
            <rFont val="Tahoma"/>
            <family val="2"/>
          </rPr>
          <t xml:space="preserve">
Author:
the only info given 
In 2018 and 2017, net cash from/(used in) discontinued operations mainly concerned Via Varejo
</t>
        </r>
      </text>
    </comment>
    <comment ref="G42" authorId="0" shapeId="0">
      <text>
        <r>
          <rPr>
            <b/>
            <sz val="9"/>
            <color indexed="81"/>
            <rFont val="Tahoma"/>
            <charset val="1"/>
          </rPr>
          <t>Author:</t>
        </r>
        <r>
          <rPr>
            <sz val="9"/>
            <color indexed="81"/>
            <rFont val="Tahoma"/>
            <charset val="1"/>
          </rPr>
          <t xml:space="preserve">
The company is not planning to pay dividends for the next years onwards
</t>
        </r>
      </text>
    </comment>
    <comment ref="F67" authorId="0" shapeId="0">
      <text>
        <r>
          <rPr>
            <b/>
            <sz val="9"/>
            <color indexed="81"/>
            <rFont val="Tahoma"/>
            <family val="2"/>
          </rPr>
          <t>Author:</t>
        </r>
        <r>
          <rPr>
            <sz val="9"/>
            <color indexed="81"/>
            <rFont val="Tahoma"/>
            <family val="2"/>
          </rPr>
          <t xml:space="preserve">
18% is assumed on a Historical Basis  ,because the company generated the similar cash flow last year by disposing the assets of similar magnitude in the FY-19  ,so assuming that similar cash inflow will result in the future because of asset disposals for the upcoming year 
2019 and 2020
 After that the next 3 years have been assumed to the company's normal expense around 5%
</t>
        </r>
      </text>
    </comment>
    <comment ref="F69" authorId="0" shapeId="0">
      <text>
        <r>
          <rPr>
            <b/>
            <sz val="9"/>
            <color indexed="81"/>
            <rFont val="Tahoma"/>
            <family val="2"/>
          </rPr>
          <t>Utkarsh Chaudhary:</t>
        </r>
        <r>
          <rPr>
            <sz val="9"/>
            <color indexed="81"/>
            <rFont val="Tahoma"/>
            <family val="2"/>
          </rPr>
          <t xml:space="preserve">
Assumed the same % interest on past historical basis
</t>
        </r>
      </text>
    </comment>
    <comment ref="F71" authorId="0" shapeId="0">
      <text>
        <r>
          <rPr>
            <b/>
            <sz val="9"/>
            <color indexed="81"/>
            <rFont val="Tahoma"/>
            <family val="2"/>
          </rPr>
          <t>Author:</t>
        </r>
        <r>
          <rPr>
            <sz val="9"/>
            <color indexed="81"/>
            <rFont val="Tahoma"/>
            <family val="2"/>
          </rPr>
          <t xml:space="preserve">
Assumed some Losses on Disposal of Assets after analysing the past trends and noticing a pattern of Negative Cash Flows linked with Company's Asset Disposal Plan which will continue till Year 2020 and after the restructring has been done the company may expect a certain poistive cash flow
</t>
        </r>
      </text>
    </comment>
  </commentList>
</comments>
</file>

<file path=xl/comments4.xml><?xml version="1.0" encoding="utf-8"?>
<comments xmlns="http://schemas.openxmlformats.org/spreadsheetml/2006/main">
  <authors>
    <author>Author</author>
  </authors>
  <commentList>
    <comment ref="A4" authorId="0" shapeId="0">
      <text>
        <r>
          <rPr>
            <b/>
            <sz val="9"/>
            <color indexed="81"/>
            <rFont val="Tahoma"/>
            <family val="2"/>
          </rPr>
          <t>Author:</t>
        </r>
        <r>
          <rPr>
            <sz val="9"/>
            <color indexed="81"/>
            <rFont val="Tahoma"/>
            <family val="2"/>
          </rPr>
          <t xml:space="preserve">
Will be forecasted with the help of Growth Number of Stores
+
Changes in Forex Variables
(Negative effect of forex can be shown because of LATAM Negatives)
</t>
        </r>
      </text>
    </comment>
    <comment ref="A5" authorId="0" shapeId="0">
      <text>
        <r>
          <rPr>
            <b/>
            <sz val="9"/>
            <color indexed="81"/>
            <rFont val="Tahoma"/>
            <family val="2"/>
          </rPr>
          <t>Author:</t>
        </r>
        <r>
          <rPr>
            <sz val="9"/>
            <color indexed="81"/>
            <rFont val="Tahoma"/>
            <family val="2"/>
          </rPr>
          <t xml:space="preserve">
Intangible assets consist mainly of purchased
software, software developed for internal use, trademarks, patents and lease premiums</t>
        </r>
      </text>
    </comment>
    <comment ref="A6" authorId="0" shapeId="0">
      <text>
        <r>
          <rPr>
            <b/>
            <sz val="9"/>
            <color indexed="81"/>
            <rFont val="Tahoma"/>
            <family val="2"/>
          </rPr>
          <t>Author:</t>
        </r>
        <r>
          <rPr>
            <sz val="9"/>
            <color indexed="81"/>
            <rFont val="Tahoma"/>
            <family val="2"/>
          </rPr>
          <t xml:space="preserve">
The logic behind using this ratio as measure to estimate future Intangile Assets
-Focus on Omni Channel Strategy 
-Amazon Prime Subscription 
-Ocado Innovative Technology 
-Digital and Mobile Apps Focus 
</t>
        </r>
      </text>
    </comment>
    <comment ref="A8" authorId="0" shapeId="0">
      <text>
        <r>
          <rPr>
            <b/>
            <sz val="9"/>
            <color indexed="81"/>
            <rFont val="Tahoma"/>
            <family val="2"/>
          </rPr>
          <t>Author:</t>
        </r>
        <r>
          <rPr>
            <sz val="9"/>
            <color indexed="81"/>
            <rFont val="Tahoma"/>
            <family val="2"/>
          </rPr>
          <t xml:space="preserve">
Affected by CGU
</t>
        </r>
      </text>
    </comment>
    <comment ref="A9" authorId="0" shapeId="0">
      <text>
        <r>
          <rPr>
            <b/>
            <sz val="9"/>
            <color indexed="81"/>
            <rFont val="Tahoma"/>
            <family val="2"/>
          </rPr>
          <t>Author:</t>
        </r>
        <r>
          <rPr>
            <sz val="9"/>
            <color indexed="81"/>
            <rFont val="Tahoma"/>
            <family val="2"/>
          </rPr>
          <t xml:space="preserve">
Consider their Omni Channel Future Strategy and Format Revamp Strategies
</t>
        </r>
      </text>
    </comment>
    <comment ref="A11" authorId="0" shapeId="0">
      <text>
        <r>
          <rPr>
            <b/>
            <sz val="9"/>
            <color indexed="81"/>
            <rFont val="Tahoma"/>
            <family val="2"/>
          </rPr>
          <t>Author:</t>
        </r>
        <r>
          <rPr>
            <sz val="9"/>
            <color indexed="81"/>
            <rFont val="Tahoma"/>
            <family val="2"/>
          </rPr>
          <t xml:space="preserve">
Property, plant and equipment are measured at cost less accumulated depreciation and any accumulated
impairment losses. 
Asset category               Depreciation period (years)
Land -
Buildings (structure)                               50
Roof waterproofing                                15
Fire protection of the building structure  25
Land improvements                                10 to 40
Building fixtures and fittings                    5 to 20
Technical installations, machinery            5 to 20
Computer equipment                              3 to 5 
</t>
        </r>
      </text>
    </comment>
    <comment ref="A12" authorId="0" shapeId="0">
      <text>
        <r>
          <rPr>
            <b/>
            <sz val="9"/>
            <color indexed="81"/>
            <rFont val="Tahoma"/>
            <family val="2"/>
          </rPr>
          <t>Author:</t>
        </r>
        <r>
          <rPr>
            <sz val="9"/>
            <color indexed="81"/>
            <rFont val="Tahoma"/>
            <family val="2"/>
          </rPr>
          <t xml:space="preserve">
Consider this
-Asset Disposal till 21
-Revamp of Diff Formats
-Shifting Focus to online Stores
-No.of CGU in consideration </t>
        </r>
      </text>
    </comment>
    <comment ref="Z13" authorId="0" shapeId="0">
      <text>
        <r>
          <rPr>
            <b/>
            <sz val="9"/>
            <color indexed="81"/>
            <rFont val="Tahoma"/>
            <family val="2"/>
          </rPr>
          <t xml:space="preserve">Author:
</t>
        </r>
      </text>
    </comment>
    <comment ref="A15" authorId="0" shapeId="0">
      <text>
        <r>
          <rPr>
            <b/>
            <sz val="9"/>
            <color indexed="81"/>
            <rFont val="Tahoma"/>
            <family val="2"/>
          </rPr>
          <t>Author:</t>
        </r>
        <r>
          <rPr>
            <sz val="9"/>
            <color indexed="81"/>
            <rFont val="Tahoma"/>
            <family val="2"/>
          </rPr>
          <t xml:space="preserve">
Investment property is property held by the Group to earn rental revenue or for capital appreciation or both. The
shopping malls owned by the Group are classified as investment property.
70% Stake is Held by Grup Exito Properties 
Reduction from 2015 to 2016 is because of the Operations Disposal in Thailand
Consists of 
Asset Sell/Buy 
+ Value Assesment 
+Forex Rates
</t>
        </r>
      </text>
    </comment>
    <comment ref="A16" authorId="0" shapeId="0">
      <text>
        <r>
          <rPr>
            <b/>
            <sz val="9"/>
            <color indexed="81"/>
            <rFont val="Tahoma"/>
            <family val="2"/>
          </rPr>
          <t>Author:</t>
        </r>
        <r>
          <rPr>
            <sz val="9"/>
            <color indexed="81"/>
            <rFont val="Tahoma"/>
            <family val="2"/>
          </rPr>
          <t xml:space="preserve">
Group's holding in different countries and in different formats.</t>
        </r>
      </text>
    </comment>
    <comment ref="A17" authorId="0" shapeId="0">
      <text>
        <r>
          <rPr>
            <b/>
            <sz val="9"/>
            <color indexed="81"/>
            <rFont val="Tahoma"/>
            <family val="2"/>
          </rPr>
          <t>Author:</t>
        </r>
        <r>
          <rPr>
            <sz val="9"/>
            <color indexed="81"/>
            <rFont val="Tahoma"/>
            <family val="2"/>
          </rPr>
          <t xml:space="preserve">
Loans 
+ Tax Benefit from Brazil
+Recievables
+Deposits by GPA 
+Prepaid Expenses
</t>
        </r>
      </text>
    </comment>
    <comment ref="A22" authorId="0" shapeId="0">
      <text>
        <r>
          <rPr>
            <b/>
            <sz val="9"/>
            <color indexed="81"/>
            <rFont val="Tahoma"/>
            <family val="2"/>
          </rPr>
          <t>Author:</t>
        </r>
        <r>
          <rPr>
            <sz val="9"/>
            <color indexed="81"/>
            <rFont val="Tahoma"/>
            <family val="2"/>
          </rPr>
          <t xml:space="preserve">
Other Recievables
+ Brazil Tax Benefit
+Prepiad 
+ Contract Expenses
</t>
        </r>
      </text>
    </comment>
    <comment ref="A25" authorId="0" shapeId="0">
      <text>
        <r>
          <rPr>
            <b/>
            <sz val="9"/>
            <color indexed="81"/>
            <rFont val="Tahoma"/>
            <family val="2"/>
          </rPr>
          <t>Author:</t>
        </r>
        <r>
          <rPr>
            <sz val="9"/>
            <color indexed="81"/>
            <rFont val="Tahoma"/>
            <family val="2"/>
          </rPr>
          <t xml:space="preserve">
All types of Unit, a by product of Discontinued Operations 
Held for sale + 
Equity or Trading Component also</t>
        </r>
      </text>
    </comment>
    <comment ref="E25" authorId="0" shapeId="0">
      <text>
        <r>
          <rPr>
            <b/>
            <sz val="9"/>
            <color indexed="81"/>
            <rFont val="Tahoma"/>
            <family val="2"/>
          </rPr>
          <t xml:space="preserve">This huge increase is because of Via Varejo and Other Store Disposals
</t>
        </r>
      </text>
    </comment>
    <comment ref="A38" authorId="0" shapeId="0">
      <text>
        <r>
          <rPr>
            <b/>
            <sz val="9"/>
            <color indexed="81"/>
            <rFont val="Tahoma"/>
            <family val="2"/>
          </rPr>
          <t>Author:</t>
        </r>
        <r>
          <rPr>
            <sz val="9"/>
            <color indexed="81"/>
            <rFont val="Tahoma"/>
            <family val="2"/>
          </rPr>
          <t xml:space="preserve">
Bonds 
+ 
Borrowings
+ Lease Impact
(Needs a Debt Schedule for itself)
Some info available in Analyst Calls</t>
        </r>
      </text>
    </comment>
    <comment ref="F38" authorId="0" shapeId="0">
      <text>
        <r>
          <rPr>
            <b/>
            <sz val="9"/>
            <color indexed="81"/>
            <rFont val="Tahoma"/>
            <family val="2"/>
          </rPr>
          <t>Author:</t>
        </r>
        <r>
          <rPr>
            <sz val="9"/>
            <color indexed="81"/>
            <rFont val="Tahoma"/>
            <family val="2"/>
          </rPr>
          <t xml:space="preserve">
Company Plans to Reduce debt by -65% till 
2021 
start from 18 at 2.7 billion onwards
</t>
        </r>
      </text>
    </comment>
    <comment ref="A46" authorId="0" shapeId="0">
      <text>
        <r>
          <rPr>
            <b/>
            <sz val="9"/>
            <color indexed="81"/>
            <rFont val="Tahoma"/>
            <family val="2"/>
          </rPr>
          <t>Author:</t>
        </r>
        <r>
          <rPr>
            <sz val="9"/>
            <color indexed="81"/>
            <rFont val="Tahoma"/>
            <family val="2"/>
          </rPr>
          <t xml:space="preserve">
Comprises of Current Portion of Borrowing
</t>
        </r>
      </text>
    </comment>
    <comment ref="A48" authorId="0" shapeId="0">
      <text>
        <r>
          <rPr>
            <b/>
            <sz val="9"/>
            <color indexed="81"/>
            <rFont val="Tahoma"/>
            <family val="2"/>
          </rPr>
          <t>Author:
No Note Reference</t>
        </r>
      </text>
    </comment>
    <comment ref="F58" authorId="0" shapeId="0">
      <text>
        <r>
          <rPr>
            <b/>
            <sz val="9"/>
            <color indexed="81"/>
            <rFont val="Tahoma"/>
            <family val="2"/>
          </rPr>
          <t>Author:</t>
        </r>
        <r>
          <rPr>
            <sz val="9"/>
            <color indexed="81"/>
            <rFont val="Tahoma"/>
            <family val="2"/>
          </rPr>
          <t xml:space="preserve">
Mentioned in the Investor Presentation to check </t>
        </r>
      </text>
    </comment>
    <comment ref="A64" authorId="0" shapeId="0">
      <text>
        <r>
          <rPr>
            <b/>
            <sz val="9"/>
            <color indexed="81"/>
            <rFont val="Tahoma"/>
            <family val="2"/>
          </rPr>
          <t>Author:</t>
        </r>
        <r>
          <rPr>
            <sz val="9"/>
            <color indexed="81"/>
            <rFont val="Tahoma"/>
            <family val="2"/>
          </rPr>
          <t xml:space="preserve">
Negative CCC is a good sign of the efficent operations
</t>
        </r>
      </text>
    </comment>
    <comment ref="F69" authorId="0" shapeId="0">
      <text>
        <r>
          <rPr>
            <b/>
            <sz val="9"/>
            <color indexed="81"/>
            <rFont val="Tahoma"/>
            <family val="2"/>
          </rPr>
          <t xml:space="preserve">Mentioned in the Investor Presentation for the day to be around 40
</t>
        </r>
      </text>
    </comment>
  </commentList>
</comments>
</file>

<file path=xl/comments5.xml><?xml version="1.0" encoding="utf-8"?>
<comments xmlns="http://schemas.openxmlformats.org/spreadsheetml/2006/main">
  <authors>
    <author>Author</author>
  </authors>
  <commentList>
    <comment ref="C28" authorId="0" shapeId="0">
      <text>
        <r>
          <rPr>
            <b/>
            <sz val="9"/>
            <color indexed="81"/>
            <rFont val="Tahoma"/>
            <family val="2"/>
          </rPr>
          <t>Author:</t>
        </r>
        <r>
          <rPr>
            <sz val="9"/>
            <color indexed="81"/>
            <rFont val="Tahoma"/>
            <family val="2"/>
          </rPr>
          <t xml:space="preserve">
According to H1 2019 
This figure is expected around 0.5 Billlion
</t>
        </r>
      </text>
    </comment>
  </commentList>
</comments>
</file>

<file path=xl/comments6.xml><?xml version="1.0" encoding="utf-8"?>
<comments xmlns="http://schemas.openxmlformats.org/spreadsheetml/2006/main">
  <authors>
    <author>Author</author>
  </authors>
  <commentList>
    <comment ref="G9" authorId="0" shapeId="0">
      <text>
        <r>
          <rPr>
            <b/>
            <sz val="9"/>
            <color indexed="81"/>
            <rFont val="Tahoma"/>
            <family val="2"/>
          </rPr>
          <t>Author:</t>
        </r>
        <r>
          <rPr>
            <sz val="9"/>
            <color indexed="81"/>
            <rFont val="Tahoma"/>
            <family val="2"/>
          </rPr>
          <t xml:space="preserve">
the company's target to have a net debt of less than 1.5 billion dollar for French Segment
</t>
        </r>
      </text>
    </comment>
    <comment ref="E11" authorId="0" shapeId="0">
      <text>
        <r>
          <rPr>
            <b/>
            <sz val="9"/>
            <color indexed="81"/>
            <rFont val="Tahoma"/>
            <family val="2"/>
          </rPr>
          <t>Author:</t>
        </r>
        <r>
          <rPr>
            <sz val="9"/>
            <color indexed="81"/>
            <rFont val="Tahoma"/>
            <family val="2"/>
          </rPr>
          <t xml:space="preserve">
Debt Assumptions for LATAM 
As we have observed over the past years for the LATAM segment that company has maintained an overall debt  ranging from 
845 to 1056 appprox </t>
        </r>
      </text>
    </comment>
    <comment ref="F14" authorId="0" shapeId="0">
      <text>
        <r>
          <rPr>
            <b/>
            <sz val="9"/>
            <color indexed="81"/>
            <rFont val="Tahoma"/>
            <family val="2"/>
          </rPr>
          <t>Author:</t>
        </r>
        <r>
          <rPr>
            <sz val="9"/>
            <color indexed="81"/>
            <rFont val="Tahoma"/>
            <family val="2"/>
          </rPr>
          <t xml:space="preserve">
Via Varejo Disposed
</t>
        </r>
      </text>
    </comment>
    <comment ref="F15" authorId="0" shapeId="0">
      <text>
        <r>
          <rPr>
            <b/>
            <sz val="9"/>
            <color indexed="81"/>
            <rFont val="Tahoma"/>
            <family val="2"/>
          </rPr>
          <t>Author:</t>
        </r>
        <r>
          <rPr>
            <sz val="9"/>
            <color indexed="81"/>
            <rFont val="Tahoma"/>
            <family val="2"/>
          </rPr>
          <t xml:space="preserve">
I've assumed that the company is willing to take debt around for 2 more years till the E-Commerce business becomes profitable
So therefore the Debt for the company has increased by %increase in sales and then in the year 
2020 the company wants to clear off its debt for the following years as observed in the past pattern 
therefore it's reducing it's debt for the next 2 years</t>
        </r>
      </text>
    </comment>
  </commentList>
</comments>
</file>

<file path=xl/comments7.xml><?xml version="1.0" encoding="utf-8"?>
<comments xmlns="http://schemas.openxmlformats.org/spreadsheetml/2006/main">
  <authors>
    <author>Author</author>
  </authors>
  <commentList>
    <comment ref="F1" authorId="0" shapeId="0">
      <text>
        <r>
          <rPr>
            <b/>
            <sz val="9"/>
            <color indexed="81"/>
            <rFont val="Tahoma"/>
            <family val="2"/>
          </rPr>
          <t xml:space="preserve">Effects of 
Asset Disposal Plan 
 and 
Following the Sale of Stores 
</t>
        </r>
      </text>
    </comment>
    <comment ref="A3" authorId="0" shapeId="0">
      <text>
        <r>
          <rPr>
            <b/>
            <sz val="9"/>
            <color indexed="81"/>
            <rFont val="Tahoma"/>
            <family val="2"/>
          </rPr>
          <t>Author:</t>
        </r>
        <r>
          <rPr>
            <sz val="9"/>
            <color indexed="81"/>
            <rFont val="Tahoma"/>
            <family val="2"/>
          </rPr>
          <t xml:space="preserve">
The company is considering to revamp the format of the stores so they are not really keen on adding a lot of stores but trying to leverage the omin channer retail Model of combining Online + Offline 
Drivers
1.Changing Store Structure
2.Focus on Omni Channel 
3.Asset Disposal on Loss Making Stores 
-2 for 19
</t>
        </r>
      </text>
    </comment>
    <comment ref="G3" authorId="0" shapeId="0">
      <text>
        <r>
          <rPr>
            <b/>
            <sz val="9"/>
            <color indexed="81"/>
            <rFont val="Tahoma"/>
            <family val="2"/>
          </rPr>
          <t>Author:</t>
        </r>
        <r>
          <rPr>
            <sz val="9"/>
            <color indexed="81"/>
            <rFont val="Tahoma"/>
            <family val="2"/>
          </rPr>
          <t xml:space="preserve">
There's a Decline because the company is planning to Reduce number of hypermarkets by 15% till year 21
</t>
        </r>
      </text>
    </comment>
    <comment ref="A6" authorId="0" shapeId="0">
      <text>
        <r>
          <rPr>
            <b/>
            <sz val="9"/>
            <color indexed="81"/>
            <rFont val="Tahoma"/>
            <family val="2"/>
          </rPr>
          <t>Author:</t>
        </r>
        <r>
          <rPr>
            <sz val="9"/>
            <color indexed="81"/>
            <rFont val="Tahoma"/>
            <family val="2"/>
          </rPr>
          <t xml:space="preserve">
Drivers
1.Loss Making Stores
-7
</t>
        </r>
      </text>
    </comment>
    <comment ref="L6" authorId="0" shapeId="0">
      <text>
        <r>
          <rPr>
            <b/>
            <sz val="9"/>
            <color indexed="81"/>
            <rFont val="Tahoma"/>
            <family val="2"/>
          </rPr>
          <t>Author:</t>
        </r>
        <r>
          <rPr>
            <sz val="9"/>
            <color indexed="81"/>
            <rFont val="Tahoma"/>
            <family val="2"/>
          </rPr>
          <t xml:space="preserve">
Monoprix, Naturalia, Franprix and Supermarchés Casino
will add UP Around 300 Stores</t>
        </r>
      </text>
    </comment>
    <comment ref="A9" authorId="0" shapeId="0">
      <text>
        <r>
          <rPr>
            <b/>
            <sz val="9"/>
            <color indexed="81"/>
            <rFont val="Tahoma"/>
            <family val="2"/>
          </rPr>
          <t>Author:</t>
        </r>
        <r>
          <rPr>
            <sz val="9"/>
            <color indexed="81"/>
            <rFont val="Tahoma"/>
            <family val="2"/>
          </rPr>
          <t xml:space="preserve">
-Acquired Sarenza 
-Undergoing Format Changes
-Tie Up with Amazon
-Loss making store disposal
-Multi Channel Strategy</t>
        </r>
      </text>
    </comment>
    <comment ref="A13" authorId="0" shapeId="0">
      <text>
        <r>
          <rPr>
            <b/>
            <sz val="9"/>
            <color indexed="81"/>
            <rFont val="Tahoma"/>
            <family val="2"/>
          </rPr>
          <t>Author:</t>
        </r>
        <r>
          <rPr>
            <sz val="9"/>
            <color indexed="81"/>
            <rFont val="Tahoma"/>
            <family val="2"/>
          </rPr>
          <t xml:space="preserve">
Follows mandarine concept 
ongoing strategy to transform the store network and improve its profitability,
Franprix-Leader Price had begun the process of selling a group of 105 Franprix and Leader Price stores to a
master franchisee 
-Focus on profitability
-Assset Disposal 
Format Change</t>
        </r>
      </text>
    </comment>
    <comment ref="A15" authorId="0" shapeId="0">
      <text>
        <r>
          <rPr>
            <b/>
            <sz val="9"/>
            <color indexed="81"/>
            <rFont val="Tahoma"/>
            <family val="2"/>
          </rPr>
          <t>Author:</t>
        </r>
        <r>
          <rPr>
            <sz val="9"/>
            <color indexed="81"/>
            <rFont val="Tahoma"/>
            <family val="2"/>
          </rPr>
          <t xml:space="preserve">
Undergoing a Format Change and facing stiff competition from other retailers
Drivers
1.Asset Disposal
2.Loss Making Stores
-9
</t>
        </r>
      </text>
    </comment>
    <comment ref="J15" authorId="0" shapeId="0">
      <text>
        <r>
          <rPr>
            <b/>
            <sz val="9"/>
            <color indexed="81"/>
            <rFont val="Tahoma"/>
            <family val="2"/>
          </rPr>
          <t>Author:</t>
        </r>
        <r>
          <rPr>
            <sz val="9"/>
            <color indexed="81"/>
            <rFont val="Tahoma"/>
            <family val="2"/>
          </rPr>
          <t xml:space="preserve">
It's No Growth or Very Little growth can be forecasted because of the 
High Competition in it's Segment and very less market to grow and even the company may plan to reduce the operating number of stores because of profitability problem.
</t>
        </r>
      </text>
    </comment>
    <comment ref="A17" authorId="0" shapeId="0">
      <text>
        <r>
          <rPr>
            <b/>
            <sz val="9"/>
            <color indexed="81"/>
            <rFont val="Tahoma"/>
            <family val="2"/>
          </rPr>
          <t>Author:</t>
        </r>
        <r>
          <rPr>
            <sz val="9"/>
            <color indexed="81"/>
            <rFont val="Tahoma"/>
            <family val="2"/>
          </rPr>
          <t xml:space="preserve">
Incluses Spar and Vival mostly</t>
        </r>
      </text>
    </comment>
    <comment ref="G17" authorId="0" shapeId="0">
      <text>
        <r>
          <rPr>
            <b/>
            <sz val="9"/>
            <color indexed="81"/>
            <rFont val="Tahoma"/>
            <family val="2"/>
          </rPr>
          <t>Author:</t>
        </r>
        <r>
          <rPr>
            <sz val="9"/>
            <color indexed="81"/>
            <rFont val="Tahoma"/>
            <family val="2"/>
          </rPr>
          <t xml:space="preserve">
Mentioned by the company
 300
 store addition
</t>
        </r>
      </text>
    </comment>
    <comment ref="F18" authorId="0" shapeId="0">
      <text>
        <r>
          <rPr>
            <b/>
            <sz val="9"/>
            <color indexed="81"/>
            <rFont val="Tahoma"/>
            <family val="2"/>
          </rPr>
          <t>Author:</t>
        </r>
        <r>
          <rPr>
            <sz val="9"/>
            <color indexed="81"/>
            <rFont val="Tahoma"/>
            <family val="2"/>
          </rPr>
          <t xml:space="preserve">
Strong Growth Fundamentals reported by the company and positive expectations of around 3-5% growth 
My conservative assumption will be 1%
Because 
Convinience is expected to grow around 2%  according to Investor Presentation because of High Organic Growth as well as Introduction of Franchise System
</t>
        </r>
      </text>
    </comment>
    <comment ref="H18" authorId="0" shapeId="0">
      <text>
        <r>
          <rPr>
            <b/>
            <sz val="9"/>
            <color indexed="81"/>
            <rFont val="Tahoma"/>
            <family val="2"/>
          </rPr>
          <t>Author:</t>
        </r>
        <r>
          <rPr>
            <sz val="9"/>
            <color indexed="81"/>
            <rFont val="Tahoma"/>
            <family val="2"/>
          </rPr>
          <t xml:space="preserve">
Observing a Past Growth Rate of 3% approx in normal economic situations and taking a conservative store growth approach 
I'm assuming the number to be  less than the previous growth rate
1% for future years
Reasons 
-Market Saturation and High Competition which may not lead to growth which was possible earlier
-High Number of Stores usually leads to sales cannibalization and also reduce 
Sales Per Area 
Unit/KPI
</t>
        </r>
      </text>
    </comment>
    <comment ref="A19" authorId="0" shapeId="0">
      <text>
        <r>
          <rPr>
            <b/>
            <sz val="9"/>
            <color indexed="81"/>
            <rFont val="Tahoma"/>
            <family val="2"/>
          </rPr>
          <t>Author:</t>
        </r>
        <r>
          <rPr>
            <sz val="9"/>
            <color indexed="81"/>
            <rFont val="Tahoma"/>
            <family val="2"/>
          </rPr>
          <t xml:space="preserve">
Real estate activities
+
New businesses
+
Casino Restauration
+
Banque Casino
+
New businesses
GreenYellow and 3w.relevanC </t>
        </r>
      </text>
    </comment>
    <comment ref="A20" authorId="0" shapeId="0">
      <text>
        <r>
          <rPr>
            <b/>
            <sz val="9"/>
            <color indexed="81"/>
            <rFont val="Tahoma"/>
            <family val="2"/>
          </rPr>
          <t>Author:</t>
        </r>
        <r>
          <rPr>
            <sz val="9"/>
            <color indexed="81"/>
            <rFont val="Tahoma"/>
            <family val="2"/>
          </rPr>
          <t xml:space="preserve">
has a multi-format positioning with hypermarkets
(Jumbo), supermarkets (Score and Spar), discount stores
(Cash), convenience stores (Supermaki, Douka Bé and SNIE),
and franchised stores (Vival). It has a total of 239 stores
in operation, including 113 franchised outlets in Réunion.
</t>
        </r>
      </text>
    </comment>
    <comment ref="F22" authorId="0" shapeId="0">
      <text>
        <r>
          <rPr>
            <b/>
            <sz val="9"/>
            <color indexed="81"/>
            <rFont val="Tahoma"/>
            <family val="2"/>
          </rPr>
          <t>Author:</t>
        </r>
        <r>
          <rPr>
            <sz val="9"/>
            <color indexed="81"/>
            <rFont val="Tahoma"/>
            <family val="2"/>
          </rPr>
          <t xml:space="preserve">
The firm's target to Dispose Assets to Minimize Losses
</t>
        </r>
      </text>
    </comment>
    <comment ref="A24" authorId="0" shapeId="0">
      <text>
        <r>
          <rPr>
            <b/>
            <sz val="9"/>
            <color indexed="81"/>
            <rFont val="Tahoma"/>
            <family val="2"/>
          </rPr>
          <t>Author:</t>
        </r>
        <r>
          <rPr>
            <sz val="9"/>
            <color indexed="81"/>
            <rFont val="Tahoma"/>
            <family val="2"/>
          </rPr>
          <t xml:space="preserve">
The Casino Group operates in Brazil, Colombia, Argentina
and Uruguay through 3,147 stores.
 It holds leadership or
co-leadership positions in most of these markets through
banners with a long-standing presence and a close
relationship with their customers
Latam Retail segment (GPA group, Éxito, Grupo Disco
Uruguay and Libertad food banners),
 Casino now operates in countries with
high growth potential, young populations and a still low
proportion of modern retail solutions.</t>
        </r>
      </text>
    </comment>
    <comment ref="A25" authorId="0" shapeId="0">
      <text>
        <r>
          <rPr>
            <b/>
            <sz val="9"/>
            <color indexed="81"/>
            <rFont val="Tahoma"/>
            <family val="2"/>
          </rPr>
          <t>Author:</t>
        </r>
        <r>
          <rPr>
            <sz val="9"/>
            <color indexed="81"/>
            <rFont val="Tahoma"/>
            <family val="2"/>
          </rPr>
          <t xml:space="preserve">
Libertad chain of hypermarkets
</t>
        </r>
      </text>
    </comment>
    <comment ref="A28" authorId="0" shapeId="0">
      <text>
        <r>
          <rPr>
            <b/>
            <sz val="9"/>
            <color indexed="81"/>
            <rFont val="Tahoma"/>
            <family val="2"/>
          </rPr>
          <t>Author:</t>
        </r>
        <r>
          <rPr>
            <sz val="9"/>
            <color indexed="81"/>
            <rFont val="Tahoma"/>
            <family val="2"/>
          </rPr>
          <t xml:space="preserve">
njoy high brand recognition: Disco, Devoto
and Géant. These banners have been subsidiaries of Éxito
since 2011.
</t>
        </r>
      </text>
    </comment>
    <comment ref="E28" authorId="0" shapeId="0">
      <text>
        <r>
          <rPr>
            <b/>
            <sz val="9"/>
            <color indexed="81"/>
            <rFont val="Tahoma"/>
            <family val="2"/>
          </rPr>
          <t>Author:</t>
        </r>
        <r>
          <rPr>
            <sz val="9"/>
            <color indexed="81"/>
            <rFont val="Tahoma"/>
            <family val="2"/>
          </rPr>
          <t xml:space="preserve">
https://www.imf.org/en/News/Articles/2019/02/15/NA021319-Five-Takeaways-from-Uruguay-Economic-Outlook</t>
        </r>
      </text>
    </comment>
    <comment ref="A34" authorId="0" shapeId="0">
      <text>
        <r>
          <rPr>
            <b/>
            <sz val="9"/>
            <color indexed="81"/>
            <rFont val="Tahoma"/>
            <family val="2"/>
          </rPr>
          <t>Author:</t>
        </r>
        <r>
          <rPr>
            <sz val="9"/>
            <color indexed="81"/>
            <rFont val="Tahoma"/>
            <family val="2"/>
          </rPr>
          <t xml:space="preserve">
 (GPA)
 GPA has significantly developed the cash
&amp; carry format with the Assaí banner in recent years.
This format represented 47% of GPA’s sales in 2018</t>
        </r>
      </text>
    </comment>
    <comment ref="E34" authorId="0" shapeId="0">
      <text>
        <r>
          <rPr>
            <b/>
            <sz val="9"/>
            <color indexed="81"/>
            <rFont val="Tahoma"/>
            <family val="2"/>
          </rPr>
          <t>Author:</t>
        </r>
        <r>
          <rPr>
            <sz val="9"/>
            <color indexed="81"/>
            <rFont val="Tahoma"/>
            <family val="2"/>
          </rPr>
          <t xml:space="preserve">
Bad Economic Prospects  for future and Past Negative Trends
</t>
        </r>
      </text>
    </comment>
    <comment ref="A46" authorId="0" shapeId="0">
      <text>
        <r>
          <rPr>
            <b/>
            <sz val="9"/>
            <color indexed="81"/>
            <rFont val="Tahoma"/>
            <family val="2"/>
          </rPr>
          <t>Author:</t>
        </r>
        <r>
          <rPr>
            <sz val="9"/>
            <color indexed="81"/>
            <rFont val="Tahoma"/>
            <family val="2"/>
          </rPr>
          <t xml:space="preserve">
Éxito subsidiary
Carulla Fresh Market, Éxito WOW and the
cash &amp; carry segment. Omni-channel sales 
https://www.globaldata.com/store/report/rt0286mr--retailing-in-colombia-market-shares-summary-forecasts-to-2021/</t>
        </r>
      </text>
    </comment>
  </commentList>
</comments>
</file>

<file path=xl/comments8.xml><?xml version="1.0" encoding="utf-8"?>
<comments xmlns="http://schemas.openxmlformats.org/spreadsheetml/2006/main">
  <authors>
    <author>Author</author>
  </authors>
  <commentList>
    <comment ref="A15" authorId="0" shapeId="0">
      <text>
        <r>
          <rPr>
            <b/>
            <sz val="9"/>
            <color indexed="81"/>
            <rFont val="Tahoma"/>
            <family val="2"/>
          </rPr>
          <t>Author:</t>
        </r>
        <r>
          <rPr>
            <sz val="9"/>
            <color indexed="81"/>
            <rFont val="Tahoma"/>
            <family val="2"/>
          </rPr>
          <t xml:space="preserve">
Property, plant and equipment are measured at cost less accumulated depreciation and any accumulated
impairment losses. 
Asset category               Depreciation period (years)
Land -
Buildings (structure)                               50
Roof waterproofing                                15
Fire protection of the building structure  25
Land improvements                                10 to 40
Building fixtures and fittings                    5 to 20
Technical installations, machinery            5 to 20
Computer equipment                              3 to 5 
</t>
        </r>
      </text>
    </comment>
    <comment ref="A27" authorId="0" shapeId="0">
      <text>
        <r>
          <rPr>
            <b/>
            <sz val="9"/>
            <color indexed="81"/>
            <rFont val="Tahoma"/>
            <family val="2"/>
          </rPr>
          <t>Author:</t>
        </r>
        <r>
          <rPr>
            <sz val="9"/>
            <color indexed="81"/>
            <rFont val="Tahoma"/>
            <family val="2"/>
          </rPr>
          <t xml:space="preserve">
 IAS 23 – Borrowing Costs: These amendments clarify that if any
specific borrowing remains outstanding after the related asset is
ready for its intended use or sale, that borrowing becomes part of
the funds that an entity borrows generally. These amendments
will be applicable on a prospective basis
</t>
        </r>
      </text>
    </comment>
    <comment ref="F29" authorId="0" shapeId="0">
      <text>
        <r>
          <rPr>
            <b/>
            <sz val="9"/>
            <color indexed="81"/>
            <rFont val="Tahoma"/>
            <family val="2"/>
          </rPr>
          <t>Author:</t>
        </r>
        <r>
          <rPr>
            <sz val="9"/>
            <color indexed="81"/>
            <rFont val="Tahoma"/>
            <family val="2"/>
          </rPr>
          <t xml:space="preserve">
Assumed Capex as % of Net Sales as mentioned in the Registration Document
The Capex has been assumed to be around 1.1 Billion in the future because of the following assumptions 
-The company has mentioned that they are going to cap their retail expenses under 350 million for the future 
-Thier strategy to reduce Hypermarkets and focus more on convienience and premium stores till 21 may be a signal of not reducing capex with a huge proportion but still being consistent with the sales.
-While in 2017 report they signalled to keep thier Overall capex around 1 billion ,which they were able to maintain</t>
        </r>
      </text>
    </comment>
    <comment ref="F36" authorId="0" shapeId="0">
      <text>
        <r>
          <rPr>
            <b/>
            <sz val="9"/>
            <color indexed="81"/>
            <rFont val="Tahoma"/>
            <family val="2"/>
          </rPr>
          <t>Author:</t>
        </r>
        <r>
          <rPr>
            <sz val="9"/>
            <color indexed="81"/>
            <rFont val="Tahoma"/>
            <family val="2"/>
          </rPr>
          <t xml:space="preserve">
The Reason for the Decline in capex is because of the Firms Shift to More Innovation and Technology based assets 
-Higher Investment towards Latam and E-Commerce to grow in those markets
</t>
        </r>
      </text>
    </comment>
  </commentList>
</comments>
</file>

<file path=xl/comments9.xml><?xml version="1.0" encoding="utf-8"?>
<comments xmlns="http://schemas.openxmlformats.org/spreadsheetml/2006/main">
  <authors>
    <author>Author</author>
  </authors>
  <commentList>
    <comment ref="A15" authorId="0" shapeId="0">
      <text>
        <r>
          <rPr>
            <b/>
            <sz val="9"/>
            <color indexed="81"/>
            <rFont val="Tahoma"/>
            <family val="2"/>
          </rPr>
          <t>Author:</t>
        </r>
        <r>
          <rPr>
            <sz val="9"/>
            <color indexed="81"/>
            <rFont val="Tahoma"/>
            <family val="2"/>
          </rPr>
          <t xml:space="preserve">
It comprises of 
-IFRS Changes 
-Change in Scope of Consolidation
-Effect of Exchage Rates
-Reclass. And Other
</t>
        </r>
      </text>
    </comment>
    <comment ref="H15" authorId="0" shapeId="0">
      <text>
        <r>
          <rPr>
            <b/>
            <sz val="9"/>
            <color indexed="81"/>
            <rFont val="Tahoma"/>
            <family val="2"/>
          </rPr>
          <t>Author:</t>
        </r>
        <r>
          <rPr>
            <sz val="9"/>
            <color indexed="81"/>
            <rFont val="Tahoma"/>
            <family val="2"/>
          </rPr>
          <t xml:space="preserve">
Company's Aim to Reduce the WC by 200 million
-Investor Presentation
for the year 2019 
After that a normal trend has been assumed
</t>
        </r>
      </text>
    </comment>
    <comment ref="I15" authorId="0" shapeId="0">
      <text>
        <r>
          <rPr>
            <b/>
            <sz val="9"/>
            <color indexed="81"/>
            <rFont val="Tahoma"/>
            <family val="2"/>
          </rPr>
          <t>Author:</t>
        </r>
        <r>
          <rPr>
            <sz val="9"/>
            <color indexed="81"/>
            <rFont val="Tahoma"/>
            <family val="2"/>
          </rPr>
          <t xml:space="preserve">
Usless Assumption can be removed
</t>
        </r>
      </text>
    </comment>
    <comment ref="H16" authorId="0" shapeId="0">
      <text>
        <r>
          <rPr>
            <b/>
            <sz val="9"/>
            <color indexed="81"/>
            <rFont val="Tahoma"/>
            <family val="2"/>
          </rPr>
          <t>Author:</t>
        </r>
        <r>
          <rPr>
            <sz val="9"/>
            <color indexed="81"/>
            <rFont val="Tahoma"/>
            <family val="2"/>
          </rPr>
          <t xml:space="preserve">
Taken from Investor Presentation
• Improvement of working capital by €200m supported by reduction of excess inventories related
to the “yellow vests” movement and the implementation of action plans to reduce inventories</t>
        </r>
      </text>
    </comment>
  </commentList>
</comments>
</file>

<file path=xl/connections.xml><?xml version="1.0" encoding="utf-8"?>
<connections xmlns="http://schemas.openxmlformats.org/spreadsheetml/2006/main">
  <connection id="1" name="Connection" type="4" refreshedVersion="6" background="1" saveData="1">
    <webPr sourceData="1" parsePre="1" consecutive="1" xl2000="1" url="https://www.globenewswire.com/news-release/2019/04/25/1809880/0/en/Casino-Group-Q1-2019-Sales.html" htmlFormat="all"/>
  </connection>
</connections>
</file>

<file path=xl/sharedStrings.xml><?xml version="1.0" encoding="utf-8"?>
<sst xmlns="http://schemas.openxmlformats.org/spreadsheetml/2006/main" count="780" uniqueCount="569">
  <si>
    <t>Sales</t>
  </si>
  <si>
    <t>Latam Retail</t>
  </si>
  <si>
    <t>Monoprix</t>
  </si>
  <si>
    <t>Supermarkets</t>
  </si>
  <si>
    <t>Franprix</t>
  </si>
  <si>
    <t>Hypermarkets</t>
  </si>
  <si>
    <t>Leader Price</t>
  </si>
  <si>
    <t>Growth</t>
  </si>
  <si>
    <t>Organic Growth</t>
  </si>
  <si>
    <t>Fuel Effects</t>
  </si>
  <si>
    <t>Calendar Effects</t>
  </si>
  <si>
    <t>Same-Store Growth(excl of Fuel)</t>
  </si>
  <si>
    <t>Same-Store Growth incl Fuel</t>
  </si>
  <si>
    <t>Same-Store Growth incl Fuel and Calendar</t>
  </si>
  <si>
    <t>New Space</t>
  </si>
  <si>
    <t>Calculated Sales</t>
  </si>
  <si>
    <t>Continuing Operations</t>
  </si>
  <si>
    <t>Net Sales</t>
  </si>
  <si>
    <t>Other Revenue</t>
  </si>
  <si>
    <t>Total Revenue</t>
  </si>
  <si>
    <t>COGS</t>
  </si>
  <si>
    <t>Gross Margin</t>
  </si>
  <si>
    <t>Selling Expenses</t>
  </si>
  <si>
    <t>Gen and Adm Expenses</t>
  </si>
  <si>
    <t>Trading Profit</t>
  </si>
  <si>
    <t>Other Operating Income</t>
  </si>
  <si>
    <t>Other Operating Expenses</t>
  </si>
  <si>
    <t>Operating Profit</t>
  </si>
  <si>
    <t>Income from cash and equivalent</t>
  </si>
  <si>
    <t>Finance Costs</t>
  </si>
  <si>
    <t>Net Finance Costs</t>
  </si>
  <si>
    <t>Other Financial Expense</t>
  </si>
  <si>
    <t>Income Tax</t>
  </si>
  <si>
    <t>Share of profit of equity-accounted investees</t>
  </si>
  <si>
    <t>Net profi t/(loss) from continuing operations</t>
  </si>
  <si>
    <t>Attributable to owners of the parent</t>
  </si>
  <si>
    <t>Attributable to non-controlling interests</t>
  </si>
  <si>
    <t>DISCONTINUED OPERATIONS</t>
  </si>
  <si>
    <t>Net profi t/(loss) from discontinued operations</t>
  </si>
  <si>
    <t>CONTINUING AND DISCONTINUED OPERATIONS</t>
  </si>
  <si>
    <t>Consolidated net profi t/(loss)</t>
  </si>
  <si>
    <t>Earnings per share</t>
  </si>
  <si>
    <t>Basic</t>
  </si>
  <si>
    <t> Diluted</t>
  </si>
  <si>
    <t>From continuing and discontinued operations, attributable to owners of the paren</t>
  </si>
  <si>
    <t>Convenience &amp; Other</t>
  </si>
  <si>
    <t>C-Discount</t>
  </si>
  <si>
    <t>Total Sales</t>
  </si>
  <si>
    <t>France Retail (Total)</t>
  </si>
  <si>
    <t>-</t>
  </si>
  <si>
    <t>2016 Q1</t>
  </si>
  <si>
    <t>2017 Q1</t>
  </si>
  <si>
    <t>2018 Q1</t>
  </si>
  <si>
    <t>2019 Q1</t>
  </si>
  <si>
    <t>2017 Q2</t>
  </si>
  <si>
    <t>2018 Q3</t>
  </si>
  <si>
    <t>2016 FY</t>
  </si>
  <si>
    <t>2016 Q3</t>
  </si>
  <si>
    <t>2016 Q2</t>
  </si>
  <si>
    <t>2017 Q3</t>
  </si>
  <si>
    <t>2017 Q4</t>
  </si>
  <si>
    <t>2017 FY</t>
  </si>
  <si>
    <t>2018 Q2</t>
  </si>
  <si>
    <t>2018 Q4</t>
  </si>
  <si>
    <t>2018 FY</t>
  </si>
  <si>
    <t>Purchases and change in inventories</t>
  </si>
  <si>
    <t>Logistics costs</t>
  </si>
  <si>
    <t>Other Income</t>
  </si>
  <si>
    <t>Proft Before Tax</t>
  </si>
  <si>
    <t>No. of Shares</t>
  </si>
  <si>
    <t>Weighted average number of ordinary shares before dilution</t>
  </si>
  <si>
    <t>Total diluted number of shares</t>
  </si>
  <si>
    <t>Consolidated statement of financial position</t>
  </si>
  <si>
    <t>Goodwill</t>
  </si>
  <si>
    <t>Intangible assets</t>
  </si>
  <si>
    <t>Property, plant and equipment</t>
  </si>
  <si>
    <t>Investment property</t>
  </si>
  <si>
    <t>Investments in equity-accounted investees</t>
  </si>
  <si>
    <t>Other non-current assets</t>
  </si>
  <si>
    <t>Deferred tax assets</t>
  </si>
  <si>
    <t>Inventories</t>
  </si>
  <si>
    <t>Trade receivables</t>
  </si>
  <si>
    <t>Other current assets</t>
  </si>
  <si>
    <t>Current tax assets</t>
  </si>
  <si>
    <t>Cash and cash equivalents</t>
  </si>
  <si>
    <t>Assets held for sale</t>
  </si>
  <si>
    <t>Total current assets</t>
  </si>
  <si>
    <t>TOTAL ASSETS</t>
  </si>
  <si>
    <t>Share capital</t>
  </si>
  <si>
    <t>Additional paid-in capital, treasury shares, retained earnings and consolidated net profit/(loss)</t>
  </si>
  <si>
    <t>Equity attributable to owners of the parent</t>
  </si>
  <si>
    <t>Non-controlling interests</t>
  </si>
  <si>
    <t>Total equity</t>
  </si>
  <si>
    <t>Non-current provisions for employee benefits</t>
  </si>
  <si>
    <t>Other non-current provisions</t>
  </si>
  <si>
    <t>Non-current financial liabilities</t>
  </si>
  <si>
    <t>Non-current put options granted to owners of non-controlling interests</t>
  </si>
  <si>
    <t>Other non-current liabilities</t>
  </si>
  <si>
    <t>Deferred tax liabilities</t>
  </si>
  <si>
    <t>Current provisions for employee benefits</t>
  </si>
  <si>
    <t>Other current provisions</t>
  </si>
  <si>
    <t>Trade payables</t>
  </si>
  <si>
    <t>Current financial liabilities</t>
  </si>
  <si>
    <t>Current put options granted to owners of non-controlling interests</t>
  </si>
  <si>
    <t>Current tax liabilities</t>
  </si>
  <si>
    <t>Other current liabilities</t>
  </si>
  <si>
    <t>Liabilities associated with assets held for sale</t>
  </si>
  <si>
    <t>Total current liabilities</t>
  </si>
  <si>
    <t>TOTAL EQUITY AND LIABILITIES</t>
  </si>
  <si>
    <t>Total NON-CURRENT LIABILITIES</t>
  </si>
  <si>
    <t>Total NON-CURRENT ASSETS</t>
  </si>
  <si>
    <t>ASSETS(€ millions)</t>
  </si>
  <si>
    <t>EQUITY AND LIABILITIES(€ millions)</t>
  </si>
  <si>
    <t>2019 E</t>
  </si>
  <si>
    <t>2020 E</t>
  </si>
  <si>
    <t>2021 E</t>
  </si>
  <si>
    <t>2022 E</t>
  </si>
  <si>
    <t>2023 E</t>
  </si>
  <si>
    <t>Profit before tax from continuing operations</t>
  </si>
  <si>
    <t>Profit/(loss) before tax from discontinued operations</t>
  </si>
  <si>
    <t>Consolidated profit before tax</t>
  </si>
  <si>
    <t>Depreciation and amortisation expense</t>
  </si>
  <si>
    <t>Provision expense</t>
  </si>
  <si>
    <t>Losses/(gains) arising from changes in fair value</t>
  </si>
  <si>
    <t>Expenses/(income) on share-based payment plans</t>
  </si>
  <si>
    <t>Other non-cash items</t>
  </si>
  <si>
    <t>(Gains)/losses on disposals of non-current assets</t>
  </si>
  <si>
    <t>(Gains)/losses due to changes in percentage ownership of subsidiaries resulting in acquisition/loss of control</t>
  </si>
  <si>
    <t>Dividends received from equity-accounted investees</t>
  </si>
  <si>
    <t>Net finance costs</t>
  </si>
  <si>
    <t>Non-recourse factoring and associated transaction costs</t>
  </si>
  <si>
    <t>Gain on disposal of discontinued operations</t>
  </si>
  <si>
    <t>Net cash from operating activities before change in working capital, net finance costs and income tax</t>
  </si>
  <si>
    <t>Income tax paid</t>
  </si>
  <si>
    <t>Change in operating working capital</t>
  </si>
  <si>
    <t>Income tax paid and change in operating working capital: discontinued operations</t>
  </si>
  <si>
    <t>Cash outflows related to acquisitions of:</t>
  </si>
  <si>
    <t>Property, plant and equipment, intangible assets and investment property</t>
  </si>
  <si>
    <t>Non-current financial assets</t>
  </si>
  <si>
    <t>Effect of changes in scope of consolidation resulting in acquisition or loss of control</t>
  </si>
  <si>
    <t>Effect of changes in scope of consolidation related to equity-accounted investees</t>
  </si>
  <si>
    <t>Change in loans and advances granted</t>
  </si>
  <si>
    <t>Net cash from/(used in) investing activities of discontinued operations</t>
  </si>
  <si>
    <t>Dividends paid:</t>
  </si>
  <si>
    <t>To owners of the parent</t>
  </si>
  <si>
    <t>To non-controlling interests</t>
  </si>
  <si>
    <t> To holders of deeply subordinated perpetual bonds</t>
  </si>
  <si>
    <t>Increase/(decrease) in the parent’s share capital</t>
  </si>
  <si>
    <t>Transactions between the Group and owners of non-controlling interests</t>
  </si>
  <si>
    <t>(Purchases)/sales of treasury shares</t>
  </si>
  <si>
    <t>Additions to borrowings</t>
  </si>
  <si>
    <t>Repayments of borrowings</t>
  </si>
  <si>
    <t>Interest paid, net</t>
  </si>
  <si>
    <t>Net cash used in financing activities of discontinued operations</t>
  </si>
  <si>
    <t xml:space="preserve">Net cash used in financing activities </t>
  </si>
  <si>
    <t>Of which continuing operations</t>
  </si>
  <si>
    <t>Effect of changes in exchange rates on cash and cash equivalents of continuing operations</t>
  </si>
  <si>
    <t>Effect of changes in exchange rates on cash and cash equivalents of discontinued operations</t>
  </si>
  <si>
    <t>Change in cash and cash equivalents</t>
  </si>
  <si>
    <t>Net cash and cash equivalents at beginning of period</t>
  </si>
  <si>
    <t>Of which net cash and cash equivalents of continuing operations</t>
  </si>
  <si>
    <t>Of which net cash and cash equivalents of discontinued operations</t>
  </si>
  <si>
    <t>Net cash and cash equivalents at end of period</t>
  </si>
  <si>
    <t>Net cash from operating activities</t>
  </si>
  <si>
    <t xml:space="preserve"> Of which continuing operations</t>
  </si>
  <si>
    <t xml:space="preserve"> Cash inflows related to disposals of</t>
  </si>
  <si>
    <t xml:space="preserve">Net cash used in investing activities </t>
  </si>
  <si>
    <t>Consolidated statement of cash flows(€ millions)</t>
  </si>
  <si>
    <t>Repayment of mandatory convertible bonds</t>
  </si>
  <si>
    <t xml:space="preserve">Non-current financial assets </t>
  </si>
  <si>
    <t>2019 Q2 E</t>
  </si>
  <si>
    <t>2019 Q3 E</t>
  </si>
  <si>
    <t>2019 Q4 E</t>
  </si>
  <si>
    <t>2019 FY E</t>
  </si>
  <si>
    <t>As of Revenue</t>
  </si>
  <si>
    <t>As of COGS</t>
  </si>
  <si>
    <t xml:space="preserve">Sales Assumptions </t>
  </si>
  <si>
    <t xml:space="preserve">Mono Prix </t>
  </si>
  <si>
    <t>Acquires Sarenza Shoes Retailer</t>
  </si>
  <si>
    <t xml:space="preserve">Partnetship with Amazon Prime </t>
  </si>
  <si>
    <t>2016 Q4</t>
  </si>
  <si>
    <t>55 Monoprix Stores Sold - AssetDispPlan</t>
  </si>
  <si>
    <t>inauguration of the “4 Casino” in October,</t>
  </si>
  <si>
    <t>4 new Stores,tech improv with 24x7</t>
  </si>
  <si>
    <t>arket Share Maintained</t>
  </si>
  <si>
    <t xml:space="preserve">Stable Normal Growth </t>
  </si>
  <si>
    <t>Store Disposal Also the Case</t>
  </si>
  <si>
    <t>Average Taken of Past Data</t>
  </si>
  <si>
    <t>Past Quarter Numbers As Reference</t>
  </si>
  <si>
    <t>Store Disposal in Huge Qty for Leader Price and Franpix</t>
  </si>
  <si>
    <t>Good Growth and Increase in Market Share by 0.1 points</t>
  </si>
  <si>
    <t>E-comm also grew for this format</t>
  </si>
  <si>
    <t>The sales are expected to be completed in the first half of 2019.</t>
  </si>
  <si>
    <t>sell six Géant Hypermarkets in France to Leclerc</t>
  </si>
  <si>
    <t xml:space="preserve">Store Format Restructring </t>
  </si>
  <si>
    <t>Sales Down By 0.5%</t>
  </si>
  <si>
    <t>Store Disposal - 9 stores</t>
  </si>
  <si>
    <t xml:space="preserve"> Convenience</t>
  </si>
  <si>
    <t>Store Expansion till Year 21</t>
  </si>
  <si>
    <t>Format transformation</t>
  </si>
  <si>
    <t>Good Growth till year 21</t>
  </si>
  <si>
    <t>Already good organic and SSG</t>
  </si>
  <si>
    <t xml:space="preserve">C-discount </t>
  </si>
  <si>
    <t>good growth and High capex</t>
  </si>
  <si>
    <t xml:space="preserve">wiling to expand </t>
  </si>
  <si>
    <t>high growth and SSG</t>
  </si>
  <si>
    <t xml:space="preserve">growth to over 5bn </t>
  </si>
  <si>
    <t>Good growth over past years</t>
  </si>
  <si>
    <t>Latam</t>
  </si>
  <si>
    <t>2020 Q2 E</t>
  </si>
  <si>
    <t>2020 Q3 E</t>
  </si>
  <si>
    <t>2020 Q4 E</t>
  </si>
  <si>
    <t>2020 FY E</t>
  </si>
  <si>
    <t>2021 Q1</t>
  </si>
  <si>
    <t>2021 Q2 E</t>
  </si>
  <si>
    <t>2021 Q3 E</t>
  </si>
  <si>
    <t>2021 Q4 E</t>
  </si>
  <si>
    <t>2021 FY E</t>
  </si>
  <si>
    <t>2020 Q1 E</t>
  </si>
  <si>
    <t>2022 Q1</t>
  </si>
  <si>
    <t>2022 Q2 E</t>
  </si>
  <si>
    <t>2022 Q3 E</t>
  </si>
  <si>
    <t>2022Q4 E</t>
  </si>
  <si>
    <t>2022 FY E</t>
  </si>
  <si>
    <t>2023 Q1</t>
  </si>
  <si>
    <t>2023 Q2 E</t>
  </si>
  <si>
    <t>2023 Q3 E</t>
  </si>
  <si>
    <t>2023 Q4 E</t>
  </si>
  <si>
    <t>2023 FY E</t>
  </si>
  <si>
    <t>2024 Q1</t>
  </si>
  <si>
    <t>2024 Q2 E</t>
  </si>
  <si>
    <t>2024 Q3 E</t>
  </si>
  <si>
    <t>2024 Q4 E</t>
  </si>
  <si>
    <t>2024 FY E</t>
  </si>
  <si>
    <t>Yoy Growth</t>
  </si>
  <si>
    <t>Mono Prox Growth wil be affected after 21 Cause stores will be disposed later</t>
  </si>
  <si>
    <t xml:space="preserve">Number Estimate </t>
  </si>
  <si>
    <t xml:space="preserve">Also Store Disposal So </t>
  </si>
  <si>
    <t>Grwoth Decline by 0.5% to 1% over various quarters</t>
  </si>
  <si>
    <t>Increase in sales by 1% expectations But cyclic variations will dip the Rate by some %</t>
  </si>
  <si>
    <t xml:space="preserve">Growth By </t>
  </si>
  <si>
    <t>0.5 to 0.75%</t>
  </si>
  <si>
    <t>Good Growth Expectations over 21 and Beyond by .5% per quarter</t>
  </si>
  <si>
    <t>E-commerce market growth and high -reinvstment may lead to better growth than past trends</t>
  </si>
  <si>
    <t>Sales Growth YoY %</t>
  </si>
  <si>
    <t>Dependent on Brazil's Economy</t>
  </si>
  <si>
    <t xml:space="preserve">1.Maco Variable </t>
  </si>
  <si>
    <t xml:space="preserve">Country's Economy and Health </t>
  </si>
  <si>
    <t>Government Policies for the Industry</t>
  </si>
  <si>
    <t>Sectoral Stage and Growth</t>
  </si>
  <si>
    <t>2.Micro Variable</t>
  </si>
  <si>
    <t>Interal Company Management</t>
  </si>
  <si>
    <t>Inflation of the Economy</t>
  </si>
  <si>
    <t xml:space="preserve">France and LATAM Economy's Health </t>
  </si>
  <si>
    <t xml:space="preserve">Gov Policies for the Retail Sector </t>
  </si>
  <si>
    <t>Sector Variation and Overall Industry</t>
  </si>
  <si>
    <t>Market Share of the Industry</t>
  </si>
  <si>
    <t>Internal and Operational Efficiency of the Company</t>
  </si>
  <si>
    <t>Quarter BY Quarter Assumption vs Year by Year Assumption ?</t>
  </si>
  <si>
    <t>__&gt;</t>
  </si>
  <si>
    <t>Number of Approaches I can follow</t>
  </si>
  <si>
    <t>1.Quarter By Quarter Cyclic Variations and Growth in it By Individual Company's Variables</t>
  </si>
  <si>
    <t>2.Year Growth - Average Growth In Quarters</t>
  </si>
  <si>
    <t>Sales Forecast Assumptions</t>
  </si>
  <si>
    <r>
      <t>The economy and your particular industry</t>
    </r>
    <r>
      <rPr>
        <sz val="13"/>
        <color rgb="FF222222"/>
        <rFont val="Arial"/>
        <family val="2"/>
      </rPr>
      <t> </t>
    </r>
  </si>
  <si>
    <t>Your products or services</t>
  </si>
  <si>
    <t>___&gt;</t>
  </si>
  <si>
    <t>As % of Sales</t>
  </si>
  <si>
    <t>% of Revenue</t>
  </si>
  <si>
    <t>Effective Tax %</t>
  </si>
  <si>
    <t>Dividend Paid on Subordinte Bonds</t>
  </si>
  <si>
    <t>Inventory Turnover</t>
  </si>
  <si>
    <t>DSI</t>
  </si>
  <si>
    <t>Recievable Turnver</t>
  </si>
  <si>
    <t>DSO</t>
  </si>
  <si>
    <t>Payable Turnover</t>
  </si>
  <si>
    <t>Cash Conversion Cycle</t>
  </si>
  <si>
    <t>DPO</t>
  </si>
  <si>
    <t xml:space="preserve">Check Sum </t>
  </si>
  <si>
    <r>
      <t>(</t>
    </r>
    <r>
      <rPr>
        <b/>
        <sz val="11"/>
        <color indexed="10"/>
        <rFont val="Calibri"/>
        <family val="2"/>
      </rPr>
      <t xml:space="preserve">Red </t>
    </r>
    <r>
      <rPr>
        <sz val="11"/>
        <color theme="1"/>
        <rFont val="Calibri"/>
        <family val="2"/>
        <scheme val="minor"/>
      </rPr>
      <t xml:space="preserve">for assumptions and </t>
    </r>
    <r>
      <rPr>
        <b/>
        <sz val="11"/>
        <color indexed="8"/>
        <rFont val="Calibri"/>
        <family val="2"/>
      </rPr>
      <t>Black</t>
    </r>
    <r>
      <rPr>
        <sz val="11"/>
        <color theme="1"/>
        <rFont val="Calibri"/>
        <family val="2"/>
        <scheme val="minor"/>
      </rPr>
      <t xml:space="preserve"> for Calculations)</t>
    </r>
  </si>
  <si>
    <t>Enterpsire Value (EV)</t>
  </si>
  <si>
    <t>Debt Equity Weightage</t>
  </si>
  <si>
    <t>E/(D+E)</t>
  </si>
  <si>
    <t>Current Market Price</t>
  </si>
  <si>
    <t>D/(D+E)</t>
  </si>
  <si>
    <t>Diluted Shares</t>
  </si>
  <si>
    <t>CAPM Assumptions</t>
  </si>
  <si>
    <t>Market Capitalisation (E)</t>
  </si>
  <si>
    <t>Interest Rate (%)</t>
  </si>
  <si>
    <t>Ke</t>
  </si>
  <si>
    <t>Debt (D)</t>
  </si>
  <si>
    <t>Tax Rate (@)</t>
  </si>
  <si>
    <t>RFR</t>
  </si>
  <si>
    <t>Less: Cash &amp; Cash Equivalents</t>
  </si>
  <si>
    <t>Beta</t>
  </si>
  <si>
    <t>Net Debt</t>
  </si>
  <si>
    <t>WACC Calculation</t>
  </si>
  <si>
    <t>Rp = Rm - Rf</t>
  </si>
  <si>
    <t>Current Enterprise Value (EV)</t>
  </si>
  <si>
    <t>WACC</t>
  </si>
  <si>
    <t>Calculation of Free Cash Flow</t>
  </si>
  <si>
    <t>Explicit Forecast Period</t>
  </si>
  <si>
    <t>Terminal Year</t>
  </si>
  <si>
    <t>Revenues</t>
  </si>
  <si>
    <t>EBITDA</t>
  </si>
  <si>
    <t>EBIT</t>
  </si>
  <si>
    <t>Tax Expense</t>
  </si>
  <si>
    <t>Net Operating Profit After Tax = EBIT - Tax Expense</t>
  </si>
  <si>
    <t>Depreciation &amp; Amortisation</t>
  </si>
  <si>
    <t>Working Capital Change</t>
  </si>
  <si>
    <t>Operating Cash Flow</t>
  </si>
  <si>
    <t>Capex</t>
  </si>
  <si>
    <t>FCFF</t>
  </si>
  <si>
    <t>Projection Year</t>
  </si>
  <si>
    <t>Discount Factor</t>
  </si>
  <si>
    <t>Present Value of FCF</t>
  </si>
  <si>
    <t>Y/Y Growth Analysis</t>
  </si>
  <si>
    <t>Margin Analysis (As % of Revenues)</t>
  </si>
  <si>
    <t>EBITDA Margin</t>
  </si>
  <si>
    <t>EBIT Margin</t>
  </si>
  <si>
    <t>Terminal Value</t>
  </si>
  <si>
    <t>Calculated Equity Value</t>
  </si>
  <si>
    <t>Intrinsic Value</t>
  </si>
  <si>
    <t>Enterprise Value</t>
  </si>
  <si>
    <t>Equity Value</t>
  </si>
  <si>
    <t>-   Debt</t>
  </si>
  <si>
    <t>Long term growth in EBIT</t>
  </si>
  <si>
    <t>+  Cash</t>
  </si>
  <si>
    <t>Present Value of terminal value</t>
  </si>
  <si>
    <t>Terminal Value as % of Total Value</t>
  </si>
  <si>
    <t>Concessions, trademarks, licences and banners</t>
  </si>
  <si>
    <t>Lease premiums</t>
  </si>
  <si>
    <t>Software</t>
  </si>
  <si>
    <t>Other</t>
  </si>
  <si>
    <t>Buildings, fixtures and fittings</t>
  </si>
  <si>
    <t>Land and land improvements</t>
  </si>
  <si>
    <t>-Impairment</t>
  </si>
  <si>
    <t>Net PPE</t>
  </si>
  <si>
    <t>Other Financial Income</t>
  </si>
  <si>
    <t>Convenience</t>
  </si>
  <si>
    <t>Store network at period-end</t>
  </si>
  <si>
    <t>FRANCE</t>
  </si>
  <si>
    <t>Géant Casino Hypermarkets</t>
  </si>
  <si>
    <t>Naturalia</t>
  </si>
  <si>
    <t>Naturalia franchises</t>
  </si>
  <si>
    <t>Other activities (Restaurants, Drive, etc.)</t>
  </si>
  <si>
    <t>Indian Ocean</t>
  </si>
  <si>
    <t>Libertad hypermarkets</t>
  </si>
  <si>
    <t>Mini Libertad and Petit Libertad mini-supermarkets</t>
  </si>
  <si>
    <t>URUGUAY</t>
  </si>
  <si>
    <t>Géant hypermarkets</t>
  </si>
  <si>
    <t>Disco supermarkets</t>
  </si>
  <si>
    <t>Devoto supermarkets</t>
  </si>
  <si>
    <t>Devoto Express mini-supermarkets</t>
  </si>
  <si>
    <t>BRAZIL</t>
  </si>
  <si>
    <t>Extra hypermarkets</t>
  </si>
  <si>
    <t>Pão de Açúcar supermarkets</t>
  </si>
  <si>
    <t>Extra supermarkets</t>
  </si>
  <si>
    <t>Compre Bem</t>
  </si>
  <si>
    <t>Assaí (cash &amp; carry)</t>
  </si>
  <si>
    <t>mini-supermarkets</t>
  </si>
  <si>
    <t>Drugstores</t>
  </si>
  <si>
    <t>+ Service stations</t>
  </si>
  <si>
    <t>COLOMBIA</t>
  </si>
  <si>
    <t>Éxito hypermarkets</t>
  </si>
  <si>
    <t>Éxito and Carulla supermarkets</t>
  </si>
  <si>
    <t>Super Inter supermarkets</t>
  </si>
  <si>
    <t>Surtimax (discount)</t>
  </si>
  <si>
    <t>o/w “Aliados”</t>
  </si>
  <si>
    <t>B2B</t>
  </si>
  <si>
    <t>Éxito Express and Carulla Express mini-supermarkets</t>
  </si>
  <si>
    <t>Cash &amp; carry</t>
  </si>
  <si>
    <t>TOTAL International</t>
  </si>
  <si>
    <t xml:space="preserve">  o/w French franchised affiliates</t>
  </si>
  <si>
    <t xml:space="preserve">  International affiliates</t>
  </si>
  <si>
    <t xml:space="preserve">Casino Supermarkets </t>
  </si>
  <si>
    <t xml:space="preserve">  International franchised affiliates</t>
  </si>
  <si>
    <t xml:space="preserve">  o/w franchised affiliates</t>
  </si>
  <si>
    <t xml:space="preserve">  o/w franchises</t>
  </si>
  <si>
    <t xml:space="preserve">TOTAL France </t>
  </si>
  <si>
    <t xml:space="preserve">ARGENTINA </t>
  </si>
  <si>
    <t>Mini Mercado Extra &amp; Minuto Pão de Açúcar</t>
  </si>
  <si>
    <t>INTERNATIONAL(LATAM)</t>
  </si>
  <si>
    <t>YoY Growth</t>
  </si>
  <si>
    <t>Net Growth Rate</t>
  </si>
  <si>
    <t>Depreciation Schedule</t>
  </si>
  <si>
    <t>Cash flow statement for the Group’s continuing operations (€ millions)</t>
  </si>
  <si>
    <t>Non Recurring Items</t>
  </si>
  <si>
    <t>Other Non-Cash Items</t>
  </si>
  <si>
    <t>Cash Flow</t>
  </si>
  <si>
    <t>Change in WC</t>
  </si>
  <si>
    <t>Tax</t>
  </si>
  <si>
    <t>Investments (Gross capex)</t>
  </si>
  <si>
    <t>Asset disposals</t>
  </si>
  <si>
    <t>Net capex</t>
  </si>
  <si>
    <t>Disposal plan</t>
  </si>
  <si>
    <t>CFAWC&amp;T before disposal plan</t>
  </si>
  <si>
    <t>CFAWC&amp;T</t>
  </si>
  <si>
    <t>FCFF After Non Recurring Items</t>
  </si>
  <si>
    <t>-Other Impairment</t>
  </si>
  <si>
    <t>New Addition Growth</t>
  </si>
  <si>
    <t>Cameroon</t>
  </si>
  <si>
    <t xml:space="preserve">International + France </t>
  </si>
  <si>
    <t>Overall Growth</t>
  </si>
  <si>
    <t xml:space="preserve">Debt Schedule </t>
  </si>
  <si>
    <t xml:space="preserve"> </t>
  </si>
  <si>
    <t>Ammortisation of Intagible Assets</t>
  </si>
  <si>
    <t>Dep of PPE</t>
  </si>
  <si>
    <t>Dep of Invs Prop</t>
  </si>
  <si>
    <t>Total Dep</t>
  </si>
  <si>
    <t>Lease payments for land use</t>
  </si>
  <si>
    <t>-Dep from Discontinued Operations</t>
  </si>
  <si>
    <r>
      <t xml:space="preserve">The Group has set the following financial targets for France for the period 2019-2021:  </t>
    </r>
    <r>
      <rPr>
        <sz val="20"/>
        <color rgb="FFFF0000"/>
        <rFont val="Calibri"/>
        <family val="2"/>
        <scheme val="minor"/>
      </rPr>
      <t>Increase in the EBITDA margin and the trading margin for the retail business of 0.2pts per year</t>
    </r>
    <r>
      <rPr>
        <sz val="20"/>
        <color theme="1"/>
        <rFont val="Calibri"/>
        <family val="2"/>
        <scheme val="minor"/>
      </rPr>
      <t xml:space="preserve">;  </t>
    </r>
    <r>
      <rPr>
        <sz val="20"/>
        <color rgb="FF0070C0"/>
        <rFont val="Calibri"/>
        <family val="2"/>
        <scheme val="minor"/>
      </rPr>
      <t>Growth in trading profit for the retail business of 10% per year</t>
    </r>
    <r>
      <rPr>
        <sz val="20"/>
        <color theme="1"/>
        <rFont val="Calibri"/>
        <family val="2"/>
        <scheme val="minor"/>
      </rPr>
      <t>; </t>
    </r>
    <r>
      <rPr>
        <sz val="20"/>
        <color rgb="FF7030A0"/>
        <rFont val="Calibri"/>
        <family val="2"/>
        <scheme val="minor"/>
      </rPr>
      <t xml:space="preserve"> Free cash flow(1) of €0.5 billion per year</t>
    </r>
    <r>
      <rPr>
        <sz val="20"/>
        <color theme="1"/>
        <rFont val="Calibri"/>
        <family val="2"/>
        <scheme val="minor"/>
      </rPr>
      <t xml:space="preserve">;  </t>
    </r>
    <r>
      <rPr>
        <sz val="20"/>
        <color theme="5" tint="-0.499984740745262"/>
        <rFont val="Calibri"/>
        <family val="2"/>
        <scheme val="minor"/>
      </rPr>
      <t>Gross retail CAPEX below €350 million per year, in line with amortisation</t>
    </r>
  </si>
  <si>
    <t>Capex Breakdown</t>
  </si>
  <si>
    <t>New finance leases</t>
  </si>
  <si>
    <t>Capitalised borrowing costs (IAS 23)</t>
  </si>
  <si>
    <t>Addns to and acquisitions of intangible assets</t>
  </si>
  <si>
    <t>Addns to and acquisitions of PPE</t>
  </si>
  <si>
    <t>Changes in amounts due to suppliers of non-current assets</t>
  </si>
  <si>
    <t>Effect of discontinued operations</t>
  </si>
  <si>
    <t xml:space="preserve">Information About Stores Given </t>
  </si>
  <si>
    <t>300 Stores to be added for Premium and Convineice for 2021</t>
  </si>
  <si>
    <t>Monoprix, Naturalia, Franprix and Supermarchés Casino</t>
  </si>
  <si>
    <t>Mono Prix</t>
  </si>
  <si>
    <t>Supermnarch</t>
  </si>
  <si>
    <t>Total</t>
  </si>
  <si>
    <t>Distribution Over 2 Year</t>
  </si>
  <si>
    <t>Growth for Convinience and Others</t>
  </si>
  <si>
    <t xml:space="preserve">Trading Profit Calculation </t>
  </si>
  <si>
    <t>French Sales</t>
  </si>
  <si>
    <t>Growth Variable</t>
  </si>
  <si>
    <t>French Retail Ratio of Sales</t>
  </si>
  <si>
    <t>Net Trading Profit of France Retail After Growth</t>
  </si>
  <si>
    <t xml:space="preserve">French Contribution to Trading Profit Before Growth </t>
  </si>
  <si>
    <t>Net Difference</t>
  </si>
  <si>
    <t>Growth Rate</t>
  </si>
  <si>
    <t>Adjust Trading Profit Figure</t>
  </si>
  <si>
    <t>Acquisitions of investment property</t>
  </si>
  <si>
    <t>%Change</t>
  </si>
  <si>
    <t>Dep/Capex Ratio</t>
  </si>
  <si>
    <t>%</t>
  </si>
  <si>
    <t>Intangible assets/Sales</t>
  </si>
  <si>
    <t>Operating Premiums Recived</t>
  </si>
  <si>
    <t>Net Diff</t>
  </si>
  <si>
    <t>Capex of France</t>
  </si>
  <si>
    <t>Capex of International</t>
  </si>
  <si>
    <t>Capex of E-Commerce</t>
  </si>
  <si>
    <t>Net PPE(Capex)</t>
  </si>
  <si>
    <t>Capex as % of Sales</t>
  </si>
  <si>
    <t>%Contribution</t>
  </si>
  <si>
    <t>Change In Net Debt</t>
  </si>
  <si>
    <t>France Retail</t>
  </si>
  <si>
    <t>Latam Electronic</t>
  </si>
  <si>
    <t>E-Commerce</t>
  </si>
  <si>
    <t>of which GPA Food</t>
  </si>
  <si>
    <t>of which Éxito</t>
  </si>
  <si>
    <t>Change in Net Debt</t>
  </si>
  <si>
    <t>Debt Reduction%</t>
  </si>
  <si>
    <t xml:space="preserve">Working Capital Requirement </t>
  </si>
  <si>
    <t>Current Assets</t>
  </si>
  <si>
    <t>Work In Progress</t>
  </si>
  <si>
    <t>Trade Reciveables</t>
  </si>
  <si>
    <t>Current Liabilities</t>
  </si>
  <si>
    <t>Trade Payables</t>
  </si>
  <si>
    <t>WC</t>
  </si>
  <si>
    <t>Change in Working Capital</t>
  </si>
  <si>
    <t>Inventories from B/S</t>
  </si>
  <si>
    <t>Consolidation Effects</t>
  </si>
  <si>
    <t>Hardcoded Figure</t>
  </si>
  <si>
    <t>Total Change</t>
  </si>
  <si>
    <t>Interest Expense</t>
  </si>
  <si>
    <t>PPE Assumptions</t>
  </si>
  <si>
    <t>Diluted Shares(Million)</t>
  </si>
  <si>
    <t>Cash from Disposal of Assets</t>
  </si>
  <si>
    <t xml:space="preserve">WIP % </t>
  </si>
  <si>
    <t>Assets - Liabilities</t>
  </si>
  <si>
    <t>Sum of PV of FCF for Forecast</t>
  </si>
  <si>
    <t>Sales Contribution</t>
  </si>
  <si>
    <t>Integrated Stores</t>
  </si>
  <si>
    <t xml:space="preserve">Master Franchise </t>
  </si>
  <si>
    <t>Franchised Stores</t>
  </si>
  <si>
    <t>Expected for H2 2019</t>
  </si>
  <si>
    <t>Expected Income Gain from Stores</t>
  </si>
  <si>
    <t>90 million from store sales</t>
  </si>
  <si>
    <t>HF 2019 Store Disposal Update</t>
  </si>
  <si>
    <t>Store Addition Update</t>
  </si>
  <si>
    <t>30 New Premium Store Added in H1 2019</t>
  </si>
  <si>
    <t>Name</t>
  </si>
  <si>
    <t>Country</t>
  </si>
  <si>
    <t>Revenue(in billions)</t>
  </si>
  <si>
    <t>Edeka Group</t>
  </si>
  <si>
    <t>Germany</t>
  </si>
  <si>
    <t>REWE Combine</t>
  </si>
  <si>
    <t>Casino</t>
  </si>
  <si>
    <t>France</t>
  </si>
  <si>
    <t>E.Leclerc</t>
  </si>
  <si>
    <t>Metro AG</t>
  </si>
  <si>
    <t>Auchan Holding SA</t>
  </si>
  <si>
    <t>Sainsbury PLC</t>
  </si>
  <si>
    <t>UK</t>
  </si>
  <si>
    <t>LVMH</t>
  </si>
  <si>
    <t>Type</t>
  </si>
  <si>
    <t>Supermarket</t>
  </si>
  <si>
    <t>hypermarket/supercenter/superstore</t>
  </si>
  <si>
    <t>, cash &amp; carry/warehouse club</t>
  </si>
  <si>
    <t>other speciality</t>
  </si>
  <si>
    <t>Retail Companies</t>
  </si>
  <si>
    <t>Revenue in Billions</t>
  </si>
  <si>
    <t>Ticker</t>
  </si>
  <si>
    <t>Market Cap</t>
  </si>
  <si>
    <t>EV/Sales</t>
  </si>
  <si>
    <t>Price/Book</t>
  </si>
  <si>
    <t>Price/Earnings</t>
  </si>
  <si>
    <t>Price/Sales</t>
  </si>
  <si>
    <t>Financial Ratios</t>
  </si>
  <si>
    <t>Market Data</t>
  </si>
  <si>
    <t>Financial Data</t>
  </si>
  <si>
    <t>Earnings</t>
  </si>
  <si>
    <t>1. Industry classification</t>
  </si>
  <si>
    <t>2. Geography</t>
  </si>
  <si>
    <t>3. Size (revenue, assets, employees)</t>
  </si>
  <si>
    <t>4. Growth rate</t>
  </si>
  <si>
    <t>5. Margins and profitability</t>
  </si>
  <si>
    <t>EV</t>
  </si>
  <si>
    <t>Revenue</t>
  </si>
  <si>
    <t>Operating Metrics</t>
  </si>
  <si>
    <t>Revenue Growth</t>
  </si>
  <si>
    <t xml:space="preserve">EBITDA Growth </t>
  </si>
  <si>
    <t>Retail Metrics</t>
  </si>
  <si>
    <t>Sales Per Square Foot</t>
  </si>
  <si>
    <t>Sales/Employees</t>
  </si>
  <si>
    <t>No. of Shares(Common)</t>
  </si>
  <si>
    <t>Cash</t>
  </si>
  <si>
    <t>(CO)</t>
  </si>
  <si>
    <t>PVT</t>
  </si>
  <si>
    <t>N/A</t>
  </si>
  <si>
    <t>Debt</t>
  </si>
  <si>
    <t>SBRY</t>
  </si>
  <si>
    <t xml:space="preserve"> METRO AG</t>
  </si>
  <si>
    <t>CMP(Eur)</t>
  </si>
  <si>
    <t>French Debt Reduction YoY</t>
  </si>
  <si>
    <t>As of Debt(B/S)</t>
  </si>
  <si>
    <t>Other Payables</t>
  </si>
  <si>
    <t>Change in Working Capital Calculation</t>
  </si>
  <si>
    <t>Year</t>
  </si>
  <si>
    <t>Leverage(Debt/EBITDA)</t>
  </si>
  <si>
    <t>Long Term + Short Term Debts</t>
  </si>
  <si>
    <t>Diff</t>
  </si>
  <si>
    <t>Other Total Segment Debt</t>
  </si>
  <si>
    <t>Total Debt(Short + Long)</t>
  </si>
  <si>
    <t xml:space="preserve">Adjustments related to PPE </t>
  </si>
  <si>
    <t>Balance Sheet Assumptions</t>
  </si>
  <si>
    <t>DCF</t>
  </si>
  <si>
    <t>Opening</t>
  </si>
  <si>
    <t>Closing</t>
  </si>
  <si>
    <t>PPE Calculation</t>
  </si>
  <si>
    <t>Ratios</t>
  </si>
  <si>
    <t>Leverage Ratios</t>
  </si>
  <si>
    <t xml:space="preserve">Asset Turnover Ratio </t>
  </si>
  <si>
    <t>Return on Sales(Operating Profit/Net Sales)</t>
  </si>
  <si>
    <t>Return on Assets  (Net income / Total assets)</t>
  </si>
  <si>
    <t>PBT Margin</t>
  </si>
  <si>
    <t>Total Debt To Equity(D/E)</t>
  </si>
  <si>
    <t>Total Debt to Total Asset(TD/TA)</t>
  </si>
  <si>
    <t>Operating or EBITDA Margin</t>
  </si>
  <si>
    <t>From continuing operations, attributable to owners of the parent</t>
  </si>
  <si>
    <t xml:space="preserve">Sales Growth </t>
  </si>
  <si>
    <t xml:space="preserve">Sales </t>
  </si>
  <si>
    <t>% of Cash Last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</si>
</sst>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44" formatCode="_ &quot;₹&quot;\ * #,##0.00_ ;_ &quot;₹&quot;\ * \-#,##0.00_ ;_ &quot;₹&quot;\ * &quot;-&quot;??_ ;_ @_ "/>
    <numFmt numFmtId="43" formatCode="_ * #,##0.00_ ;_ * \-#,##0.00_ ;_ * &quot;-&quot;??_ ;_ @_ "/>
    <numFmt numFmtId="164" formatCode="_(* #,##0.00_);_(* \(#,##0.00\);_(* &quot;-&quot;??_);_(@_)"/>
    <numFmt numFmtId="165" formatCode="0.0%"/>
    <numFmt numFmtId="166" formatCode="0.000%"/>
    <numFmt numFmtId="167" formatCode="_ * #,##0_ ;_ * \-#,##0_ ;_ * &quot;-&quot;??_ ;_ @_ "/>
    <numFmt numFmtId="168" formatCode="0.0"/>
    <numFmt numFmtId="169" formatCode="_ * #,##0.000_ ;_ * \-#,##0.000_ ;_ * &quot;-&quot;??_ ;_ @_ "/>
    <numFmt numFmtId="170" formatCode="_(* #,##0_);_(* \(#,##0\);_(* &quot;-&quot;??_);_(@_)"/>
    <numFmt numFmtId="171" formatCode="_(* #,##0.0_);_(* \(#,##0.0\);_(* &quot;-&quot;??_);_(@_)"/>
    <numFmt numFmtId="172" formatCode="\-0%"/>
    <numFmt numFmtId="173" formatCode="#,##0.00_-\ [$€-1]"/>
    <numFmt numFmtId="174" formatCode="0.0000"/>
    <numFmt numFmtId="175" formatCode="#,##0.00000000000"/>
    <numFmt numFmtId="176" formatCode="0.000"/>
    <numFmt numFmtId="177" formatCode="0.000000"/>
    <numFmt numFmtId="178" formatCode="_ * #,##0.0_ ;_ * \-#,##0.0_ ;_ * &quot;-&quot;??_ ;_ @_ "/>
  </numFmts>
  <fonts count="84" x14ac:knownFonts="1">
    <font>
      <sz val="11"/>
      <color theme="1"/>
      <name val="Calibri"/>
      <family val="2"/>
      <scheme val="minor"/>
    </font>
    <font>
      <sz val="11"/>
      <color theme="1"/>
      <name val="Calibri"/>
      <family val="2"/>
      <scheme val="minor"/>
    </font>
    <font>
      <b/>
      <u/>
      <sz val="11"/>
      <color theme="1"/>
      <name val="Calibri"/>
      <family val="2"/>
      <scheme val="minor"/>
    </font>
    <font>
      <b/>
      <sz val="12"/>
      <color theme="1"/>
      <name val="Calibri"/>
      <family val="2"/>
      <scheme val="minor"/>
    </font>
    <font>
      <b/>
      <u/>
      <sz val="12"/>
      <color theme="1"/>
      <name val="Calibri"/>
      <family val="2"/>
      <scheme val="minor"/>
    </font>
    <font>
      <b/>
      <u/>
      <sz val="14"/>
      <color theme="1"/>
      <name val="Calibri"/>
      <family val="2"/>
      <scheme val="minor"/>
    </font>
    <font>
      <sz val="11"/>
      <color rgb="FFFF0000"/>
      <name val="Calibri"/>
      <family val="2"/>
      <scheme val="minor"/>
    </font>
    <font>
      <b/>
      <sz val="14"/>
      <color theme="1"/>
      <name val="Calibri"/>
      <family val="2"/>
      <scheme val="minor"/>
    </font>
    <font>
      <b/>
      <sz val="16"/>
      <color theme="1"/>
      <name val="Calibri"/>
      <family val="2"/>
      <scheme val="minor"/>
    </font>
    <font>
      <b/>
      <u/>
      <sz val="16"/>
      <color theme="1"/>
      <name val="Calibri"/>
      <family val="2"/>
      <scheme val="minor"/>
    </font>
    <font>
      <sz val="9"/>
      <color indexed="81"/>
      <name val="Tahoma"/>
      <family val="2"/>
    </font>
    <font>
      <b/>
      <sz val="9"/>
      <color indexed="81"/>
      <name val="Tahoma"/>
      <family val="2"/>
    </font>
    <font>
      <sz val="11"/>
      <name val="Calibri"/>
      <family val="2"/>
      <scheme val="minor"/>
    </font>
    <font>
      <b/>
      <sz val="14"/>
      <name val="Calibri"/>
      <family val="2"/>
      <scheme val="minor"/>
    </font>
    <font>
      <sz val="13.5"/>
      <color rgb="FF222222"/>
      <name val="Georgia"/>
      <family val="1"/>
    </font>
    <font>
      <b/>
      <sz val="13"/>
      <color rgb="FF222222"/>
      <name val="Arial"/>
      <family val="2"/>
    </font>
    <font>
      <sz val="13"/>
      <color rgb="FF222222"/>
      <name val="Arial"/>
      <family val="2"/>
    </font>
    <font>
      <sz val="11"/>
      <color rgb="FF00B050"/>
      <name val="Calibri"/>
      <family val="2"/>
      <scheme val="minor"/>
    </font>
    <font>
      <b/>
      <sz val="18"/>
      <color theme="0"/>
      <name val="Calibri"/>
      <family val="2"/>
      <scheme val="minor"/>
    </font>
    <font>
      <sz val="10"/>
      <color theme="1"/>
      <name val="Calibri"/>
      <family val="2"/>
      <scheme val="minor"/>
    </font>
    <font>
      <b/>
      <sz val="11"/>
      <color indexed="10"/>
      <name val="Calibri"/>
      <family val="2"/>
    </font>
    <font>
      <b/>
      <sz val="11"/>
      <color indexed="8"/>
      <name val="Calibri"/>
      <family val="2"/>
    </font>
    <font>
      <b/>
      <sz val="10"/>
      <color theme="1"/>
      <name val="Calibri"/>
      <family val="2"/>
      <scheme val="minor"/>
    </font>
    <font>
      <sz val="10"/>
      <name val="Arial"/>
      <family val="2"/>
    </font>
    <font>
      <sz val="10"/>
      <name val="Calibri"/>
      <family val="2"/>
      <scheme val="minor"/>
    </font>
    <font>
      <sz val="10"/>
      <color rgb="FFFF0000"/>
      <name val="Calibri"/>
      <family val="2"/>
      <scheme val="minor"/>
    </font>
    <font>
      <b/>
      <u/>
      <sz val="10"/>
      <color theme="1"/>
      <name val="Calibri"/>
      <family val="2"/>
      <scheme val="minor"/>
    </font>
    <font>
      <b/>
      <sz val="10"/>
      <color rgb="FF663333"/>
      <name val="Calibri"/>
      <family val="2"/>
      <scheme val="minor"/>
    </font>
    <font>
      <b/>
      <sz val="10"/>
      <name val="Calibri"/>
      <family val="2"/>
      <scheme val="minor"/>
    </font>
    <font>
      <b/>
      <sz val="10"/>
      <color theme="0"/>
      <name val="Calibri"/>
      <family val="2"/>
      <scheme val="minor"/>
    </font>
    <font>
      <b/>
      <sz val="11"/>
      <color theme="1"/>
      <name val="Calibri"/>
      <family val="2"/>
      <scheme val="minor"/>
    </font>
    <font>
      <sz val="11"/>
      <color theme="0" tint="-0.499984740745262"/>
      <name val="Calibri"/>
      <family val="2"/>
      <scheme val="minor"/>
    </font>
    <font>
      <u/>
      <sz val="11"/>
      <color theme="10"/>
      <name val="Calibri"/>
      <family val="2"/>
      <scheme val="minor"/>
    </font>
    <font>
      <i/>
      <sz val="10"/>
      <color theme="1"/>
      <name val="Calibri"/>
      <family val="2"/>
      <scheme val="minor"/>
    </font>
    <font>
      <sz val="20"/>
      <color theme="1"/>
      <name val="Calibri"/>
      <family val="2"/>
      <scheme val="minor"/>
    </font>
    <font>
      <sz val="20"/>
      <color rgb="FFFF0000"/>
      <name val="Calibri"/>
      <family val="2"/>
      <scheme val="minor"/>
    </font>
    <font>
      <sz val="20"/>
      <color rgb="FF0070C0"/>
      <name val="Calibri"/>
      <family val="2"/>
      <scheme val="minor"/>
    </font>
    <font>
      <sz val="20"/>
      <color rgb="FF7030A0"/>
      <name val="Calibri"/>
      <family val="2"/>
      <scheme val="minor"/>
    </font>
    <font>
      <sz val="20"/>
      <color theme="5" tint="-0.499984740745262"/>
      <name val="Calibri"/>
      <family val="2"/>
      <scheme val="minor"/>
    </font>
    <font>
      <b/>
      <sz val="14"/>
      <color rgb="FF000000"/>
      <name val="Calibri"/>
      <family val="2"/>
    </font>
    <font>
      <sz val="14"/>
      <color theme="1"/>
      <name val="Calibri"/>
      <family val="2"/>
    </font>
    <font>
      <sz val="11"/>
      <color theme="1"/>
      <name val="Calibri"/>
      <family val="2"/>
    </font>
    <font>
      <b/>
      <sz val="11"/>
      <color theme="1"/>
      <name val="Calibri"/>
      <family val="2"/>
    </font>
    <font>
      <b/>
      <sz val="11"/>
      <color rgb="FF000000"/>
      <name val="Calibri"/>
      <family val="2"/>
    </font>
    <font>
      <b/>
      <sz val="9.9"/>
      <color rgb="FF000000"/>
      <name val="Calibri"/>
      <family val="2"/>
    </font>
    <font>
      <i/>
      <sz val="11"/>
      <color theme="1"/>
      <name val="Calibri"/>
      <family val="2"/>
    </font>
    <font>
      <sz val="9.9"/>
      <color rgb="FF000000"/>
      <name val="Calibri"/>
      <family val="2"/>
    </font>
    <font>
      <sz val="11"/>
      <color rgb="FF000000"/>
      <name val="Calibri"/>
      <family val="2"/>
    </font>
    <font>
      <sz val="11"/>
      <color rgb="FFFF0000"/>
      <name val="Calibri"/>
      <family val="2"/>
    </font>
    <font>
      <sz val="11"/>
      <color theme="0"/>
      <name val="Calibri"/>
      <family val="2"/>
    </font>
    <font>
      <i/>
      <sz val="9.9"/>
      <color rgb="FF000000"/>
      <name val="Calibri"/>
      <family val="2"/>
    </font>
    <font>
      <i/>
      <sz val="11"/>
      <color rgb="FF000000"/>
      <name val="Calibri"/>
      <family val="2"/>
    </font>
    <font>
      <sz val="11"/>
      <name val="Calibri"/>
      <family val="2"/>
    </font>
    <font>
      <b/>
      <sz val="11"/>
      <color rgb="FFFF0000"/>
      <name val="Calibri"/>
      <family val="2"/>
    </font>
    <font>
      <b/>
      <sz val="9.9"/>
      <color rgb="FFFF0000"/>
      <name val="Calibri"/>
      <family val="2"/>
    </font>
    <font>
      <sz val="9.9"/>
      <color rgb="FFFF0000"/>
      <name val="Calibri"/>
      <family val="2"/>
    </font>
    <font>
      <i/>
      <sz val="9.9"/>
      <color rgb="FFFF0000"/>
      <name val="Calibri"/>
      <family val="2"/>
    </font>
    <font>
      <b/>
      <sz val="11"/>
      <color rgb="FF444444"/>
      <name val="Calibri"/>
      <family val="2"/>
    </font>
    <font>
      <b/>
      <sz val="12"/>
      <color rgb="FFCF2200"/>
      <name val="Calibri"/>
      <family val="2"/>
    </font>
    <font>
      <u/>
      <sz val="11"/>
      <color theme="10"/>
      <name val="Calibri"/>
      <family val="2"/>
    </font>
    <font>
      <i/>
      <sz val="11"/>
      <color rgb="FFFF0000"/>
      <name val="Calibri"/>
      <family val="2"/>
    </font>
    <font>
      <u/>
      <sz val="11"/>
      <color rgb="FFFF0000"/>
      <name val="Calibri"/>
      <family val="2"/>
    </font>
    <font>
      <b/>
      <i/>
      <u/>
      <sz val="11"/>
      <color rgb="FFFF0000"/>
      <name val="Calibri"/>
      <family val="2"/>
    </font>
    <font>
      <b/>
      <i/>
      <sz val="11"/>
      <color rgb="FFFF0000"/>
      <name val="Calibri"/>
      <family val="2"/>
    </font>
    <font>
      <vertAlign val="superscript"/>
      <sz val="11"/>
      <color rgb="FFFF0000"/>
      <name val="Calibri"/>
      <family val="2"/>
    </font>
    <font>
      <sz val="18"/>
      <color rgb="FFFF0000"/>
      <name val="Calibri"/>
      <family val="2"/>
    </font>
    <font>
      <b/>
      <sz val="10"/>
      <color rgb="FFFF0000"/>
      <name val="Calibri"/>
      <family val="2"/>
    </font>
    <font>
      <sz val="14"/>
      <color rgb="FFFF0000"/>
      <name val="Calibri"/>
      <family val="2"/>
    </font>
    <font>
      <sz val="9"/>
      <color rgb="FFFF0000"/>
      <name val="Calibri"/>
      <family val="2"/>
    </font>
    <font>
      <sz val="13"/>
      <color rgb="FFFF0000"/>
      <name val="Calibri"/>
      <family val="2"/>
    </font>
    <font>
      <i/>
      <sz val="11"/>
      <color theme="1"/>
      <name val="Calibri"/>
      <family val="2"/>
      <scheme val="minor"/>
    </font>
    <font>
      <i/>
      <sz val="11"/>
      <color rgb="FFFF0000"/>
      <name val="Calibri"/>
      <family val="2"/>
      <scheme val="minor"/>
    </font>
    <font>
      <b/>
      <i/>
      <sz val="10"/>
      <color theme="1"/>
      <name val="Calibri"/>
      <family val="2"/>
      <scheme val="minor"/>
    </font>
    <font>
      <sz val="11"/>
      <color theme="9" tint="-0.499984740745262"/>
      <name val="Calibri"/>
      <family val="2"/>
      <scheme val="minor"/>
    </font>
    <font>
      <sz val="11"/>
      <color theme="9" tint="-0.499984740745262"/>
      <name val="Calibri"/>
      <family val="2"/>
    </font>
    <font>
      <sz val="11"/>
      <color theme="0"/>
      <name val="Calibri"/>
      <family val="2"/>
      <scheme val="minor"/>
    </font>
    <font>
      <b/>
      <sz val="11"/>
      <color rgb="FFFF0000"/>
      <name val="Calibri"/>
      <family val="2"/>
      <scheme val="minor"/>
    </font>
    <font>
      <b/>
      <sz val="11"/>
      <name val="Calibri"/>
      <family val="2"/>
      <scheme val="minor"/>
    </font>
    <font>
      <sz val="12"/>
      <color rgb="FFFF0000"/>
      <name val="Calibri"/>
      <family val="2"/>
      <scheme val="minor"/>
    </font>
    <font>
      <b/>
      <i/>
      <sz val="11"/>
      <color theme="1"/>
      <name val="Calibri"/>
      <family val="2"/>
      <scheme val="minor"/>
    </font>
    <font>
      <b/>
      <sz val="10"/>
      <name val="Arial"/>
      <family val="2"/>
    </font>
    <font>
      <sz val="10"/>
      <color theme="0"/>
      <name val="Calibri"/>
      <family val="2"/>
      <scheme val="minor"/>
    </font>
    <font>
      <sz val="9"/>
      <color indexed="81"/>
      <name val="Tahoma"/>
      <charset val="1"/>
    </font>
    <font>
      <b/>
      <sz val="9"/>
      <color indexed="81"/>
      <name val="Tahoma"/>
      <charset val="1"/>
    </font>
  </fonts>
  <fills count="19">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5" tint="-0.49998474074526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theme="2"/>
        <bgColor indexed="64"/>
      </patternFill>
    </fill>
    <fill>
      <patternFill patternType="solid">
        <fgColor theme="7"/>
        <bgColor indexed="64"/>
      </patternFill>
    </fill>
    <fill>
      <patternFill patternType="solid">
        <fgColor theme="0"/>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4" tint="0.79998168889431442"/>
        <bgColor theme="4" tint="0.79998168889431442"/>
      </patternFill>
    </fill>
    <fill>
      <patternFill patternType="solid">
        <fgColor theme="4" tint="0.39997558519241921"/>
        <bgColor indexed="64"/>
      </patternFill>
    </fill>
  </fills>
  <borders count="6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style="thin">
        <color auto="1"/>
      </left>
      <right/>
      <top/>
      <bottom/>
      <diagonal/>
    </border>
    <border>
      <left/>
      <right style="thin">
        <color auto="1"/>
      </right>
      <top/>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bottom style="thin">
        <color indexed="64"/>
      </bottom>
      <diagonal/>
    </border>
    <border>
      <left style="thin">
        <color auto="1"/>
      </left>
      <right style="thin">
        <color auto="1"/>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rgb="FFFFC000"/>
      </bottom>
      <diagonal/>
    </border>
    <border>
      <left style="thick">
        <color theme="0"/>
      </left>
      <right/>
      <top style="medium">
        <color rgb="FFFFC000"/>
      </top>
      <bottom/>
      <diagonal/>
    </border>
    <border>
      <left/>
      <right/>
      <top style="medium">
        <color rgb="FFFFC000"/>
      </top>
      <bottom/>
      <diagonal/>
    </border>
    <border>
      <left/>
      <right style="thin">
        <color indexed="64"/>
      </right>
      <top style="medium">
        <color rgb="FFFFC000"/>
      </top>
      <bottom/>
      <diagonal/>
    </border>
    <border>
      <left/>
      <right/>
      <top/>
      <bottom style="thin">
        <color theme="0" tint="-0.499984740745262"/>
      </bottom>
      <diagonal/>
    </border>
    <border>
      <left/>
      <right/>
      <top/>
      <bottom style="medium">
        <color rgb="FF663333"/>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s>
  <cellStyleXfs count="9">
    <xf numFmtId="0" fontId="0"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0" fontId="23" fillId="0" borderId="0"/>
    <xf numFmtId="9" fontId="23" fillId="0" borderId="0" applyFont="0" applyFill="0" applyBorder="0" applyAlignment="0" applyProtection="0"/>
    <xf numFmtId="164" fontId="23" fillId="0" borderId="0" applyFont="0" applyFill="0" applyBorder="0" applyAlignment="0" applyProtection="0"/>
    <xf numFmtId="0" fontId="32" fillId="0" borderId="0" applyNumberFormat="0" applyFill="0" applyBorder="0" applyAlignment="0" applyProtection="0"/>
  </cellStyleXfs>
  <cellXfs count="880">
    <xf numFmtId="0" fontId="0" fillId="0" borderId="0" xfId="0"/>
    <xf numFmtId="0" fontId="0" fillId="0" borderId="1" xfId="0" applyBorder="1"/>
    <xf numFmtId="0" fontId="0" fillId="2" borderId="0" xfId="0" applyFill="1"/>
    <xf numFmtId="0" fontId="0" fillId="0" borderId="2" xfId="0" applyBorder="1"/>
    <xf numFmtId="0" fontId="0" fillId="0" borderId="0" xfId="0" applyBorder="1"/>
    <xf numFmtId="0" fontId="0" fillId="0" borderId="4" xfId="0" applyBorder="1"/>
    <xf numFmtId="0" fontId="0" fillId="3" borderId="0" xfId="0" applyFill="1"/>
    <xf numFmtId="3" fontId="0" fillId="3" borderId="4" xfId="0" applyNumberFormat="1" applyFill="1" applyBorder="1"/>
    <xf numFmtId="0" fontId="0" fillId="3" borderId="4" xfId="0" applyFill="1" applyBorder="1"/>
    <xf numFmtId="1" fontId="0" fillId="3" borderId="4" xfId="0" applyNumberFormat="1" applyFill="1" applyBorder="1"/>
    <xf numFmtId="10" fontId="0" fillId="3" borderId="4" xfId="0" applyNumberFormat="1" applyFill="1" applyBorder="1"/>
    <xf numFmtId="9" fontId="0" fillId="3" borderId="4" xfId="0" applyNumberFormat="1" applyFill="1" applyBorder="1"/>
    <xf numFmtId="0" fontId="0" fillId="3" borderId="1" xfId="0" applyFill="1" applyBorder="1"/>
    <xf numFmtId="0" fontId="0" fillId="4" borderId="1" xfId="0" applyFill="1" applyBorder="1"/>
    <xf numFmtId="0" fontId="0" fillId="3" borderId="0" xfId="0" applyFill="1" applyBorder="1"/>
    <xf numFmtId="0" fontId="8" fillId="0" borderId="0" xfId="0" applyFont="1"/>
    <xf numFmtId="0" fontId="0" fillId="3" borderId="0" xfId="0" applyFill="1" applyAlignment="1"/>
    <xf numFmtId="0" fontId="0" fillId="4" borderId="0" xfId="0" applyFill="1" applyBorder="1"/>
    <xf numFmtId="0" fontId="4" fillId="5" borderId="2" xfId="0" applyFont="1" applyFill="1" applyBorder="1"/>
    <xf numFmtId="0" fontId="0" fillId="5" borderId="2" xfId="0" applyFill="1" applyBorder="1"/>
    <xf numFmtId="0" fontId="0" fillId="6" borderId="0" xfId="0" applyFill="1"/>
    <xf numFmtId="3" fontId="0" fillId="4" borderId="0" xfId="0" applyNumberFormat="1" applyFill="1" applyBorder="1"/>
    <xf numFmtId="0" fontId="0" fillId="5" borderId="0" xfId="0" applyFill="1"/>
    <xf numFmtId="0" fontId="0" fillId="5" borderId="0" xfId="0" applyFill="1" applyBorder="1"/>
    <xf numFmtId="0" fontId="0" fillId="5" borderId="1" xfId="0" applyFill="1" applyBorder="1"/>
    <xf numFmtId="0" fontId="0" fillId="4" borderId="3" xfId="0" applyFill="1" applyBorder="1" applyAlignment="1">
      <alignment horizontal="center" wrapText="1"/>
    </xf>
    <xf numFmtId="0" fontId="0" fillId="0" borderId="0" xfId="0" applyAlignment="1">
      <alignment wrapText="1"/>
    </xf>
    <xf numFmtId="0" fontId="0" fillId="5" borderId="9" xfId="0" applyFill="1" applyBorder="1"/>
    <xf numFmtId="0" fontId="0" fillId="5" borderId="9" xfId="0" applyFill="1" applyBorder="1" applyAlignment="1">
      <alignment wrapText="1"/>
    </xf>
    <xf numFmtId="0" fontId="0" fillId="5" borderId="10" xfId="0" applyFill="1" applyBorder="1"/>
    <xf numFmtId="3" fontId="0" fillId="3" borderId="0" xfId="0" applyNumberFormat="1" applyFill="1" applyBorder="1"/>
    <xf numFmtId="9" fontId="0" fillId="0" borderId="0" xfId="0" applyNumberFormat="1"/>
    <xf numFmtId="0" fontId="12" fillId="4" borderId="4" xfId="0" applyFont="1" applyFill="1" applyBorder="1"/>
    <xf numFmtId="10" fontId="12" fillId="4" borderId="4" xfId="1" applyNumberFormat="1" applyFont="1" applyFill="1" applyBorder="1"/>
    <xf numFmtId="10" fontId="12" fillId="4" borderId="4" xfId="0" applyNumberFormat="1" applyFont="1" applyFill="1" applyBorder="1"/>
    <xf numFmtId="3" fontId="12" fillId="4" borderId="4" xfId="0" applyNumberFormat="1" applyFont="1" applyFill="1" applyBorder="1"/>
    <xf numFmtId="10" fontId="12" fillId="4" borderId="0" xfId="0" applyNumberFormat="1" applyFont="1" applyFill="1" applyBorder="1"/>
    <xf numFmtId="166" fontId="12" fillId="4" borderId="0" xfId="0" applyNumberFormat="1" applyFont="1" applyFill="1" applyBorder="1"/>
    <xf numFmtId="0" fontId="0" fillId="2" borderId="0" xfId="0" applyFill="1" applyBorder="1"/>
    <xf numFmtId="10" fontId="12" fillId="4" borderId="0" xfId="1" applyNumberFormat="1" applyFont="1" applyFill="1" applyBorder="1"/>
    <xf numFmtId="0" fontId="12" fillId="4" borderId="0" xfId="0" applyFont="1" applyFill="1" applyBorder="1"/>
    <xf numFmtId="3" fontId="0" fillId="0" borderId="0" xfId="0" applyNumberFormat="1" applyBorder="1"/>
    <xf numFmtId="3" fontId="12" fillId="4" borderId="0" xfId="0" applyNumberFormat="1" applyFont="1" applyFill="1" applyBorder="1"/>
    <xf numFmtId="9" fontId="12" fillId="4" borderId="0" xfId="0" applyNumberFormat="1" applyFont="1" applyFill="1" applyBorder="1"/>
    <xf numFmtId="10" fontId="0" fillId="3" borderId="0" xfId="0" applyNumberFormat="1" applyFill="1" applyBorder="1"/>
    <xf numFmtId="9" fontId="0" fillId="3" borderId="0" xfId="0" applyNumberFormat="1" applyFill="1" applyBorder="1"/>
    <xf numFmtId="3" fontId="0" fillId="3" borderId="17" xfId="0" applyNumberFormat="1" applyFill="1" applyBorder="1"/>
    <xf numFmtId="166" fontId="12" fillId="4" borderId="4" xfId="0" applyNumberFormat="1" applyFont="1" applyFill="1" applyBorder="1"/>
    <xf numFmtId="0" fontId="4" fillId="4" borderId="1" xfId="0" applyFont="1" applyFill="1" applyBorder="1"/>
    <xf numFmtId="0" fontId="12" fillId="4" borderId="1" xfId="0" applyFont="1" applyFill="1" applyBorder="1"/>
    <xf numFmtId="0" fontId="12" fillId="4" borderId="16" xfId="0" applyFont="1" applyFill="1" applyBorder="1"/>
    <xf numFmtId="9" fontId="12" fillId="4" borderId="1" xfId="1" applyFont="1" applyFill="1" applyBorder="1"/>
    <xf numFmtId="0" fontId="12" fillId="4" borderId="1" xfId="0" applyFont="1" applyFill="1" applyBorder="1" applyAlignment="1"/>
    <xf numFmtId="0" fontId="2" fillId="4" borderId="1" xfId="0" applyFont="1" applyFill="1" applyBorder="1"/>
    <xf numFmtId="0" fontId="5" fillId="3" borderId="1" xfId="0" applyFont="1" applyFill="1" applyBorder="1"/>
    <xf numFmtId="0" fontId="0" fillId="3" borderId="16" xfId="0" applyFill="1" applyBorder="1"/>
    <xf numFmtId="0" fontId="4" fillId="3" borderId="1" xfId="0" applyFont="1" applyFill="1" applyBorder="1"/>
    <xf numFmtId="0" fontId="0" fillId="7" borderId="0" xfId="0" applyFill="1" applyBorder="1"/>
    <xf numFmtId="166" fontId="12" fillId="7" borderId="0" xfId="0" applyNumberFormat="1" applyFont="1" applyFill="1" applyBorder="1"/>
    <xf numFmtId="0" fontId="12" fillId="7" borderId="4" xfId="0" applyFont="1" applyFill="1" applyBorder="1"/>
    <xf numFmtId="10" fontId="12" fillId="7" borderId="0" xfId="0" applyNumberFormat="1" applyFont="1" applyFill="1" applyBorder="1"/>
    <xf numFmtId="10" fontId="12" fillId="7" borderId="4" xfId="0" applyNumberFormat="1" applyFont="1" applyFill="1" applyBorder="1"/>
    <xf numFmtId="10" fontId="0" fillId="7" borderId="0" xfId="0" applyNumberFormat="1" applyFill="1" applyBorder="1"/>
    <xf numFmtId="10" fontId="0" fillId="7" borderId="4" xfId="0" applyNumberFormat="1" applyFill="1" applyBorder="1"/>
    <xf numFmtId="0" fontId="0" fillId="7" borderId="4" xfId="0" applyFill="1" applyBorder="1"/>
    <xf numFmtId="3" fontId="0" fillId="9" borderId="17" xfId="0" applyNumberFormat="1" applyFill="1" applyBorder="1"/>
    <xf numFmtId="0" fontId="0" fillId="9" borderId="0" xfId="0" applyFill="1" applyBorder="1"/>
    <xf numFmtId="3" fontId="0" fillId="9" borderId="0" xfId="0" applyNumberFormat="1" applyFill="1" applyBorder="1"/>
    <xf numFmtId="9" fontId="0" fillId="9" borderId="4" xfId="1" applyFont="1" applyFill="1" applyBorder="1"/>
    <xf numFmtId="0" fontId="0" fillId="9" borderId="4" xfId="0" applyFill="1" applyBorder="1"/>
    <xf numFmtId="0" fontId="0" fillId="9" borderId="1" xfId="0" applyFill="1" applyBorder="1"/>
    <xf numFmtId="0" fontId="0" fillId="9" borderId="16" xfId="0" applyFill="1" applyBorder="1"/>
    <xf numFmtId="3" fontId="0" fillId="9" borderId="4" xfId="0" applyNumberFormat="1" applyFill="1" applyBorder="1"/>
    <xf numFmtId="10" fontId="0" fillId="9" borderId="0" xfId="0" applyNumberFormat="1" applyFill="1" applyBorder="1"/>
    <xf numFmtId="10" fontId="0" fillId="9" borderId="4" xfId="0" applyNumberFormat="1" applyFill="1" applyBorder="1"/>
    <xf numFmtId="9" fontId="0" fillId="9" borderId="0" xfId="0" applyNumberFormat="1" applyFill="1" applyBorder="1"/>
    <xf numFmtId="10" fontId="6" fillId="9" borderId="0" xfId="0" applyNumberFormat="1" applyFont="1" applyFill="1" applyBorder="1"/>
    <xf numFmtId="10" fontId="0" fillId="9" borderId="0" xfId="1" applyNumberFormat="1" applyFont="1" applyFill="1" applyBorder="1"/>
    <xf numFmtId="165" fontId="0" fillId="9" borderId="0" xfId="0" applyNumberFormat="1" applyFill="1" applyBorder="1"/>
    <xf numFmtId="0" fontId="13" fillId="9" borderId="0" xfId="0" applyFont="1" applyFill="1" applyBorder="1"/>
    <xf numFmtId="0" fontId="13" fillId="9" borderId="11" xfId="0" applyFont="1" applyFill="1" applyBorder="1"/>
    <xf numFmtId="0" fontId="0" fillId="10" borderId="0" xfId="0" applyFill="1"/>
    <xf numFmtId="10" fontId="0" fillId="0" borderId="0" xfId="0" applyNumberFormat="1"/>
    <xf numFmtId="0" fontId="0" fillId="11" borderId="0" xfId="0" applyFill="1"/>
    <xf numFmtId="0" fontId="0" fillId="8" borderId="0" xfId="0" applyFill="1"/>
    <xf numFmtId="0" fontId="14" fillId="0" borderId="0" xfId="0" applyFont="1" applyAlignment="1">
      <alignment vertical="center"/>
    </xf>
    <xf numFmtId="0" fontId="15" fillId="0" borderId="0" xfId="0" applyFont="1"/>
    <xf numFmtId="43" fontId="0" fillId="4" borderId="0" xfId="0" applyNumberFormat="1" applyFill="1" applyBorder="1"/>
    <xf numFmtId="0" fontId="0" fillId="5" borderId="19" xfId="0" applyFill="1" applyBorder="1"/>
    <xf numFmtId="1" fontId="0" fillId="5" borderId="19" xfId="0" applyNumberFormat="1" applyFill="1" applyBorder="1"/>
    <xf numFmtId="0" fontId="0" fillId="5" borderId="6" xfId="0" applyFill="1" applyBorder="1"/>
    <xf numFmtId="0" fontId="0" fillId="5" borderId="7" xfId="0" applyFill="1" applyBorder="1"/>
    <xf numFmtId="0" fontId="0" fillId="5" borderId="7" xfId="0" applyFill="1" applyBorder="1" applyAlignment="1">
      <alignment wrapText="1"/>
    </xf>
    <xf numFmtId="0" fontId="0" fillId="5" borderId="20" xfId="0" applyFill="1" applyBorder="1"/>
    <xf numFmtId="0" fontId="0" fillId="5" borderId="21" xfId="0" applyFill="1" applyBorder="1"/>
    <xf numFmtId="0" fontId="0" fillId="5" borderId="13" xfId="0" applyFill="1" applyBorder="1"/>
    <xf numFmtId="0" fontId="0" fillId="5" borderId="14" xfId="0" applyFill="1" applyBorder="1"/>
    <xf numFmtId="0" fontId="0" fillId="5" borderId="15" xfId="0" applyFill="1" applyBorder="1"/>
    <xf numFmtId="0" fontId="0" fillId="4" borderId="11" xfId="0" applyFill="1" applyBorder="1"/>
    <xf numFmtId="0" fontId="0" fillId="4" borderId="6" xfId="0" applyFill="1" applyBorder="1"/>
    <xf numFmtId="0" fontId="0" fillId="4" borderId="7" xfId="0" applyFill="1" applyBorder="1"/>
    <xf numFmtId="0" fontId="0" fillId="4" borderId="4" xfId="0" applyFill="1" applyBorder="1"/>
    <xf numFmtId="0" fontId="0" fillId="4" borderId="16" xfId="0" applyFill="1" applyBorder="1"/>
    <xf numFmtId="0" fontId="0" fillId="4" borderId="14" xfId="0" applyFill="1" applyBorder="1"/>
    <xf numFmtId="0" fontId="0" fillId="4" borderId="15" xfId="0" applyFill="1" applyBorder="1"/>
    <xf numFmtId="0" fontId="0" fillId="4" borderId="12" xfId="0" applyFill="1" applyBorder="1"/>
    <xf numFmtId="0" fontId="0" fillId="4" borderId="10" xfId="0" applyFill="1" applyBorder="1"/>
    <xf numFmtId="0" fontId="0" fillId="4" borderId="13" xfId="0" applyFill="1" applyBorder="1"/>
    <xf numFmtId="0" fontId="0" fillId="4" borderId="4" xfId="0" applyFill="1" applyBorder="1" applyAlignment="1">
      <alignment wrapText="1"/>
    </xf>
    <xf numFmtId="0" fontId="0" fillId="4" borderId="6" xfId="0" applyFill="1" applyBorder="1" applyAlignment="1">
      <alignment wrapText="1"/>
    </xf>
    <xf numFmtId="0" fontId="0" fillId="4" borderId="0" xfId="0" applyFill="1" applyBorder="1" applyAlignment="1">
      <alignment wrapText="1"/>
    </xf>
    <xf numFmtId="1" fontId="0" fillId="4" borderId="0" xfId="0" applyNumberFormat="1" applyFill="1" applyBorder="1"/>
    <xf numFmtId="0" fontId="0" fillId="4" borderId="12" xfId="0" applyFill="1" applyBorder="1" applyAlignment="1">
      <alignment wrapText="1"/>
    </xf>
    <xf numFmtId="0" fontId="0" fillId="4" borderId="10" xfId="0" applyFill="1" applyBorder="1" applyAlignment="1">
      <alignment wrapText="1"/>
    </xf>
    <xf numFmtId="0" fontId="0" fillId="4" borderId="13" xfId="0" applyFill="1" applyBorder="1" applyAlignment="1">
      <alignment wrapText="1"/>
    </xf>
    <xf numFmtId="3" fontId="0" fillId="0" borderId="0" xfId="0" applyNumberFormat="1"/>
    <xf numFmtId="0" fontId="0" fillId="12" borderId="0" xfId="0" applyFill="1" applyBorder="1"/>
    <xf numFmtId="3" fontId="0" fillId="4" borderId="10" xfId="0" applyNumberFormat="1" applyFill="1" applyBorder="1"/>
    <xf numFmtId="0" fontId="17" fillId="0" borderId="0" xfId="0" applyFont="1"/>
    <xf numFmtId="0" fontId="0" fillId="3" borderId="0" xfId="0" applyFill="1" applyAlignment="1">
      <alignment horizontal="left" vertical="top"/>
    </xf>
    <xf numFmtId="0" fontId="0" fillId="12" borderId="4" xfId="0" applyFill="1" applyBorder="1"/>
    <xf numFmtId="10" fontId="12" fillId="12" borderId="0" xfId="0" applyNumberFormat="1" applyFont="1" applyFill="1" applyBorder="1"/>
    <xf numFmtId="10" fontId="12" fillId="12" borderId="4" xfId="0" applyNumberFormat="1" applyFont="1" applyFill="1" applyBorder="1"/>
    <xf numFmtId="10" fontId="0" fillId="12" borderId="0" xfId="0" applyNumberFormat="1" applyFill="1" applyBorder="1"/>
    <xf numFmtId="166" fontId="0" fillId="12" borderId="0" xfId="0" applyNumberFormat="1" applyFill="1" applyBorder="1"/>
    <xf numFmtId="9" fontId="0" fillId="12" borderId="0" xfId="0" applyNumberFormat="1" applyFill="1" applyBorder="1"/>
    <xf numFmtId="10" fontId="0" fillId="12" borderId="4" xfId="0" applyNumberFormat="1" applyFill="1" applyBorder="1"/>
    <xf numFmtId="1" fontId="0" fillId="6" borderId="0" xfId="0" applyNumberFormat="1" applyFill="1"/>
    <xf numFmtId="168" fontId="0" fillId="6" borderId="0" xfId="0" applyNumberFormat="1" applyFill="1"/>
    <xf numFmtId="0" fontId="0" fillId="0" borderId="12" xfId="0" applyBorder="1"/>
    <xf numFmtId="0" fontId="0" fillId="0" borderId="10" xfId="0" applyBorder="1"/>
    <xf numFmtId="2" fontId="0" fillId="0" borderId="10" xfId="0" applyNumberFormat="1" applyBorder="1"/>
    <xf numFmtId="2" fontId="0" fillId="0" borderId="13" xfId="0" applyNumberFormat="1" applyBorder="1"/>
    <xf numFmtId="0" fontId="0" fillId="0" borderId="6" xfId="0" applyBorder="1"/>
    <xf numFmtId="168" fontId="0" fillId="0" borderId="0" xfId="0" applyNumberFormat="1" applyBorder="1"/>
    <xf numFmtId="168" fontId="0" fillId="0" borderId="7" xfId="0" applyNumberFormat="1" applyBorder="1"/>
    <xf numFmtId="169" fontId="0" fillId="0" borderId="0" xfId="3" applyNumberFormat="1" applyFont="1" applyBorder="1"/>
    <xf numFmtId="169" fontId="0" fillId="0" borderId="7" xfId="3" applyNumberFormat="1" applyFont="1" applyBorder="1"/>
    <xf numFmtId="2" fontId="0" fillId="0" borderId="0" xfId="0" applyNumberFormat="1" applyBorder="1"/>
    <xf numFmtId="2" fontId="0" fillId="0" borderId="7" xfId="0" applyNumberFormat="1" applyBorder="1"/>
    <xf numFmtId="0" fontId="0" fillId="0" borderId="7" xfId="0" applyBorder="1"/>
    <xf numFmtId="0" fontId="0" fillId="0" borderId="14" xfId="0" applyBorder="1"/>
    <xf numFmtId="168" fontId="0" fillId="0" borderId="1" xfId="0" applyNumberFormat="1" applyBorder="1"/>
    <xf numFmtId="168" fontId="0" fillId="0" borderId="15" xfId="0" applyNumberFormat="1" applyBorder="1"/>
    <xf numFmtId="2" fontId="6" fillId="6" borderId="0" xfId="0" applyNumberFormat="1" applyFont="1" applyFill="1"/>
    <xf numFmtId="0" fontId="6" fillId="6" borderId="0" xfId="0" applyFont="1" applyFill="1"/>
    <xf numFmtId="168" fontId="6" fillId="6" borderId="0" xfId="0" applyNumberFormat="1" applyFont="1" applyFill="1"/>
    <xf numFmtId="0" fontId="19" fillId="0" borderId="0" xfId="0" applyFont="1"/>
    <xf numFmtId="0" fontId="19" fillId="0" borderId="0" xfId="0" applyFont="1" applyFill="1"/>
    <xf numFmtId="0" fontId="0" fillId="0" borderId="0" xfId="0" applyFont="1"/>
    <xf numFmtId="0" fontId="22" fillId="3" borderId="22" xfId="0" applyFont="1" applyFill="1" applyBorder="1" applyAlignment="1">
      <alignment horizontal="left"/>
    </xf>
    <xf numFmtId="170" fontId="19" fillId="0" borderId="22" xfId="3" applyNumberFormat="1" applyFont="1" applyBorder="1"/>
    <xf numFmtId="0" fontId="24" fillId="0" borderId="0" xfId="5" applyFont="1"/>
    <xf numFmtId="9" fontId="25" fillId="11" borderId="0" xfId="5" applyNumberFormat="1" applyFont="1" applyFill="1"/>
    <xf numFmtId="0" fontId="24" fillId="0" borderId="0" xfId="5" applyFont="1" applyBorder="1" applyAlignment="1"/>
    <xf numFmtId="9" fontId="24" fillId="11" borderId="0" xfId="1" applyFont="1" applyFill="1"/>
    <xf numFmtId="0" fontId="24" fillId="0" borderId="0" xfId="5" applyFont="1" applyAlignment="1"/>
    <xf numFmtId="170" fontId="24" fillId="11" borderId="0" xfId="3" applyNumberFormat="1" applyFont="1" applyFill="1"/>
    <xf numFmtId="170" fontId="22" fillId="11" borderId="10" xfId="3" applyNumberFormat="1" applyFont="1" applyFill="1" applyBorder="1"/>
    <xf numFmtId="9" fontId="24" fillId="0" borderId="0" xfId="1" applyFont="1"/>
    <xf numFmtId="0" fontId="19" fillId="0" borderId="0" xfId="0" applyFont="1" applyAlignment="1">
      <alignment vertical="top" wrapText="1"/>
    </xf>
    <xf numFmtId="171" fontId="24" fillId="11" borderId="0" xfId="3" applyNumberFormat="1" applyFont="1" applyFill="1"/>
    <xf numFmtId="9" fontId="24" fillId="0" borderId="0" xfId="5" applyNumberFormat="1" applyFont="1"/>
    <xf numFmtId="2" fontId="25" fillId="11" borderId="0" xfId="5" applyNumberFormat="1" applyFont="1" applyFill="1"/>
    <xf numFmtId="170" fontId="22" fillId="11" borderId="2" xfId="3" applyNumberFormat="1" applyFont="1" applyFill="1" applyBorder="1"/>
    <xf numFmtId="170" fontId="22" fillId="0" borderId="22" xfId="3" applyNumberFormat="1" applyFont="1" applyFill="1" applyBorder="1" applyAlignment="1">
      <alignment horizontal="center"/>
    </xf>
    <xf numFmtId="170" fontId="19" fillId="0" borderId="0" xfId="3" applyNumberFormat="1" applyFont="1" applyBorder="1"/>
    <xf numFmtId="0" fontId="26" fillId="0" borderId="0" xfId="5" applyFont="1" applyFill="1" applyBorder="1" applyAlignment="1">
      <alignment vertical="center"/>
    </xf>
    <xf numFmtId="0" fontId="19" fillId="0" borderId="0" xfId="0" applyFont="1" applyFill="1" applyBorder="1"/>
    <xf numFmtId="170" fontId="27" fillId="0" borderId="0" xfId="3" applyNumberFormat="1" applyFont="1" applyFill="1" applyBorder="1" applyAlignment="1">
      <alignment horizontal="center"/>
    </xf>
    <xf numFmtId="0" fontId="24" fillId="0" borderId="0" xfId="5" applyFont="1" applyAlignment="1">
      <alignment horizontal="left" indent="1"/>
    </xf>
    <xf numFmtId="170" fontId="24" fillId="0" borderId="0" xfId="7" applyNumberFormat="1" applyFont="1" applyFill="1"/>
    <xf numFmtId="170" fontId="24" fillId="0" borderId="0" xfId="7" applyNumberFormat="1" applyFont="1" applyFill="1" applyBorder="1"/>
    <xf numFmtId="165" fontId="24" fillId="0" borderId="0" xfId="6" applyNumberFormat="1" applyFont="1" applyBorder="1" applyAlignment="1">
      <alignment horizontal="left" indent="1"/>
    </xf>
    <xf numFmtId="165" fontId="24" fillId="0" borderId="26" xfId="6" applyNumberFormat="1" applyFont="1" applyBorder="1" applyAlignment="1">
      <alignment horizontal="left" indent="1"/>
    </xf>
    <xf numFmtId="170" fontId="24" fillId="0" borderId="26" xfId="7" applyNumberFormat="1" applyFont="1" applyFill="1" applyBorder="1"/>
    <xf numFmtId="0" fontId="24" fillId="0" borderId="0" xfId="5" applyFont="1" applyFill="1"/>
    <xf numFmtId="170" fontId="24" fillId="0" borderId="0" xfId="3" applyNumberFormat="1" applyFont="1"/>
    <xf numFmtId="170" fontId="25" fillId="0" borderId="0" xfId="3" applyNumberFormat="1" applyFont="1"/>
    <xf numFmtId="170" fontId="19" fillId="0" borderId="0" xfId="3" applyNumberFormat="1" applyFont="1"/>
    <xf numFmtId="43" fontId="24" fillId="0" borderId="26" xfId="3" applyFont="1" applyBorder="1"/>
    <xf numFmtId="0" fontId="28" fillId="0" borderId="0" xfId="5" applyFont="1"/>
    <xf numFmtId="0" fontId="22" fillId="0" borderId="0" xfId="0" applyFont="1"/>
    <xf numFmtId="170" fontId="22" fillId="0" borderId="0" xfId="3" applyNumberFormat="1" applyFont="1" applyFill="1"/>
    <xf numFmtId="9" fontId="24" fillId="0" borderId="0" xfId="6" applyNumberFormat="1" applyFont="1" applyFill="1"/>
    <xf numFmtId="9" fontId="25" fillId="0" borderId="0" xfId="1" applyNumberFormat="1" applyFont="1" applyFill="1"/>
    <xf numFmtId="9" fontId="24" fillId="0" borderId="0" xfId="6" applyNumberFormat="1" applyFont="1" applyFill="1" applyBorder="1"/>
    <xf numFmtId="9" fontId="25" fillId="0" borderId="0" xfId="6" applyNumberFormat="1" applyFont="1" applyFill="1" applyBorder="1"/>
    <xf numFmtId="0" fontId="25" fillId="0" borderId="0" xfId="0" applyFont="1" applyFill="1"/>
    <xf numFmtId="0" fontId="24" fillId="0" borderId="27" xfId="5" applyFont="1" applyBorder="1"/>
    <xf numFmtId="0" fontId="24" fillId="0" borderId="27" xfId="5" applyFont="1" applyFill="1" applyBorder="1"/>
    <xf numFmtId="170" fontId="24" fillId="11" borderId="0" xfId="7" applyNumberFormat="1" applyFont="1" applyFill="1"/>
    <xf numFmtId="170" fontId="24" fillId="11" borderId="0" xfId="5" applyNumberFormat="1" applyFont="1" applyFill="1"/>
    <xf numFmtId="0" fontId="24" fillId="0" borderId="0" xfId="5" quotePrefix="1" applyFont="1"/>
    <xf numFmtId="9" fontId="24" fillId="11" borderId="0" xfId="5" applyNumberFormat="1" applyFont="1" applyFill="1"/>
    <xf numFmtId="170" fontId="24" fillId="11" borderId="10" xfId="5" applyNumberFormat="1" applyFont="1" applyFill="1" applyBorder="1"/>
    <xf numFmtId="43" fontId="29" fillId="11" borderId="0" xfId="3" applyFont="1" applyFill="1" applyBorder="1"/>
    <xf numFmtId="164" fontId="24" fillId="0" borderId="0" xfId="5" applyNumberFormat="1" applyFont="1"/>
    <xf numFmtId="0" fontId="31" fillId="3" borderId="0" xfId="0" applyFont="1" applyFill="1"/>
    <xf numFmtId="0" fontId="30" fillId="3" borderId="2" xfId="0" applyFont="1" applyFill="1" applyBorder="1"/>
    <xf numFmtId="1" fontId="0" fillId="0" borderId="0" xfId="0" applyNumberFormat="1"/>
    <xf numFmtId="0" fontId="7" fillId="0" borderId="0" xfId="0" applyFont="1"/>
    <xf numFmtId="0" fontId="0" fillId="0" borderId="31" xfId="0" applyBorder="1"/>
    <xf numFmtId="0" fontId="0" fillId="15" borderId="0" xfId="0" applyFill="1" applyBorder="1"/>
    <xf numFmtId="2" fontId="0" fillId="3" borderId="0" xfId="0" applyNumberFormat="1" applyFill="1"/>
    <xf numFmtId="1" fontId="0" fillId="5" borderId="2" xfId="0" applyNumberFormat="1" applyFill="1" applyBorder="1"/>
    <xf numFmtId="1" fontId="0" fillId="5" borderId="7" xfId="0" applyNumberFormat="1" applyFill="1" applyBorder="1"/>
    <xf numFmtId="0" fontId="34" fillId="0" borderId="0" xfId="0" applyFont="1" applyAlignment="1">
      <alignment vertical="center" wrapText="1"/>
    </xf>
    <xf numFmtId="1" fontId="0" fillId="4" borderId="7" xfId="0" applyNumberFormat="1" applyFill="1" applyBorder="1"/>
    <xf numFmtId="0" fontId="40" fillId="0" borderId="0" xfId="0" applyFont="1"/>
    <xf numFmtId="0" fontId="41" fillId="0" borderId="0" xfId="0" applyFont="1"/>
    <xf numFmtId="0" fontId="41" fillId="0" borderId="0" xfId="0" applyFont="1" applyAlignment="1"/>
    <xf numFmtId="0" fontId="41" fillId="0" borderId="2" xfId="0" applyFont="1" applyBorder="1"/>
    <xf numFmtId="3" fontId="42" fillId="9" borderId="8" xfId="0" applyNumberFormat="1" applyFont="1" applyFill="1" applyBorder="1" applyAlignment="1">
      <alignment vertical="center" wrapText="1"/>
    </xf>
    <xf numFmtId="0" fontId="41" fillId="0" borderId="0" xfId="0" applyFont="1" applyBorder="1"/>
    <xf numFmtId="0" fontId="41" fillId="9" borderId="0" xfId="0" applyFont="1" applyFill="1" applyBorder="1"/>
    <xf numFmtId="0" fontId="41" fillId="9" borderId="2" xfId="0" applyFont="1" applyFill="1" applyBorder="1"/>
    <xf numFmtId="0" fontId="41" fillId="0" borderId="10" xfId="0" applyFont="1" applyBorder="1"/>
    <xf numFmtId="9" fontId="52" fillId="9" borderId="0" xfId="1" applyFont="1" applyFill="1" applyBorder="1"/>
    <xf numFmtId="0" fontId="48" fillId="14" borderId="0" xfId="0" applyFont="1" applyFill="1" applyBorder="1"/>
    <xf numFmtId="0" fontId="48" fillId="14" borderId="2" xfId="0" applyFont="1" applyFill="1" applyBorder="1"/>
    <xf numFmtId="0" fontId="54" fillId="14" borderId="0" xfId="0" applyFont="1" applyFill="1" applyBorder="1" applyAlignment="1">
      <alignment vertical="top"/>
    </xf>
    <xf numFmtId="0" fontId="55" fillId="14" borderId="0" xfId="0" applyFont="1" applyFill="1" applyBorder="1" applyAlignment="1">
      <alignment horizontal="center" vertical="top"/>
    </xf>
    <xf numFmtId="15" fontId="54" fillId="14" borderId="0" xfId="0" applyNumberFormat="1" applyFont="1" applyFill="1" applyBorder="1" applyAlignment="1">
      <alignment horizontal="right" vertical="top"/>
    </xf>
    <xf numFmtId="15" fontId="54" fillId="14" borderId="0" xfId="0" applyNumberFormat="1" applyFont="1" applyFill="1" applyBorder="1" applyAlignment="1">
      <alignment horizontal="center" vertical="top"/>
    </xf>
    <xf numFmtId="0" fontId="54" fillId="14" borderId="0" xfId="0" applyFont="1" applyFill="1" applyBorder="1" applyAlignment="1">
      <alignment horizontal="center" vertical="top"/>
    </xf>
    <xf numFmtId="0" fontId="54" fillId="14" borderId="0" xfId="0" applyFont="1" applyFill="1" applyBorder="1" applyAlignment="1">
      <alignment horizontal="right" vertical="top"/>
    </xf>
    <xf numFmtId="0" fontId="56" fillId="14" borderId="0" xfId="0" applyFont="1" applyFill="1" applyBorder="1" applyAlignment="1">
      <alignment vertical="top"/>
    </xf>
    <xf numFmtId="0" fontId="55" fillId="14" borderId="0" xfId="0" applyFont="1" applyFill="1" applyBorder="1" applyAlignment="1">
      <alignment horizontal="right" vertical="top"/>
    </xf>
    <xf numFmtId="0" fontId="41" fillId="13" borderId="0" xfId="0" applyFont="1" applyFill="1"/>
    <xf numFmtId="3" fontId="54" fillId="14" borderId="0" xfId="0" applyNumberFormat="1" applyFont="1" applyFill="1" applyBorder="1" applyAlignment="1">
      <alignment horizontal="right" vertical="top"/>
    </xf>
    <xf numFmtId="0" fontId="55" fillId="14" borderId="0" xfId="0" applyFont="1" applyFill="1" applyBorder="1" applyAlignment="1">
      <alignment vertical="top"/>
    </xf>
    <xf numFmtId="3" fontId="55" fillId="14" borderId="0" xfId="0" applyNumberFormat="1" applyFont="1" applyFill="1" applyBorder="1" applyAlignment="1">
      <alignment horizontal="right" vertical="top"/>
    </xf>
    <xf numFmtId="3" fontId="56" fillId="14" borderId="0" xfId="0" applyNumberFormat="1" applyFont="1" applyFill="1" applyBorder="1" applyAlignment="1">
      <alignment horizontal="right" vertical="top"/>
    </xf>
    <xf numFmtId="0" fontId="56" fillId="14" borderId="0" xfId="0" applyFont="1" applyFill="1" applyBorder="1" applyAlignment="1">
      <alignment horizontal="right" vertical="top"/>
    </xf>
    <xf numFmtId="0" fontId="48" fillId="14" borderId="0" xfId="0" applyFont="1" applyFill="1" applyBorder="1" applyAlignment="1">
      <alignment horizontal="left" vertical="center" indent="6"/>
    </xf>
    <xf numFmtId="0" fontId="48" fillId="14" borderId="0" xfId="0" applyFont="1" applyFill="1" applyBorder="1" applyAlignment="1">
      <alignment horizontal="left" vertical="center" indent="7"/>
    </xf>
    <xf numFmtId="0" fontId="48" fillId="14" borderId="0" xfId="0" applyFont="1" applyFill="1" applyBorder="1" applyAlignment="1">
      <alignment horizontal="center" vertical="center"/>
    </xf>
    <xf numFmtId="0" fontId="60" fillId="14" borderId="0" xfId="0" applyFont="1" applyFill="1" applyBorder="1" applyAlignment="1">
      <alignment horizontal="center" vertical="center"/>
    </xf>
    <xf numFmtId="0" fontId="53" fillId="14" borderId="0" xfId="0" applyFont="1" applyFill="1" applyBorder="1" applyAlignment="1">
      <alignment horizontal="left" vertical="center" indent="6"/>
    </xf>
    <xf numFmtId="0" fontId="53" fillId="14" borderId="0" xfId="0" applyFont="1" applyFill="1" applyBorder="1" applyAlignment="1">
      <alignment vertical="center" wrapText="1"/>
    </xf>
    <xf numFmtId="0" fontId="48" fillId="14" borderId="0" xfId="0" applyFont="1" applyFill="1" applyBorder="1" applyAlignment="1">
      <alignment vertical="center" wrapText="1"/>
    </xf>
    <xf numFmtId="10" fontId="53" fillId="14" borderId="0" xfId="0" applyNumberFormat="1" applyFont="1" applyFill="1" applyBorder="1" applyAlignment="1">
      <alignment vertical="center" wrapText="1"/>
    </xf>
    <xf numFmtId="9" fontId="53" fillId="14" borderId="0" xfId="0" applyNumberFormat="1" applyFont="1" applyFill="1" applyBorder="1" applyAlignment="1">
      <alignment vertical="center" wrapText="1"/>
    </xf>
    <xf numFmtId="3" fontId="48" fillId="14" borderId="0" xfId="0" applyNumberFormat="1" applyFont="1" applyFill="1" applyBorder="1" applyAlignment="1">
      <alignment vertical="center" wrapText="1"/>
    </xf>
    <xf numFmtId="0" fontId="60" fillId="14" borderId="0" xfId="0" applyFont="1" applyFill="1" applyBorder="1" applyAlignment="1">
      <alignment vertical="center" wrapText="1"/>
    </xf>
    <xf numFmtId="3" fontId="53" fillId="14" borderId="0" xfId="0" applyNumberFormat="1" applyFont="1" applyFill="1" applyBorder="1" applyAlignment="1">
      <alignment vertical="center" wrapText="1"/>
    </xf>
    <xf numFmtId="0" fontId="48" fillId="14" borderId="0" xfId="0" applyFont="1" applyFill="1" applyBorder="1" applyAlignment="1"/>
    <xf numFmtId="0" fontId="53" fillId="14" borderId="0" xfId="0" applyFont="1" applyFill="1" applyBorder="1" applyAlignment="1">
      <alignment horizontal="center" vertical="center"/>
    </xf>
    <xf numFmtId="0" fontId="61" fillId="14" borderId="0" xfId="8" applyFont="1" applyFill="1" applyBorder="1" applyAlignment="1">
      <alignment horizontal="center" vertical="center"/>
    </xf>
    <xf numFmtId="0" fontId="61" fillId="14" borderId="0" xfId="0" applyFont="1" applyFill="1" applyBorder="1" applyAlignment="1">
      <alignment horizontal="center" vertical="center"/>
    </xf>
    <xf numFmtId="0" fontId="62" fillId="14" borderId="0" xfId="0" applyFont="1" applyFill="1" applyBorder="1" applyAlignment="1">
      <alignment horizontal="left" vertical="center" indent="6"/>
    </xf>
    <xf numFmtId="0" fontId="63" fillId="14" borderId="0" xfId="0" applyFont="1" applyFill="1" applyBorder="1" applyAlignment="1">
      <alignment horizontal="left" vertical="center" indent="6"/>
    </xf>
    <xf numFmtId="0" fontId="64" fillId="14" borderId="0" xfId="0" applyFont="1" applyFill="1" applyBorder="1" applyAlignment="1">
      <alignment horizontal="left" vertical="center" indent="6"/>
    </xf>
    <xf numFmtId="0" fontId="64" fillId="14" borderId="0" xfId="0" applyFont="1" applyFill="1" applyBorder="1" applyAlignment="1">
      <alignment horizontal="left" vertical="center"/>
    </xf>
    <xf numFmtId="0" fontId="61" fillId="14" borderId="0" xfId="8" applyFont="1" applyFill="1" applyBorder="1" applyAlignment="1">
      <alignment horizontal="left" vertical="center" indent="7"/>
    </xf>
    <xf numFmtId="0" fontId="65" fillId="14" borderId="0" xfId="0" applyFont="1" applyFill="1" applyBorder="1" applyAlignment="1">
      <alignment horizontal="center" vertical="center"/>
    </xf>
    <xf numFmtId="0" fontId="61" fillId="14" borderId="0" xfId="8" applyFont="1" applyFill="1" applyBorder="1" applyAlignment="1">
      <alignment horizontal="left" vertical="center" indent="6"/>
    </xf>
    <xf numFmtId="0" fontId="66" fillId="14" borderId="0" xfId="0" applyFont="1" applyFill="1" applyBorder="1" applyAlignment="1">
      <alignment horizontal="left" vertical="center" indent="6"/>
    </xf>
    <xf numFmtId="0" fontId="67" fillId="14" borderId="0" xfId="0" applyFont="1" applyFill="1" applyBorder="1" applyAlignment="1">
      <alignment horizontal="left" vertical="center" indent="6"/>
    </xf>
    <xf numFmtId="0" fontId="53" fillId="14" borderId="0" xfId="0" applyFont="1" applyFill="1" applyBorder="1" applyAlignment="1">
      <alignment vertical="center"/>
    </xf>
    <xf numFmtId="0" fontId="67" fillId="14" borderId="0" xfId="0" applyFont="1" applyFill="1" applyBorder="1" applyAlignment="1">
      <alignment vertical="center"/>
    </xf>
    <xf numFmtId="0" fontId="61" fillId="14" borderId="0" xfId="8" applyFont="1" applyFill="1" applyBorder="1" applyAlignment="1">
      <alignment vertical="center"/>
    </xf>
    <xf numFmtId="0" fontId="68" fillId="14" borderId="0" xfId="0" applyFont="1" applyFill="1" applyBorder="1" applyAlignment="1">
      <alignment horizontal="left" vertical="center" indent="7"/>
    </xf>
    <xf numFmtId="0" fontId="69" fillId="14" borderId="0" xfId="0" applyFont="1" applyFill="1" applyBorder="1" applyAlignment="1">
      <alignment vertical="center"/>
    </xf>
    <xf numFmtId="0" fontId="41" fillId="0" borderId="28" xfId="0" applyFont="1" applyBorder="1" applyAlignment="1"/>
    <xf numFmtId="0" fontId="48" fillId="0" borderId="2" xfId="0" applyFont="1" applyBorder="1"/>
    <xf numFmtId="0" fontId="48" fillId="0" borderId="0" xfId="0" applyFont="1"/>
    <xf numFmtId="0" fontId="48" fillId="0" borderId="31" xfId="0" applyFont="1" applyBorder="1"/>
    <xf numFmtId="0" fontId="48" fillId="0" borderId="32" xfId="0" applyFont="1" applyBorder="1"/>
    <xf numFmtId="0" fontId="48" fillId="0" borderId="37" xfId="0" applyFont="1" applyBorder="1"/>
    <xf numFmtId="0" fontId="48" fillId="0" borderId="38" xfId="0" applyFont="1" applyBorder="1"/>
    <xf numFmtId="0" fontId="48" fillId="0" borderId="33" xfId="0" applyFont="1" applyBorder="1"/>
    <xf numFmtId="0" fontId="41" fillId="9" borderId="0" xfId="0" applyFont="1" applyFill="1"/>
    <xf numFmtId="1" fontId="12" fillId="9" borderId="4" xfId="0" applyNumberFormat="1" applyFont="1" applyFill="1" applyBorder="1"/>
    <xf numFmtId="0" fontId="3" fillId="3" borderId="39" xfId="0" applyFont="1" applyFill="1" applyBorder="1"/>
    <xf numFmtId="0" fontId="0" fillId="3" borderId="40" xfId="0" applyFill="1" applyBorder="1"/>
    <xf numFmtId="3" fontId="0" fillId="3" borderId="40" xfId="0" applyNumberFormat="1" applyFill="1" applyBorder="1"/>
    <xf numFmtId="0" fontId="0" fillId="0" borderId="40" xfId="0" applyBorder="1"/>
    <xf numFmtId="1" fontId="0" fillId="9" borderId="40" xfId="0" applyNumberFormat="1" applyFill="1" applyBorder="1"/>
    <xf numFmtId="0" fontId="13" fillId="9" borderId="12" xfId="0" applyFont="1" applyFill="1" applyBorder="1"/>
    <xf numFmtId="0" fontId="13" fillId="9" borderId="10" xfId="0" applyFont="1" applyFill="1" applyBorder="1"/>
    <xf numFmtId="0" fontId="13" fillId="9" borderId="13" xfId="0" applyFont="1" applyFill="1" applyBorder="1"/>
    <xf numFmtId="0" fontId="7" fillId="3" borderId="39" xfId="0" applyFont="1" applyFill="1" applyBorder="1"/>
    <xf numFmtId="3" fontId="0" fillId="9" borderId="40" xfId="0" applyNumberFormat="1" applyFill="1" applyBorder="1"/>
    <xf numFmtId="2" fontId="0" fillId="0" borderId="0" xfId="0" applyNumberFormat="1"/>
    <xf numFmtId="1" fontId="0" fillId="15" borderId="0" xfId="0" applyNumberFormat="1" applyFill="1" applyBorder="1"/>
    <xf numFmtId="0" fontId="3" fillId="0" borderId="0" xfId="0" applyFont="1" applyBorder="1"/>
    <xf numFmtId="9" fontId="0" fillId="9" borderId="0" xfId="1" applyFont="1" applyFill="1" applyBorder="1"/>
    <xf numFmtId="1" fontId="0" fillId="9" borderId="0" xfId="0" applyNumberFormat="1" applyFill="1" applyBorder="1"/>
    <xf numFmtId="0" fontId="0" fillId="0" borderId="18" xfId="0" applyBorder="1"/>
    <xf numFmtId="0" fontId="0" fillId="0" borderId="32" xfId="0" applyBorder="1"/>
    <xf numFmtId="0" fontId="0" fillId="9" borderId="7" xfId="0" applyFill="1" applyBorder="1"/>
    <xf numFmtId="1" fontId="0" fillId="15" borderId="6" xfId="0" applyNumberFormat="1" applyFill="1" applyBorder="1"/>
    <xf numFmtId="1" fontId="0" fillId="10" borderId="0" xfId="0" applyNumberFormat="1" applyFill="1" applyBorder="1"/>
    <xf numFmtId="0" fontId="0" fillId="9" borderId="0" xfId="0" applyFill="1"/>
    <xf numFmtId="0" fontId="0" fillId="9" borderId="40" xfId="0" applyFill="1" applyBorder="1"/>
    <xf numFmtId="0" fontId="30" fillId="0" borderId="2" xfId="0" applyFont="1" applyBorder="1"/>
    <xf numFmtId="0" fontId="30" fillId="0" borderId="0" xfId="0" applyFont="1"/>
    <xf numFmtId="9" fontId="0" fillId="0" borderId="0" xfId="1" applyFont="1"/>
    <xf numFmtId="0" fontId="0" fillId="0" borderId="40" xfId="0" applyFont="1" applyBorder="1"/>
    <xf numFmtId="0" fontId="0" fillId="9" borderId="9" xfId="0" applyFont="1" applyFill="1" applyBorder="1"/>
    <xf numFmtId="168" fontId="0" fillId="9" borderId="0" xfId="0" applyNumberFormat="1" applyFill="1" applyBorder="1"/>
    <xf numFmtId="0" fontId="0" fillId="9" borderId="40" xfId="0" applyFont="1" applyFill="1" applyBorder="1"/>
    <xf numFmtId="168" fontId="0" fillId="9" borderId="40" xfId="0" applyNumberFormat="1" applyFont="1" applyFill="1" applyBorder="1"/>
    <xf numFmtId="1" fontId="0" fillId="9" borderId="40" xfId="0" applyNumberFormat="1" applyFont="1" applyFill="1" applyBorder="1"/>
    <xf numFmtId="1" fontId="0" fillId="6" borderId="40" xfId="0" applyNumberFormat="1" applyFont="1" applyFill="1" applyBorder="1"/>
    <xf numFmtId="0" fontId="30" fillId="9" borderId="9" xfId="0" applyFont="1" applyFill="1" applyBorder="1"/>
    <xf numFmtId="0" fontId="30" fillId="9" borderId="46" xfId="0" applyFont="1" applyFill="1" applyBorder="1"/>
    <xf numFmtId="0" fontId="30" fillId="9" borderId="6" xfId="0" applyFont="1" applyFill="1" applyBorder="1"/>
    <xf numFmtId="0" fontId="30" fillId="9" borderId="14" xfId="0" applyFont="1" applyFill="1" applyBorder="1"/>
    <xf numFmtId="0" fontId="3" fillId="0" borderId="39" xfId="0" applyFont="1" applyBorder="1"/>
    <xf numFmtId="0" fontId="3" fillId="0" borderId="40" xfId="0" applyFont="1" applyBorder="1"/>
    <xf numFmtId="10" fontId="25" fillId="11" borderId="0" xfId="6" applyNumberFormat="1" applyFont="1" applyFill="1"/>
    <xf numFmtId="173" fontId="22" fillId="11" borderId="0" xfId="4" applyNumberFormat="1" applyFont="1" applyFill="1" applyBorder="1"/>
    <xf numFmtId="165" fontId="24" fillId="11" borderId="0" xfId="1" applyNumberFormat="1" applyFont="1" applyFill="1"/>
    <xf numFmtId="0" fontId="0" fillId="0" borderId="2" xfId="0" applyFont="1" applyBorder="1"/>
    <xf numFmtId="0" fontId="0" fillId="9" borderId="2" xfId="0" applyFont="1" applyFill="1" applyBorder="1"/>
    <xf numFmtId="1" fontId="0" fillId="9" borderId="2" xfId="0" applyNumberFormat="1" applyFont="1" applyFill="1" applyBorder="1"/>
    <xf numFmtId="0" fontId="30" fillId="9" borderId="3" xfId="0" applyFont="1" applyFill="1" applyBorder="1"/>
    <xf numFmtId="0" fontId="30" fillId="9" borderId="2" xfId="0" applyFont="1" applyFill="1" applyBorder="1"/>
    <xf numFmtId="0" fontId="30" fillId="9" borderId="4" xfId="0" applyFont="1" applyFill="1" applyBorder="1"/>
    <xf numFmtId="0" fontId="72" fillId="9" borderId="4" xfId="0" applyFont="1" applyFill="1" applyBorder="1"/>
    <xf numFmtId="0" fontId="30" fillId="9" borderId="16" xfId="0" applyFont="1" applyFill="1" applyBorder="1"/>
    <xf numFmtId="0" fontId="30" fillId="0" borderId="4" xfId="0" applyFont="1" applyBorder="1"/>
    <xf numFmtId="0" fontId="30" fillId="0" borderId="4" xfId="0" applyFont="1" applyBorder="1" applyAlignment="1">
      <alignment horizontal="center" wrapText="1"/>
    </xf>
    <xf numFmtId="0" fontId="30" fillId="9" borderId="3" xfId="0" applyFont="1" applyFill="1" applyBorder="1" applyAlignment="1">
      <alignment horizontal="center" wrapText="1"/>
    </xf>
    <xf numFmtId="1" fontId="30" fillId="9" borderId="2" xfId="0" applyNumberFormat="1" applyFont="1" applyFill="1" applyBorder="1"/>
    <xf numFmtId="3" fontId="0" fillId="9" borderId="0" xfId="0" applyNumberFormat="1" applyFill="1"/>
    <xf numFmtId="168" fontId="0" fillId="9" borderId="0" xfId="0" applyNumberFormat="1" applyFill="1"/>
    <xf numFmtId="1" fontId="0" fillId="9" borderId="0" xfId="0" applyNumberFormat="1" applyFill="1"/>
    <xf numFmtId="1" fontId="0" fillId="9" borderId="7" xfId="1" applyNumberFormat="1" applyFont="1" applyFill="1" applyBorder="1" applyAlignment="1">
      <alignment wrapText="1"/>
    </xf>
    <xf numFmtId="0" fontId="0" fillId="9" borderId="19" xfId="0" applyFill="1" applyBorder="1"/>
    <xf numFmtId="0" fontId="8" fillId="9" borderId="2" xfId="0" applyFont="1" applyFill="1" applyBorder="1"/>
    <xf numFmtId="0" fontId="8" fillId="0" borderId="2" xfId="0" applyFont="1" applyBorder="1"/>
    <xf numFmtId="0" fontId="3" fillId="0" borderId="47" xfId="0" applyFont="1" applyBorder="1"/>
    <xf numFmtId="0" fontId="30" fillId="6" borderId="47" xfId="0" applyFont="1" applyFill="1" applyBorder="1"/>
    <xf numFmtId="1" fontId="0" fillId="6" borderId="11" xfId="0" applyNumberFormat="1" applyFill="1" applyBorder="1"/>
    <xf numFmtId="1" fontId="0" fillId="6" borderId="4" xfId="0" applyNumberFormat="1" applyFill="1" applyBorder="1"/>
    <xf numFmtId="9" fontId="6" fillId="6" borderId="4" xfId="1" applyFont="1" applyFill="1" applyBorder="1"/>
    <xf numFmtId="1" fontId="0" fillId="6" borderId="16" xfId="0" applyNumberFormat="1" applyFill="1" applyBorder="1"/>
    <xf numFmtId="0" fontId="30" fillId="9" borderId="39" xfId="0" applyFont="1" applyFill="1" applyBorder="1"/>
    <xf numFmtId="1" fontId="0" fillId="6" borderId="17" xfId="0" applyNumberFormat="1" applyFont="1" applyFill="1" applyBorder="1"/>
    <xf numFmtId="1" fontId="0" fillId="6" borderId="17" xfId="0" applyNumberFormat="1" applyFill="1" applyBorder="1"/>
    <xf numFmtId="0" fontId="70" fillId="9" borderId="0" xfId="0" applyFont="1" applyFill="1" applyBorder="1"/>
    <xf numFmtId="9" fontId="70" fillId="9" borderId="0" xfId="1" applyFont="1" applyFill="1" applyBorder="1"/>
    <xf numFmtId="9" fontId="71" fillId="6" borderId="4" xfId="0" applyNumberFormat="1" applyFont="1" applyFill="1" applyBorder="1"/>
    <xf numFmtId="0" fontId="70" fillId="0" borderId="0" xfId="0" applyFont="1"/>
    <xf numFmtId="0" fontId="70" fillId="9" borderId="6" xfId="0" applyFont="1" applyFill="1" applyBorder="1"/>
    <xf numFmtId="43" fontId="0" fillId="0" borderId="0" xfId="3" applyFont="1"/>
    <xf numFmtId="43" fontId="6" fillId="0" borderId="0" xfId="3" applyFont="1"/>
    <xf numFmtId="1" fontId="0" fillId="9" borderId="40" xfId="1" applyNumberFormat="1" applyFont="1" applyFill="1" applyBorder="1"/>
    <xf numFmtId="1" fontId="0" fillId="6" borderId="40" xfId="1" applyNumberFormat="1" applyFont="1" applyFill="1" applyBorder="1"/>
    <xf numFmtId="168" fontId="0" fillId="9" borderId="1" xfId="0" applyNumberFormat="1" applyFill="1" applyBorder="1"/>
    <xf numFmtId="0" fontId="30" fillId="10" borderId="39" xfId="0" applyFont="1" applyFill="1" applyBorder="1"/>
    <xf numFmtId="0" fontId="0" fillId="10" borderId="40" xfId="0" applyFont="1" applyFill="1" applyBorder="1"/>
    <xf numFmtId="168" fontId="0" fillId="10" borderId="40" xfId="0" applyNumberFormat="1" applyFont="1" applyFill="1" applyBorder="1"/>
    <xf numFmtId="1" fontId="0" fillId="10" borderId="17" xfId="0" applyNumberFormat="1" applyFont="1" applyFill="1" applyBorder="1"/>
    <xf numFmtId="1" fontId="0" fillId="10" borderId="17" xfId="0" applyNumberFormat="1" applyFill="1" applyBorder="1"/>
    <xf numFmtId="10" fontId="0" fillId="0" borderId="0" xfId="1" applyNumberFormat="1" applyFont="1" applyBorder="1"/>
    <xf numFmtId="1" fontId="0" fillId="0" borderId="0" xfId="0" applyNumberFormat="1" applyBorder="1"/>
    <xf numFmtId="9" fontId="0" fillId="0" borderId="0" xfId="0" applyNumberFormat="1" applyBorder="1"/>
    <xf numFmtId="0" fontId="0" fillId="15" borderId="7" xfId="0" applyFill="1" applyBorder="1"/>
    <xf numFmtId="1" fontId="12" fillId="4" borderId="0" xfId="0" applyNumberFormat="1" applyFont="1" applyFill="1"/>
    <xf numFmtId="0" fontId="12" fillId="4" borderId="0" xfId="0" applyFont="1" applyFill="1"/>
    <xf numFmtId="0" fontId="12" fillId="5" borderId="9" xfId="0" applyFont="1" applyFill="1" applyBorder="1"/>
    <xf numFmtId="0" fontId="12" fillId="5" borderId="12" xfId="0" applyFont="1" applyFill="1" applyBorder="1"/>
    <xf numFmtId="0" fontId="12" fillId="5" borderId="10" xfId="0" applyFont="1" applyFill="1" applyBorder="1"/>
    <xf numFmtId="0" fontId="12" fillId="5" borderId="13" xfId="0" applyFont="1" applyFill="1" applyBorder="1"/>
    <xf numFmtId="0" fontId="0" fillId="4" borderId="9" xfId="0" applyFill="1" applyBorder="1"/>
    <xf numFmtId="0" fontId="0" fillId="3" borderId="12" xfId="0" applyFill="1" applyBorder="1"/>
    <xf numFmtId="165" fontId="0" fillId="0" borderId="4" xfId="1" applyNumberFormat="1" applyFont="1" applyBorder="1"/>
    <xf numFmtId="0" fontId="0" fillId="0" borderId="11" xfId="0" applyBorder="1"/>
    <xf numFmtId="0" fontId="0" fillId="9" borderId="10" xfId="0" applyFill="1" applyBorder="1"/>
    <xf numFmtId="0" fontId="0" fillId="9" borderId="11" xfId="0" applyFill="1" applyBorder="1"/>
    <xf numFmtId="0" fontId="0" fillId="9" borderId="13" xfId="0" applyFill="1" applyBorder="1"/>
    <xf numFmtId="165" fontId="0" fillId="0" borderId="16" xfId="1" applyNumberFormat="1" applyFont="1" applyBorder="1"/>
    <xf numFmtId="9" fontId="0" fillId="3" borderId="4" xfId="1" applyFont="1" applyFill="1" applyBorder="1"/>
    <xf numFmtId="165" fontId="0" fillId="15" borderId="0" xfId="0" applyNumberFormat="1" applyFill="1" applyBorder="1"/>
    <xf numFmtId="0" fontId="30" fillId="15" borderId="8" xfId="0" applyFont="1" applyFill="1" applyBorder="1"/>
    <xf numFmtId="0" fontId="30" fillId="15" borderId="5" xfId="0" applyFont="1" applyFill="1" applyBorder="1"/>
    <xf numFmtId="0" fontId="30" fillId="15" borderId="2" xfId="0" applyFont="1" applyFill="1" applyBorder="1"/>
    <xf numFmtId="3" fontId="0" fillId="15" borderId="8" xfId="0" applyNumberFormat="1" applyFont="1" applyFill="1" applyBorder="1"/>
    <xf numFmtId="3" fontId="0" fillId="15" borderId="5" xfId="0" applyNumberFormat="1" applyFont="1" applyFill="1" applyBorder="1"/>
    <xf numFmtId="3" fontId="0" fillId="15" borderId="2" xfId="0" applyNumberFormat="1" applyFont="1" applyFill="1" applyBorder="1"/>
    <xf numFmtId="0" fontId="0" fillId="15" borderId="6" xfId="0" applyFill="1" applyBorder="1"/>
    <xf numFmtId="1" fontId="0" fillId="15" borderId="8" xfId="0" applyNumberFormat="1" applyFont="1" applyFill="1" applyBorder="1"/>
    <xf numFmtId="1" fontId="0" fillId="15" borderId="5" xfId="0" applyNumberFormat="1" applyFont="1" applyFill="1" applyBorder="1"/>
    <xf numFmtId="1" fontId="0" fillId="15" borderId="2" xfId="0" applyNumberFormat="1" applyFont="1" applyFill="1" applyBorder="1"/>
    <xf numFmtId="1" fontId="0" fillId="15" borderId="7" xfId="0" applyNumberFormat="1" applyFill="1" applyBorder="1"/>
    <xf numFmtId="1" fontId="6" fillId="15" borderId="7" xfId="0" applyNumberFormat="1" applyFont="1" applyFill="1" applyBorder="1"/>
    <xf numFmtId="1" fontId="6" fillId="15" borderId="6" xfId="0" applyNumberFormat="1" applyFont="1" applyFill="1" applyBorder="1"/>
    <xf numFmtId="1" fontId="6" fillId="15" borderId="0" xfId="0" applyNumberFormat="1" applyFont="1" applyFill="1" applyBorder="1"/>
    <xf numFmtId="1" fontId="30" fillId="15" borderId="8" xfId="0" applyNumberFormat="1" applyFont="1" applyFill="1" applyBorder="1"/>
    <xf numFmtId="1" fontId="30" fillId="15" borderId="5" xfId="0" applyNumberFormat="1" applyFont="1" applyFill="1" applyBorder="1"/>
    <xf numFmtId="1" fontId="30" fillId="15" borderId="2" xfId="0" applyNumberFormat="1" applyFont="1" applyFill="1" applyBorder="1"/>
    <xf numFmtId="1" fontId="73" fillId="15" borderId="6" xfId="0" applyNumberFormat="1" applyFont="1" applyFill="1" applyBorder="1"/>
    <xf numFmtId="1" fontId="73" fillId="15" borderId="0" xfId="0" applyNumberFormat="1" applyFont="1" applyFill="1" applyBorder="1"/>
    <xf numFmtId="1" fontId="73" fillId="15" borderId="7" xfId="0" applyNumberFormat="1" applyFont="1" applyFill="1" applyBorder="1"/>
    <xf numFmtId="0" fontId="0" fillId="15" borderId="15" xfId="0" applyFill="1" applyBorder="1"/>
    <xf numFmtId="0" fontId="0" fillId="15" borderId="14" xfId="0" applyFill="1" applyBorder="1"/>
    <xf numFmtId="0" fontId="0" fillId="15" borderId="1" xfId="0" applyFill="1" applyBorder="1"/>
    <xf numFmtId="0" fontId="0" fillId="0" borderId="0" xfId="0" applyFill="1" applyBorder="1"/>
    <xf numFmtId="1" fontId="0" fillId="0" borderId="0" xfId="0" applyNumberFormat="1" applyFill="1" applyBorder="1"/>
    <xf numFmtId="0" fontId="48" fillId="0" borderId="41" xfId="0" applyFont="1" applyBorder="1"/>
    <xf numFmtId="0" fontId="74" fillId="0" borderId="33" xfId="0" applyFont="1" applyBorder="1"/>
    <xf numFmtId="0" fontId="74" fillId="0" borderId="41" xfId="0" applyFont="1" applyBorder="1"/>
    <xf numFmtId="0" fontId="74" fillId="0" borderId="37" xfId="0" applyFont="1" applyBorder="1"/>
    <xf numFmtId="0" fontId="74" fillId="0" borderId="0" xfId="0" applyFont="1"/>
    <xf numFmtId="1" fontId="0" fillId="3" borderId="40" xfId="0" applyNumberFormat="1" applyFill="1" applyBorder="1"/>
    <xf numFmtId="0" fontId="7" fillId="3" borderId="0" xfId="0" applyFont="1" applyFill="1" applyBorder="1"/>
    <xf numFmtId="0" fontId="13" fillId="3" borderId="0" xfId="0" applyFont="1" applyFill="1" applyBorder="1"/>
    <xf numFmtId="0" fontId="12" fillId="3" borderId="1" xfId="1" applyNumberFormat="1" applyFont="1" applyFill="1" applyBorder="1"/>
    <xf numFmtId="167" fontId="12" fillId="3" borderId="0" xfId="3" applyNumberFormat="1" applyFont="1" applyFill="1" applyBorder="1"/>
    <xf numFmtId="3" fontId="12" fillId="3" borderId="0" xfId="0" applyNumberFormat="1" applyFont="1" applyFill="1" applyBorder="1"/>
    <xf numFmtId="10" fontId="12" fillId="3" borderId="0" xfId="0" applyNumberFormat="1" applyFont="1" applyFill="1" applyBorder="1"/>
    <xf numFmtId="10" fontId="12" fillId="3" borderId="0" xfId="1" applyNumberFormat="1" applyFont="1" applyFill="1" applyBorder="1"/>
    <xf numFmtId="10" fontId="6" fillId="3" borderId="0" xfId="0" applyNumberFormat="1" applyFont="1" applyFill="1" applyBorder="1"/>
    <xf numFmtId="9" fontId="12" fillId="3" borderId="0" xfId="0" applyNumberFormat="1" applyFont="1" applyFill="1" applyBorder="1"/>
    <xf numFmtId="10" fontId="0" fillId="3" borderId="0" xfId="1" applyNumberFormat="1" applyFont="1" applyFill="1" applyBorder="1"/>
    <xf numFmtId="166" fontId="12" fillId="3" borderId="0" xfId="0" applyNumberFormat="1" applyFont="1" applyFill="1" applyBorder="1"/>
    <xf numFmtId="0" fontId="12" fillId="3" borderId="0" xfId="0" applyFont="1" applyFill="1" applyBorder="1"/>
    <xf numFmtId="0" fontId="12" fillId="3" borderId="1" xfId="0" applyFont="1" applyFill="1" applyBorder="1"/>
    <xf numFmtId="165" fontId="0" fillId="3" borderId="0" xfId="0" applyNumberFormat="1" applyFill="1" applyBorder="1"/>
    <xf numFmtId="166" fontId="0" fillId="3" borderId="0" xfId="0" applyNumberFormat="1" applyFill="1" applyBorder="1"/>
    <xf numFmtId="0" fontId="16" fillId="0" borderId="0" xfId="0" applyFont="1"/>
    <xf numFmtId="0" fontId="0" fillId="17" borderId="49" xfId="0" applyFont="1" applyFill="1" applyBorder="1"/>
    <xf numFmtId="0" fontId="0" fillId="17" borderId="50" xfId="0" applyFont="1" applyFill="1" applyBorder="1"/>
    <xf numFmtId="0" fontId="0" fillId="17" borderId="51" xfId="0" applyFont="1" applyFill="1" applyBorder="1"/>
    <xf numFmtId="0" fontId="0" fillId="0" borderId="49" xfId="0" applyFont="1" applyBorder="1"/>
    <xf numFmtId="0" fontId="0" fillId="0" borderId="50" xfId="0" applyFont="1" applyBorder="1"/>
    <xf numFmtId="0" fontId="0" fillId="0" borderId="51" xfId="0" applyFont="1" applyBorder="1"/>
    <xf numFmtId="0" fontId="0" fillId="0" borderId="1" xfId="0" applyBorder="1" applyAlignment="1">
      <alignment horizontal="center"/>
    </xf>
    <xf numFmtId="0" fontId="32" fillId="0" borderId="0" xfId="8"/>
    <xf numFmtId="0" fontId="0" fillId="17" borderId="0" xfId="0" applyFont="1" applyFill="1" applyBorder="1"/>
    <xf numFmtId="0" fontId="0" fillId="0" borderId="0" xfId="0" applyFont="1" applyFill="1" applyBorder="1"/>
    <xf numFmtId="0" fontId="74" fillId="10" borderId="31" xfId="0" applyFont="1" applyFill="1" applyBorder="1"/>
    <xf numFmtId="0" fontId="74" fillId="10" borderId="32" xfId="0" applyFont="1" applyFill="1" applyBorder="1"/>
    <xf numFmtId="0" fontId="0" fillId="10" borderId="18" xfId="0" applyFill="1" applyBorder="1"/>
    <xf numFmtId="1" fontId="0" fillId="10" borderId="19" xfId="0" applyNumberFormat="1" applyFill="1" applyBorder="1"/>
    <xf numFmtId="0" fontId="0" fillId="10" borderId="40" xfId="0" applyFill="1" applyBorder="1"/>
    <xf numFmtId="0" fontId="0" fillId="0" borderId="5" xfId="0" applyBorder="1"/>
    <xf numFmtId="165" fontId="24" fillId="11" borderId="0" xfId="6" applyNumberFormat="1" applyFont="1" applyFill="1"/>
    <xf numFmtId="9" fontId="19" fillId="0" borderId="0" xfId="0" applyNumberFormat="1" applyFont="1"/>
    <xf numFmtId="170" fontId="24" fillId="11" borderId="10" xfId="3" applyNumberFormat="1" applyFont="1" applyFill="1" applyBorder="1"/>
    <xf numFmtId="0" fontId="30" fillId="0" borderId="0" xfId="0" applyFont="1" applyBorder="1"/>
    <xf numFmtId="0" fontId="30" fillId="3" borderId="3" xfId="0" applyFont="1" applyFill="1" applyBorder="1"/>
    <xf numFmtId="1" fontId="30" fillId="3" borderId="3" xfId="0" applyNumberFormat="1" applyFont="1" applyFill="1" applyBorder="1"/>
    <xf numFmtId="0" fontId="0" fillId="3" borderId="3" xfId="0" applyFill="1" applyBorder="1"/>
    <xf numFmtId="1" fontId="0" fillId="3" borderId="3" xfId="0" applyNumberFormat="1" applyFill="1" applyBorder="1"/>
    <xf numFmtId="1" fontId="76" fillId="0" borderId="0" xfId="0" applyNumberFormat="1" applyFont="1" applyBorder="1"/>
    <xf numFmtId="0" fontId="76" fillId="0" borderId="0" xfId="0" applyFont="1" applyBorder="1"/>
    <xf numFmtId="1" fontId="0" fillId="4" borderId="13" xfId="0" applyNumberFormat="1" applyFill="1" applyBorder="1"/>
    <xf numFmtId="1" fontId="0" fillId="10" borderId="40" xfId="0" applyNumberFormat="1" applyFont="1" applyFill="1" applyBorder="1"/>
    <xf numFmtId="0" fontId="0" fillId="0" borderId="0" xfId="0" applyFill="1"/>
    <xf numFmtId="9" fontId="19" fillId="0" borderId="0" xfId="1" applyFont="1" applyAlignment="1">
      <alignment vertical="top" wrapText="1"/>
    </xf>
    <xf numFmtId="10" fontId="19" fillId="0" borderId="0" xfId="1" applyNumberFormat="1" applyFont="1" applyAlignment="1">
      <alignment vertical="top" wrapText="1"/>
    </xf>
    <xf numFmtId="177" fontId="0" fillId="0" borderId="0" xfId="0" applyNumberFormat="1"/>
    <xf numFmtId="43" fontId="0" fillId="0" borderId="0" xfId="0" applyNumberFormat="1"/>
    <xf numFmtId="10" fontId="0" fillId="9" borderId="4" xfId="1" applyNumberFormat="1" applyFont="1" applyFill="1" applyBorder="1"/>
    <xf numFmtId="10" fontId="25" fillId="0" borderId="0" xfId="1" applyNumberFormat="1" applyFont="1"/>
    <xf numFmtId="0" fontId="0" fillId="0" borderId="33" xfId="0" applyBorder="1"/>
    <xf numFmtId="0" fontId="0" fillId="0" borderId="41" xfId="0" applyBorder="1"/>
    <xf numFmtId="0" fontId="30" fillId="0" borderId="33" xfId="0" applyFont="1" applyBorder="1"/>
    <xf numFmtId="0" fontId="0" fillId="0" borderId="34" xfId="0" applyBorder="1"/>
    <xf numFmtId="0" fontId="0" fillId="0" borderId="19" xfId="0" applyBorder="1"/>
    <xf numFmtId="0" fontId="26" fillId="3" borderId="23" xfId="5" applyFont="1" applyFill="1" applyBorder="1" applyAlignment="1">
      <alignment horizontal="center" vertical="center" wrapText="1"/>
    </xf>
    <xf numFmtId="9" fontId="0" fillId="0" borderId="0" xfId="1" applyFont="1" applyBorder="1"/>
    <xf numFmtId="0" fontId="0" fillId="0" borderId="40" xfId="0" applyFill="1" applyBorder="1"/>
    <xf numFmtId="0" fontId="0" fillId="0" borderId="52" xfId="0" applyFill="1" applyBorder="1"/>
    <xf numFmtId="3" fontId="0" fillId="0" borderId="0" xfId="0" applyNumberFormat="1" applyFill="1" applyBorder="1"/>
    <xf numFmtId="10" fontId="0" fillId="4" borderId="4" xfId="1" applyNumberFormat="1" applyFont="1" applyFill="1" applyBorder="1"/>
    <xf numFmtId="0" fontId="7" fillId="3" borderId="0" xfId="0" applyFont="1" applyFill="1" applyBorder="1" applyAlignment="1"/>
    <xf numFmtId="0" fontId="7" fillId="3" borderId="11" xfId="0" applyFont="1" applyFill="1" applyBorder="1" applyAlignment="1"/>
    <xf numFmtId="0" fontId="0" fillId="3" borderId="2" xfId="0" applyFill="1" applyBorder="1"/>
    <xf numFmtId="1" fontId="0" fillId="3" borderId="2" xfId="0" applyNumberFormat="1" applyFill="1" applyBorder="1"/>
    <xf numFmtId="0" fontId="0" fillId="3" borderId="6" xfId="0" applyFill="1" applyBorder="1"/>
    <xf numFmtId="3" fontId="0" fillId="9" borderId="2" xfId="0" applyNumberFormat="1" applyFill="1" applyBorder="1"/>
    <xf numFmtId="0" fontId="0" fillId="16" borderId="2" xfId="0" applyFill="1" applyBorder="1"/>
    <xf numFmtId="0" fontId="0" fillId="16" borderId="0" xfId="0" applyFill="1" applyBorder="1"/>
    <xf numFmtId="1" fontId="0" fillId="16" borderId="2" xfId="0" applyNumberFormat="1" applyFill="1" applyBorder="1"/>
    <xf numFmtId="0" fontId="0" fillId="4" borderId="2" xfId="0" applyFill="1" applyBorder="1"/>
    <xf numFmtId="1" fontId="0" fillId="4" borderId="2" xfId="0" applyNumberFormat="1" applyFill="1" applyBorder="1"/>
    <xf numFmtId="2" fontId="0" fillId="4" borderId="10" xfId="0" applyNumberFormat="1" applyFill="1" applyBorder="1"/>
    <xf numFmtId="2" fontId="0" fillId="4" borderId="1" xfId="0" applyNumberFormat="1" applyFill="1" applyBorder="1"/>
    <xf numFmtId="1" fontId="0" fillId="9" borderId="6" xfId="0" applyNumberFormat="1" applyFill="1" applyBorder="1"/>
    <xf numFmtId="0" fontId="70" fillId="4" borderId="0" xfId="0" applyFont="1" applyFill="1" applyBorder="1"/>
    <xf numFmtId="165" fontId="70" fillId="4" borderId="0" xfId="1" applyNumberFormat="1" applyFont="1" applyFill="1" applyBorder="1"/>
    <xf numFmtId="10" fontId="70" fillId="4" borderId="0" xfId="1" applyNumberFormat="1" applyFont="1" applyFill="1" applyBorder="1"/>
    <xf numFmtId="3" fontId="30" fillId="3" borderId="2" xfId="0" applyNumberFormat="1" applyFont="1" applyFill="1" applyBorder="1"/>
    <xf numFmtId="0" fontId="30" fillId="0" borderId="0" xfId="0" applyFont="1" applyFill="1" applyBorder="1"/>
    <xf numFmtId="0" fontId="30" fillId="0" borderId="40" xfId="0" applyFont="1" applyFill="1" applyBorder="1"/>
    <xf numFmtId="0" fontId="30" fillId="4" borderId="30" xfId="0" applyFont="1" applyFill="1" applyBorder="1"/>
    <xf numFmtId="0" fontId="30" fillId="4" borderId="53" xfId="0" applyFont="1" applyFill="1" applyBorder="1"/>
    <xf numFmtId="0" fontId="30" fillId="4" borderId="28" xfId="0" applyFont="1" applyFill="1" applyBorder="1"/>
    <xf numFmtId="0" fontId="30" fillId="4" borderId="30" xfId="0" applyFont="1" applyFill="1" applyBorder="1" applyAlignment="1">
      <alignment horizontal="center" wrapText="1"/>
    </xf>
    <xf numFmtId="0" fontId="30" fillId="4" borderId="54" xfId="0" applyFont="1" applyFill="1" applyBorder="1" applyAlignment="1">
      <alignment horizontal="center" wrapText="1"/>
    </xf>
    <xf numFmtId="0" fontId="30" fillId="4" borderId="31" xfId="0" applyFont="1" applyFill="1" applyBorder="1"/>
    <xf numFmtId="0" fontId="0" fillId="4" borderId="18" xfId="0" applyFill="1" applyBorder="1"/>
    <xf numFmtId="0" fontId="0" fillId="9" borderId="41" xfId="0" applyFill="1" applyBorder="1"/>
    <xf numFmtId="0" fontId="0" fillId="4" borderId="19" xfId="0" applyFill="1" applyBorder="1"/>
    <xf numFmtId="3" fontId="0" fillId="4" borderId="19" xfId="0" applyNumberFormat="1" applyFill="1" applyBorder="1"/>
    <xf numFmtId="0" fontId="30" fillId="3" borderId="39" xfId="0" applyFont="1" applyFill="1" applyBorder="1"/>
    <xf numFmtId="0" fontId="30" fillId="3" borderId="40" xfId="0" applyFont="1" applyFill="1" applyBorder="1"/>
    <xf numFmtId="3" fontId="30" fillId="3" borderId="40" xfId="0" applyNumberFormat="1" applyFont="1" applyFill="1" applyBorder="1"/>
    <xf numFmtId="1" fontId="30" fillId="3" borderId="40" xfId="0" applyNumberFormat="1" applyFont="1" applyFill="1" applyBorder="1"/>
    <xf numFmtId="0" fontId="30" fillId="5" borderId="2" xfId="0" applyFont="1" applyFill="1" applyBorder="1"/>
    <xf numFmtId="0" fontId="30" fillId="5" borderId="39" xfId="0" applyFont="1" applyFill="1" applyBorder="1"/>
    <xf numFmtId="1" fontId="30" fillId="5" borderId="40" xfId="0" applyNumberFormat="1" applyFont="1" applyFill="1" applyBorder="1"/>
    <xf numFmtId="3" fontId="0" fillId="0" borderId="18" xfId="0" applyNumberFormat="1" applyBorder="1"/>
    <xf numFmtId="10" fontId="0" fillId="0" borderId="41" xfId="1" applyNumberFormat="1" applyFont="1" applyBorder="1"/>
    <xf numFmtId="10" fontId="0" fillId="0" borderId="19" xfId="1" applyNumberFormat="1" applyFont="1" applyBorder="1"/>
    <xf numFmtId="10" fontId="0" fillId="0" borderId="48" xfId="1" applyNumberFormat="1" applyFont="1" applyBorder="1"/>
    <xf numFmtId="0" fontId="30" fillId="0" borderId="31" xfId="0" applyFont="1" applyBorder="1"/>
    <xf numFmtId="0" fontId="30" fillId="0" borderId="34" xfId="0" applyFont="1" applyBorder="1"/>
    <xf numFmtId="0" fontId="30" fillId="0" borderId="39" xfId="0" applyFont="1" applyBorder="1"/>
    <xf numFmtId="3" fontId="0" fillId="0" borderId="40" xfId="0" applyNumberFormat="1" applyBorder="1"/>
    <xf numFmtId="2" fontId="0" fillId="0" borderId="40" xfId="0" applyNumberFormat="1" applyBorder="1"/>
    <xf numFmtId="3" fontId="0" fillId="18" borderId="9" xfId="0" applyNumberFormat="1" applyFill="1" applyBorder="1"/>
    <xf numFmtId="0" fontId="9" fillId="3" borderId="5" xfId="0" applyFont="1" applyFill="1" applyBorder="1"/>
    <xf numFmtId="0" fontId="8" fillId="3" borderId="5" xfId="0" applyFont="1" applyFill="1" applyBorder="1"/>
    <xf numFmtId="0" fontId="8" fillId="3" borderId="2" xfId="0" applyFont="1" applyFill="1" applyBorder="1"/>
    <xf numFmtId="0" fontId="8" fillId="3" borderId="8" xfId="0" applyFont="1" applyFill="1" applyBorder="1"/>
    <xf numFmtId="0" fontId="0" fillId="3" borderId="19" xfId="0" applyFill="1" applyBorder="1"/>
    <xf numFmtId="0" fontId="0" fillId="3" borderId="11" xfId="0" applyFill="1" applyBorder="1"/>
    <xf numFmtId="0" fontId="0" fillId="3" borderId="7" xfId="0" applyFill="1" applyBorder="1"/>
    <xf numFmtId="1" fontId="0" fillId="3" borderId="0" xfId="0" applyNumberFormat="1" applyFill="1" applyBorder="1"/>
    <xf numFmtId="0" fontId="0" fillId="5" borderId="16" xfId="0" applyFill="1" applyBorder="1"/>
    <xf numFmtId="0" fontId="0" fillId="5" borderId="12" xfId="0" applyFill="1" applyBorder="1"/>
    <xf numFmtId="0" fontId="0" fillId="3" borderId="33" xfId="0" applyFill="1" applyBorder="1"/>
    <xf numFmtId="9" fontId="0" fillId="0" borderId="18" xfId="1" applyFont="1" applyBorder="1"/>
    <xf numFmtId="9" fontId="6" fillId="0" borderId="18" xfId="0" applyNumberFormat="1" applyFont="1" applyBorder="1"/>
    <xf numFmtId="9" fontId="6" fillId="0" borderId="32" xfId="0" applyNumberFormat="1" applyFont="1" applyBorder="1"/>
    <xf numFmtId="165" fontId="0" fillId="0" borderId="0" xfId="1" applyNumberFormat="1" applyFont="1" applyBorder="1"/>
    <xf numFmtId="9" fontId="6" fillId="0" borderId="0" xfId="0" applyNumberFormat="1" applyFont="1" applyBorder="1"/>
    <xf numFmtId="9" fontId="6" fillId="0" borderId="41" xfId="0" applyNumberFormat="1" applyFont="1" applyBorder="1"/>
    <xf numFmtId="165" fontId="0" fillId="0" borderId="19" xfId="1" applyNumberFormat="1" applyFont="1" applyBorder="1"/>
    <xf numFmtId="9" fontId="6" fillId="0" borderId="19" xfId="0" applyNumberFormat="1" applyFont="1" applyBorder="1"/>
    <xf numFmtId="165" fontId="6" fillId="0" borderId="19" xfId="0" applyNumberFormat="1" applyFont="1" applyBorder="1"/>
    <xf numFmtId="165" fontId="6" fillId="0" borderId="48" xfId="0" applyNumberFormat="1" applyFont="1" applyBorder="1"/>
    <xf numFmtId="0" fontId="0" fillId="18" borderId="0" xfId="0" applyFill="1"/>
    <xf numFmtId="1" fontId="0" fillId="18" borderId="7" xfId="0" applyNumberFormat="1" applyFill="1" applyBorder="1"/>
    <xf numFmtId="0" fontId="0" fillId="9" borderId="48" xfId="0" applyFill="1" applyBorder="1"/>
    <xf numFmtId="0" fontId="0" fillId="9" borderId="0" xfId="0" applyFill="1" applyBorder="1" applyAlignment="1">
      <alignment vertical="center"/>
    </xf>
    <xf numFmtId="0" fontId="0" fillId="9" borderId="6" xfId="0" applyFill="1" applyBorder="1" applyAlignment="1">
      <alignment vertical="center"/>
    </xf>
    <xf numFmtId="1" fontId="12" fillId="9" borderId="31" xfId="0" applyNumberFormat="1" applyFont="1" applyFill="1" applyBorder="1"/>
    <xf numFmtId="1" fontId="12" fillId="9" borderId="34" xfId="0" applyNumberFormat="1" applyFont="1" applyFill="1" applyBorder="1"/>
    <xf numFmtId="0" fontId="19" fillId="0" borderId="0" xfId="0" applyFont="1" applyBorder="1"/>
    <xf numFmtId="10" fontId="0" fillId="0" borderId="0" xfId="1" applyNumberFormat="1" applyFont="1" applyFill="1" applyBorder="1"/>
    <xf numFmtId="9" fontId="6" fillId="0" borderId="0" xfId="0" applyNumberFormat="1" applyFont="1" applyFill="1" applyBorder="1"/>
    <xf numFmtId="175" fontId="0" fillId="0" borderId="0" xfId="0" applyNumberFormat="1" applyFill="1" applyBorder="1"/>
    <xf numFmtId="170" fontId="0" fillId="0" borderId="0" xfId="0" applyNumberFormat="1" applyFill="1" applyBorder="1"/>
    <xf numFmtId="176" fontId="19" fillId="0" borderId="0" xfId="0" applyNumberFormat="1" applyFont="1" applyFill="1" applyBorder="1"/>
    <xf numFmtId="0" fontId="30" fillId="18" borderId="2" xfId="0" applyFont="1" applyFill="1" applyBorder="1"/>
    <xf numFmtId="1" fontId="0" fillId="18" borderId="2" xfId="0" applyNumberFormat="1" applyFill="1" applyBorder="1"/>
    <xf numFmtId="0" fontId="6" fillId="9" borderId="0" xfId="0" applyFont="1" applyFill="1"/>
    <xf numFmtId="1" fontId="12" fillId="9" borderId="0" xfId="0" applyNumberFormat="1" applyFont="1" applyFill="1"/>
    <xf numFmtId="167" fontId="0" fillId="18" borderId="2" xfId="3" applyNumberFormat="1" applyFont="1" applyFill="1" applyBorder="1"/>
    <xf numFmtId="0" fontId="0" fillId="18" borderId="2" xfId="0" applyFill="1" applyBorder="1"/>
    <xf numFmtId="1" fontId="78" fillId="0" borderId="0" xfId="0" applyNumberFormat="1" applyFont="1" applyFill="1"/>
    <xf numFmtId="1" fontId="6" fillId="0" borderId="0" xfId="0" applyNumberFormat="1" applyFont="1" applyFill="1"/>
    <xf numFmtId="0" fontId="6" fillId="0" borderId="0" xfId="0" applyFont="1" applyFill="1"/>
    <xf numFmtId="0" fontId="3" fillId="5" borderId="2" xfId="0" applyFont="1" applyFill="1" applyBorder="1"/>
    <xf numFmtId="3" fontId="0" fillId="9" borderId="8" xfId="0" applyNumberFormat="1" applyFill="1" applyBorder="1"/>
    <xf numFmtId="0" fontId="18" fillId="3" borderId="0" xfId="0" applyFont="1" applyFill="1"/>
    <xf numFmtId="165" fontId="24" fillId="0" borderId="0" xfId="6" applyNumberFormat="1" applyFont="1" applyFill="1" applyBorder="1" applyAlignment="1">
      <alignment horizontal="left" indent="1"/>
    </xf>
    <xf numFmtId="0" fontId="26" fillId="0" borderId="31" xfId="0" applyFont="1" applyBorder="1"/>
    <xf numFmtId="0" fontId="26" fillId="0" borderId="18" xfId="0" applyFont="1" applyBorder="1"/>
    <xf numFmtId="0" fontId="19" fillId="0" borderId="18" xfId="0" applyFont="1" applyBorder="1"/>
    <xf numFmtId="0" fontId="19" fillId="0" borderId="18" xfId="0" applyFont="1" applyFill="1" applyBorder="1"/>
    <xf numFmtId="10" fontId="19" fillId="0" borderId="32" xfId="1" applyNumberFormat="1" applyFont="1" applyFill="1" applyBorder="1"/>
    <xf numFmtId="0" fontId="24" fillId="0" borderId="33" xfId="5" applyFont="1" applyBorder="1" applyAlignment="1">
      <alignment horizontal="left" indent="1"/>
    </xf>
    <xf numFmtId="9" fontId="24" fillId="0" borderId="0" xfId="1" applyFont="1" applyBorder="1" applyAlignment="1">
      <alignment horizontal="left" indent="1"/>
    </xf>
    <xf numFmtId="9" fontId="24" fillId="0" borderId="41" xfId="1" applyFont="1" applyBorder="1" applyAlignment="1">
      <alignment horizontal="left" indent="1"/>
    </xf>
    <xf numFmtId="0" fontId="19" fillId="0" borderId="33" xfId="0" applyFont="1" applyBorder="1"/>
    <xf numFmtId="0" fontId="19" fillId="0" borderId="41" xfId="0" applyFont="1" applyFill="1" applyBorder="1"/>
    <xf numFmtId="0" fontId="26" fillId="0" borderId="33" xfId="0" applyFont="1" applyBorder="1"/>
    <xf numFmtId="0" fontId="26" fillId="0" borderId="0" xfId="0" applyFont="1" applyBorder="1"/>
    <xf numFmtId="165" fontId="24" fillId="0" borderId="33" xfId="6" applyNumberFormat="1" applyFont="1" applyBorder="1" applyAlignment="1">
      <alignment horizontal="left" indent="1"/>
    </xf>
    <xf numFmtId="9" fontId="24" fillId="0" borderId="41" xfId="6" applyNumberFormat="1" applyFont="1" applyFill="1" applyBorder="1"/>
    <xf numFmtId="165" fontId="24" fillId="0" borderId="34" xfId="6" applyNumberFormat="1" applyFont="1" applyBorder="1" applyAlignment="1">
      <alignment horizontal="left" indent="1"/>
    </xf>
    <xf numFmtId="9" fontId="24" fillId="0" borderId="19" xfId="6" applyNumberFormat="1" applyFont="1" applyFill="1" applyBorder="1"/>
    <xf numFmtId="9" fontId="24" fillId="0" borderId="48" xfId="6" applyNumberFormat="1" applyFont="1" applyFill="1" applyBorder="1"/>
    <xf numFmtId="170" fontId="19" fillId="0" borderId="0" xfId="3" applyNumberFormat="1" applyFont="1" applyFill="1" applyBorder="1"/>
    <xf numFmtId="0" fontId="19" fillId="3" borderId="0" xfId="0" applyFont="1" applyFill="1" applyAlignment="1">
      <alignment horizontal="center" vertical="top"/>
    </xf>
    <xf numFmtId="0" fontId="26" fillId="0" borderId="0" xfId="5" applyFont="1" applyFill="1" applyBorder="1" applyAlignment="1">
      <alignment vertical="center" wrapText="1"/>
    </xf>
    <xf numFmtId="170" fontId="22" fillId="0" borderId="0" xfId="3" applyNumberFormat="1" applyFont="1" applyFill="1" applyBorder="1" applyAlignment="1">
      <alignment horizontal="center"/>
    </xf>
    <xf numFmtId="170" fontId="25" fillId="0" borderId="0" xfId="7" applyNumberFormat="1" applyFont="1" applyFill="1" applyBorder="1"/>
    <xf numFmtId="0" fontId="24" fillId="0" borderId="0" xfId="5" applyFont="1" applyFill="1" applyBorder="1"/>
    <xf numFmtId="170" fontId="25" fillId="0" borderId="0" xfId="3" applyNumberFormat="1" applyFont="1" applyFill="1" applyBorder="1"/>
    <xf numFmtId="43" fontId="24" fillId="0" borderId="0" xfId="3" applyFont="1" applyFill="1" applyBorder="1"/>
    <xf numFmtId="170" fontId="22" fillId="0" borderId="0" xfId="3" applyNumberFormat="1" applyFont="1" applyFill="1" applyBorder="1"/>
    <xf numFmtId="0" fontId="30" fillId="3" borderId="37" xfId="0" applyFont="1" applyFill="1" applyBorder="1"/>
    <xf numFmtId="0" fontId="30" fillId="3" borderId="33" xfId="0" applyFont="1" applyFill="1" applyBorder="1"/>
    <xf numFmtId="1" fontId="0" fillId="3" borderId="3" xfId="0" applyNumberFormat="1" applyFill="1" applyBorder="1" applyAlignment="1"/>
    <xf numFmtId="1" fontId="0" fillId="16" borderId="38" xfId="0" applyNumberFormat="1" applyFill="1" applyBorder="1"/>
    <xf numFmtId="0" fontId="0" fillId="0" borderId="0" xfId="0" quotePrefix="1" applyBorder="1"/>
    <xf numFmtId="0" fontId="0" fillId="0" borderId="0" xfId="0" applyBorder="1" applyAlignment="1"/>
    <xf numFmtId="0" fontId="30" fillId="3" borderId="0" xfId="0" applyFont="1" applyFill="1" applyBorder="1"/>
    <xf numFmtId="0" fontId="0" fillId="16" borderId="41" xfId="0" applyFill="1" applyBorder="1"/>
    <xf numFmtId="9" fontId="6" fillId="3" borderId="3" xfId="1" applyNumberFormat="1" applyFont="1" applyFill="1" applyBorder="1"/>
    <xf numFmtId="0" fontId="0" fillId="9" borderId="3" xfId="0" applyFill="1" applyBorder="1"/>
    <xf numFmtId="15" fontId="42" fillId="18" borderId="15" xfId="0" applyNumberFormat="1" applyFont="1" applyFill="1" applyBorder="1" applyAlignment="1">
      <alignment vertical="center"/>
    </xf>
    <xf numFmtId="0" fontId="39" fillId="4" borderId="36" xfId="0" applyFont="1" applyFill="1" applyBorder="1" applyAlignment="1">
      <alignment horizontal="left" vertical="center" indent="6"/>
    </xf>
    <xf numFmtId="0" fontId="42" fillId="4" borderId="35" xfId="0" applyFont="1" applyFill="1" applyBorder="1" applyAlignment="1">
      <alignment vertical="center"/>
    </xf>
    <xf numFmtId="15" fontId="43" fillId="4" borderId="1" xfId="0" applyNumberFormat="1" applyFont="1" applyFill="1" applyBorder="1" applyAlignment="1">
      <alignment vertical="top"/>
    </xf>
    <xf numFmtId="15" fontId="44" fillId="4" borderId="1" xfId="0" applyNumberFormat="1" applyFont="1" applyFill="1" applyBorder="1" applyAlignment="1">
      <alignment horizontal="right" vertical="top"/>
    </xf>
    <xf numFmtId="15" fontId="42" fillId="4" borderId="15" xfId="0" applyNumberFormat="1" applyFont="1" applyFill="1" applyBorder="1" applyAlignment="1">
      <alignment vertical="center"/>
    </xf>
    <xf numFmtId="0" fontId="42" fillId="4" borderId="29" xfId="0" applyFont="1" applyFill="1" applyBorder="1" applyAlignment="1">
      <alignment vertical="center" wrapText="1"/>
    </xf>
    <xf numFmtId="0" fontId="42" fillId="4" borderId="2" xfId="0" applyFont="1" applyFill="1" applyBorder="1" applyAlignment="1">
      <alignment vertical="center" wrapText="1"/>
    </xf>
    <xf numFmtId="0" fontId="44" fillId="4" borderId="2" xfId="0" applyFont="1" applyFill="1" applyBorder="1" applyAlignment="1">
      <alignment horizontal="right" vertical="top"/>
    </xf>
    <xf numFmtId="0" fontId="43" fillId="4" borderId="2" xfId="0" applyFont="1" applyFill="1" applyBorder="1" applyAlignment="1">
      <alignment horizontal="right" vertical="center"/>
    </xf>
    <xf numFmtId="0" fontId="42" fillId="4" borderId="8" xfId="0" applyFont="1" applyFill="1" applyBorder="1" applyAlignment="1">
      <alignment vertical="center"/>
    </xf>
    <xf numFmtId="0" fontId="45" fillId="4" borderId="28" xfId="0" applyFont="1" applyFill="1" applyBorder="1" applyAlignment="1">
      <alignment vertical="center" wrapText="1"/>
    </xf>
    <xf numFmtId="0" fontId="45" fillId="4" borderId="0" xfId="0" applyFont="1" applyFill="1" applyBorder="1" applyAlignment="1">
      <alignment vertical="center" wrapText="1"/>
    </xf>
    <xf numFmtId="0" fontId="46" fillId="4" borderId="0" xfId="0" applyFont="1" applyFill="1" applyBorder="1" applyAlignment="1">
      <alignment horizontal="right" vertical="top"/>
    </xf>
    <xf numFmtId="0" fontId="47" fillId="4" borderId="0" xfId="0" applyFont="1" applyFill="1" applyBorder="1" applyAlignment="1">
      <alignment horizontal="right" vertical="top"/>
    </xf>
    <xf numFmtId="0" fontId="41" fillId="4" borderId="7" xfId="0" applyFont="1" applyFill="1" applyBorder="1" applyAlignment="1">
      <alignment vertical="center"/>
    </xf>
    <xf numFmtId="3" fontId="44" fillId="4" borderId="2" xfId="0" applyNumberFormat="1" applyFont="1" applyFill="1" applyBorder="1" applyAlignment="1">
      <alignment horizontal="right" vertical="top"/>
    </xf>
    <xf numFmtId="3" fontId="43" fillId="4" borderId="2" xfId="0" applyNumberFormat="1" applyFont="1" applyFill="1" applyBorder="1" applyAlignment="1">
      <alignment horizontal="right" vertical="center"/>
    </xf>
    <xf numFmtId="3" fontId="42" fillId="4" borderId="8" xfId="0" applyNumberFormat="1" applyFont="1" applyFill="1" applyBorder="1" applyAlignment="1">
      <alignment vertical="center"/>
    </xf>
    <xf numFmtId="3" fontId="42" fillId="4" borderId="8" xfId="0" applyNumberFormat="1" applyFont="1" applyFill="1" applyBorder="1" applyAlignment="1">
      <alignment vertical="center" wrapText="1"/>
    </xf>
    <xf numFmtId="0" fontId="41" fillId="4" borderId="28" xfId="0" applyFont="1" applyFill="1" applyBorder="1" applyAlignment="1">
      <alignment vertical="center" wrapText="1"/>
    </xf>
    <xf numFmtId="0" fontId="41" fillId="4" borderId="0" xfId="0" applyFont="1" applyFill="1" applyBorder="1" applyAlignment="1">
      <alignment vertical="center" wrapText="1"/>
    </xf>
    <xf numFmtId="165" fontId="41" fillId="4" borderId="0" xfId="1" applyNumberFormat="1" applyFont="1" applyFill="1" applyBorder="1" applyAlignment="1">
      <alignment vertical="center"/>
    </xf>
    <xf numFmtId="0" fontId="41" fillId="4" borderId="0" xfId="0" applyFont="1" applyFill="1"/>
    <xf numFmtId="0" fontId="42" fillId="4" borderId="28" xfId="0" applyFont="1" applyFill="1" applyBorder="1" applyAlignment="1">
      <alignment vertical="center" wrapText="1"/>
    </xf>
    <xf numFmtId="9" fontId="41" fillId="4" borderId="7" xfId="1" applyFont="1" applyFill="1" applyBorder="1" applyAlignment="1">
      <alignment vertical="center"/>
    </xf>
    <xf numFmtId="10" fontId="42" fillId="4" borderId="7" xfId="1" applyNumberFormat="1" applyFont="1" applyFill="1" applyBorder="1" applyAlignment="1">
      <alignment vertical="center"/>
    </xf>
    <xf numFmtId="0" fontId="41" fillId="4" borderId="0" xfId="0" applyFont="1" applyFill="1" applyBorder="1" applyAlignment="1">
      <alignment vertical="center"/>
    </xf>
    <xf numFmtId="165" fontId="41" fillId="4" borderId="7" xfId="1" applyNumberFormat="1" applyFont="1" applyFill="1" applyBorder="1" applyAlignment="1">
      <alignment vertical="center"/>
    </xf>
    <xf numFmtId="0" fontId="41" fillId="4" borderId="0" xfId="0" applyFont="1" applyFill="1" applyBorder="1"/>
    <xf numFmtId="0" fontId="42" fillId="4" borderId="0" xfId="0" applyFont="1" applyFill="1" applyBorder="1" applyAlignment="1">
      <alignment vertical="center" wrapText="1"/>
    </xf>
    <xf numFmtId="165" fontId="42" fillId="4" borderId="7" xfId="1" applyNumberFormat="1" applyFont="1" applyFill="1" applyBorder="1" applyAlignment="1">
      <alignment vertical="center"/>
    </xf>
    <xf numFmtId="3" fontId="46" fillId="4" borderId="0" xfId="0" applyNumberFormat="1" applyFont="1" applyFill="1" applyBorder="1" applyAlignment="1">
      <alignment horizontal="right" vertical="top"/>
    </xf>
    <xf numFmtId="3" fontId="47" fillId="4" borderId="0" xfId="0" applyNumberFormat="1" applyFont="1" applyFill="1" applyBorder="1" applyAlignment="1">
      <alignment horizontal="right" vertical="top"/>
    </xf>
    <xf numFmtId="3" fontId="41" fillId="4" borderId="7" xfId="0" applyNumberFormat="1" applyFont="1" applyFill="1" applyBorder="1" applyAlignment="1">
      <alignment vertical="center"/>
    </xf>
    <xf numFmtId="3" fontId="50" fillId="4" borderId="0" xfId="0" applyNumberFormat="1" applyFont="1" applyFill="1" applyBorder="1" applyAlignment="1">
      <alignment horizontal="right" vertical="top"/>
    </xf>
    <xf numFmtId="3" fontId="51" fillId="4" borderId="0" xfId="0" applyNumberFormat="1" applyFont="1" applyFill="1" applyBorder="1" applyAlignment="1">
      <alignment horizontal="right" vertical="top"/>
    </xf>
    <xf numFmtId="3" fontId="45" fillId="4" borderId="7" xfId="0" applyNumberFormat="1" applyFont="1" applyFill="1" applyBorder="1" applyAlignment="1">
      <alignment vertical="center"/>
    </xf>
    <xf numFmtId="0" fontId="50" fillId="4" borderId="0" xfId="0" applyFont="1" applyFill="1" applyBorder="1" applyAlignment="1">
      <alignment horizontal="right" vertical="top"/>
    </xf>
    <xf numFmtId="0" fontId="51" fillId="4" borderId="0" xfId="0" applyFont="1" applyFill="1" applyBorder="1" applyAlignment="1">
      <alignment horizontal="right" vertical="top"/>
    </xf>
    <xf numFmtId="0" fontId="45" fillId="4" borderId="7" xfId="0" applyFont="1" applyFill="1" applyBorder="1" applyAlignment="1">
      <alignment vertical="center"/>
    </xf>
    <xf numFmtId="0" fontId="41" fillId="4" borderId="2" xfId="0" applyFont="1" applyFill="1" applyBorder="1"/>
    <xf numFmtId="0" fontId="41" fillId="4" borderId="2" xfId="0" applyFont="1" applyFill="1" applyBorder="1" applyAlignment="1"/>
    <xf numFmtId="0" fontId="41" fillId="4" borderId="0" xfId="0" applyFont="1" applyFill="1" applyBorder="1" applyAlignment="1"/>
    <xf numFmtId="3" fontId="44" fillId="4" borderId="10" xfId="0" applyNumberFormat="1" applyFont="1" applyFill="1" applyBorder="1" applyAlignment="1">
      <alignment horizontal="right" vertical="top"/>
    </xf>
    <xf numFmtId="0" fontId="48" fillId="4" borderId="0" xfId="0" applyFont="1" applyFill="1" applyBorder="1" applyAlignment="1">
      <alignment horizontal="left" vertical="center" indent="7"/>
    </xf>
    <xf numFmtId="9" fontId="52" fillId="4" borderId="0" xfId="1" applyFont="1" applyFill="1" applyBorder="1"/>
    <xf numFmtId="0" fontId="41" fillId="4" borderId="0" xfId="0" applyFont="1" applyFill="1" applyAlignment="1"/>
    <xf numFmtId="0" fontId="41" fillId="9" borderId="0" xfId="0" applyFont="1" applyFill="1" applyAlignment="1"/>
    <xf numFmtId="1" fontId="41" fillId="9" borderId="2" xfId="0" applyNumberFormat="1" applyFont="1" applyFill="1" applyBorder="1"/>
    <xf numFmtId="165" fontId="48" fillId="9" borderId="0" xfId="1" applyNumberFormat="1" applyFont="1" applyFill="1" applyBorder="1" applyAlignment="1">
      <alignment vertical="center"/>
    </xf>
    <xf numFmtId="1" fontId="41" fillId="9" borderId="0" xfId="0" applyNumberFormat="1" applyFont="1" applyFill="1" applyBorder="1"/>
    <xf numFmtId="10" fontId="41" fillId="9" borderId="0" xfId="1" applyNumberFormat="1" applyFont="1" applyFill="1" applyBorder="1"/>
    <xf numFmtId="10" fontId="48" fillId="9" borderId="0" xfId="1" applyNumberFormat="1" applyFont="1" applyFill="1" applyBorder="1"/>
    <xf numFmtId="9" fontId="48" fillId="9" borderId="0" xfId="0" applyNumberFormat="1" applyFont="1" applyFill="1" applyBorder="1"/>
    <xf numFmtId="0" fontId="49" fillId="9" borderId="0" xfId="0" applyFont="1" applyFill="1"/>
    <xf numFmtId="165" fontId="41" fillId="9" borderId="0" xfId="1" applyNumberFormat="1" applyFont="1" applyFill="1" applyBorder="1"/>
    <xf numFmtId="3" fontId="44" fillId="9" borderId="3" xfId="0" applyNumberFormat="1" applyFont="1" applyFill="1" applyBorder="1" applyAlignment="1">
      <alignment horizontal="right" vertical="top"/>
    </xf>
    <xf numFmtId="0" fontId="42" fillId="18" borderId="15" xfId="0" applyFont="1" applyFill="1" applyBorder="1" applyAlignment="1"/>
    <xf numFmtId="1" fontId="41" fillId="9" borderId="10" xfId="0" applyNumberFormat="1" applyFont="1" applyFill="1" applyBorder="1"/>
    <xf numFmtId="165" fontId="41" fillId="4" borderId="12" xfId="1" applyNumberFormat="1" applyFont="1" applyFill="1" applyBorder="1" applyAlignment="1">
      <alignment vertical="center"/>
    </xf>
    <xf numFmtId="165" fontId="41" fillId="4" borderId="10" xfId="1" applyNumberFormat="1" applyFont="1" applyFill="1" applyBorder="1" applyAlignment="1">
      <alignment vertical="center"/>
    </xf>
    <xf numFmtId="165" fontId="41" fillId="9" borderId="10" xfId="1" applyNumberFormat="1" applyFont="1" applyFill="1" applyBorder="1" applyAlignment="1">
      <alignment vertical="center"/>
    </xf>
    <xf numFmtId="165" fontId="41" fillId="9" borderId="13" xfId="1" applyNumberFormat="1" applyFont="1" applyFill="1" applyBorder="1" applyAlignment="1">
      <alignment vertical="center"/>
    </xf>
    <xf numFmtId="0" fontId="42" fillId="4" borderId="10" xfId="0" applyFont="1" applyFill="1" applyBorder="1" applyAlignment="1">
      <alignment vertical="center" wrapText="1"/>
    </xf>
    <xf numFmtId="0" fontId="45" fillId="4" borderId="30" xfId="0" applyFont="1" applyFill="1" applyBorder="1" applyAlignment="1">
      <alignment vertical="center" wrapText="1"/>
    </xf>
    <xf numFmtId="165" fontId="41" fillId="4" borderId="10" xfId="1" applyNumberFormat="1" applyFont="1" applyFill="1" applyBorder="1"/>
    <xf numFmtId="165" fontId="48" fillId="9" borderId="10" xfId="1" applyNumberFormat="1" applyFont="1" applyFill="1" applyBorder="1"/>
    <xf numFmtId="0" fontId="48" fillId="0" borderId="56" xfId="0" applyFont="1" applyBorder="1"/>
    <xf numFmtId="0" fontId="48" fillId="0" borderId="55" xfId="0" applyFont="1" applyBorder="1"/>
    <xf numFmtId="0" fontId="48" fillId="0" borderId="10" xfId="0" applyFont="1" applyBorder="1"/>
    <xf numFmtId="3" fontId="44" fillId="4" borderId="8" xfId="0" applyNumberFormat="1" applyFont="1" applyFill="1" applyBorder="1" applyAlignment="1">
      <alignment horizontal="right" vertical="top"/>
    </xf>
    <xf numFmtId="15" fontId="43" fillId="4" borderId="2" xfId="0" applyNumberFormat="1" applyFont="1" applyFill="1" applyBorder="1" applyAlignment="1">
      <alignment vertical="top"/>
    </xf>
    <xf numFmtId="15" fontId="44" fillId="4" borderId="2" xfId="0" applyNumberFormat="1" applyFont="1" applyFill="1" applyBorder="1" applyAlignment="1">
      <alignment horizontal="right" vertical="top"/>
    </xf>
    <xf numFmtId="15" fontId="42" fillId="4" borderId="8" xfId="0" applyNumberFormat="1" applyFont="1" applyFill="1" applyBorder="1" applyAlignment="1">
      <alignment vertical="center"/>
    </xf>
    <xf numFmtId="15" fontId="42" fillId="9" borderId="8" xfId="0" applyNumberFormat="1" applyFont="1" applyFill="1" applyBorder="1" applyAlignment="1">
      <alignment vertical="center"/>
    </xf>
    <xf numFmtId="0" fontId="42" fillId="9" borderId="2" xfId="0" applyFont="1" applyFill="1" applyBorder="1"/>
    <xf numFmtId="0" fontId="74" fillId="0" borderId="38" xfId="0" applyFont="1" applyBorder="1"/>
    <xf numFmtId="0" fontId="74" fillId="0" borderId="2" xfId="0" applyFont="1" applyBorder="1"/>
    <xf numFmtId="0" fontId="48" fillId="4" borderId="5" xfId="0" applyFont="1" applyFill="1" applyBorder="1" applyAlignment="1">
      <alignment horizontal="center" vertical="top"/>
    </xf>
    <xf numFmtId="3" fontId="48" fillId="4" borderId="2" xfId="0" applyNumberFormat="1" applyFont="1" applyFill="1" applyBorder="1" applyAlignment="1">
      <alignment horizontal="left" vertical="top" wrapText="1" indent="8"/>
    </xf>
    <xf numFmtId="0" fontId="53" fillId="4" borderId="5" xfId="0" applyFont="1" applyFill="1" applyBorder="1" applyAlignment="1">
      <alignment horizontal="center" vertical="top"/>
    </xf>
    <xf numFmtId="0" fontId="53" fillId="4" borderId="2" xfId="0" applyFont="1" applyFill="1" applyBorder="1" applyAlignment="1">
      <alignment horizontal="justify" vertical="top"/>
    </xf>
    <xf numFmtId="165" fontId="48" fillId="4" borderId="2" xfId="1" applyNumberFormat="1" applyFont="1" applyFill="1" applyBorder="1" applyAlignment="1">
      <alignment vertical="top"/>
    </xf>
    <xf numFmtId="0" fontId="48" fillId="9" borderId="0" xfId="0" applyFont="1" applyFill="1" applyBorder="1"/>
    <xf numFmtId="3" fontId="48" fillId="9" borderId="2" xfId="0" applyNumberFormat="1" applyFont="1" applyFill="1" applyBorder="1" applyAlignment="1">
      <alignment horizontal="left" vertical="top" wrapText="1" indent="8"/>
    </xf>
    <xf numFmtId="0" fontId="48" fillId="9" borderId="2" xfId="0" applyFont="1" applyFill="1" applyBorder="1"/>
    <xf numFmtId="165" fontId="48" fillId="9" borderId="2" xfId="1" applyNumberFormat="1" applyFont="1" applyFill="1" applyBorder="1" applyAlignment="1">
      <alignment vertical="top"/>
    </xf>
    <xf numFmtId="0" fontId="48" fillId="9" borderId="2" xfId="0" applyFont="1" applyFill="1" applyBorder="1" applyAlignment="1">
      <alignment vertical="top"/>
    </xf>
    <xf numFmtId="1" fontId="75" fillId="0" borderId="0" xfId="0" applyNumberFormat="1" applyFont="1"/>
    <xf numFmtId="1" fontId="75" fillId="0" borderId="0" xfId="0" applyNumberFormat="1" applyFont="1" applyBorder="1"/>
    <xf numFmtId="0" fontId="3" fillId="16" borderId="18" xfId="0" applyFont="1" applyFill="1" applyBorder="1"/>
    <xf numFmtId="0" fontId="3" fillId="16" borderId="0" xfId="0" applyFont="1" applyFill="1" applyBorder="1"/>
    <xf numFmtId="1" fontId="30" fillId="16" borderId="40" xfId="0" applyNumberFormat="1" applyFont="1" applyFill="1" applyBorder="1"/>
    <xf numFmtId="1" fontId="30" fillId="16" borderId="45" xfId="0" applyNumberFormat="1" applyFont="1" applyFill="1" applyBorder="1"/>
    <xf numFmtId="10" fontId="76" fillId="16" borderId="19" xfId="0" applyNumberFormat="1" applyFont="1" applyFill="1" applyBorder="1"/>
    <xf numFmtId="10" fontId="76" fillId="16" borderId="48" xfId="0" applyNumberFormat="1" applyFont="1" applyFill="1" applyBorder="1"/>
    <xf numFmtId="0" fontId="3" fillId="5" borderId="18" xfId="0" applyFont="1" applyFill="1" applyBorder="1"/>
    <xf numFmtId="1" fontId="30" fillId="5" borderId="43" xfId="0" applyNumberFormat="1" applyFont="1" applyFill="1" applyBorder="1"/>
    <xf numFmtId="1" fontId="30" fillId="5" borderId="44" xfId="0" applyNumberFormat="1" applyFont="1" applyFill="1" applyBorder="1"/>
    <xf numFmtId="0" fontId="30" fillId="5" borderId="34" xfId="0" applyFont="1" applyFill="1" applyBorder="1"/>
    <xf numFmtId="165" fontId="30" fillId="5" borderId="19" xfId="1" applyNumberFormat="1" applyFont="1" applyFill="1" applyBorder="1"/>
    <xf numFmtId="9" fontId="70" fillId="3" borderId="0" xfId="1" applyNumberFormat="1" applyFont="1" applyFill="1" applyBorder="1"/>
    <xf numFmtId="1" fontId="0" fillId="3" borderId="0" xfId="1" applyNumberFormat="1" applyFont="1" applyFill="1" applyBorder="1"/>
    <xf numFmtId="9" fontId="0" fillId="3" borderId="0" xfId="1" applyFont="1" applyFill="1" applyBorder="1"/>
    <xf numFmtId="1" fontId="0" fillId="3" borderId="43" xfId="0" applyNumberFormat="1" applyFill="1" applyBorder="1"/>
    <xf numFmtId="1" fontId="0" fillId="3" borderId="44" xfId="0" applyNumberFormat="1" applyFill="1" applyBorder="1"/>
    <xf numFmtId="165" fontId="33" fillId="3" borderId="0" xfId="1" applyNumberFormat="1" applyFont="1" applyFill="1" applyBorder="1"/>
    <xf numFmtId="10" fontId="0" fillId="3" borderId="2" xfId="1" applyNumberFormat="1" applyFont="1" applyFill="1" applyBorder="1"/>
    <xf numFmtId="0" fontId="79" fillId="3" borderId="33" xfId="0" quotePrefix="1" applyFont="1" applyFill="1" applyBorder="1"/>
    <xf numFmtId="0" fontId="30" fillId="3" borderId="33" xfId="0" quotePrefix="1" applyFont="1" applyFill="1" applyBorder="1"/>
    <xf numFmtId="0" fontId="30" fillId="3" borderId="37" xfId="0" quotePrefix="1" applyFont="1" applyFill="1" applyBorder="1"/>
    <xf numFmtId="0" fontId="30" fillId="3" borderId="39" xfId="0" quotePrefix="1" applyFont="1" applyFill="1" applyBorder="1"/>
    <xf numFmtId="0" fontId="79" fillId="3" borderId="33" xfId="0" applyFont="1" applyFill="1" applyBorder="1"/>
    <xf numFmtId="1" fontId="0" fillId="9" borderId="41" xfId="0" applyNumberFormat="1" applyFill="1" applyBorder="1"/>
    <xf numFmtId="1" fontId="0" fillId="9" borderId="14" xfId="0" applyNumberFormat="1" applyFill="1" applyBorder="1"/>
    <xf numFmtId="1" fontId="0" fillId="9" borderId="1" xfId="0" applyNumberFormat="1" applyFill="1" applyBorder="1"/>
    <xf numFmtId="1" fontId="0" fillId="9" borderId="42" xfId="0" applyNumberFormat="1" applyFill="1" applyBorder="1"/>
    <xf numFmtId="1" fontId="0" fillId="9" borderId="45" xfId="0" applyNumberFormat="1" applyFill="1" applyBorder="1"/>
    <xf numFmtId="165" fontId="6" fillId="9" borderId="0" xfId="1" applyNumberFormat="1" applyFont="1" applyFill="1" applyBorder="1"/>
    <xf numFmtId="165" fontId="6" fillId="9" borderId="41" xfId="1" applyNumberFormat="1" applyFont="1" applyFill="1" applyBorder="1"/>
    <xf numFmtId="9" fontId="6" fillId="9" borderId="0" xfId="1" applyFont="1" applyFill="1" applyBorder="1"/>
    <xf numFmtId="9" fontId="6" fillId="9" borderId="41" xfId="1" applyFont="1" applyFill="1" applyBorder="1"/>
    <xf numFmtId="172" fontId="6" fillId="9" borderId="0" xfId="1" applyNumberFormat="1" applyFont="1" applyFill="1" applyBorder="1"/>
    <xf numFmtId="172" fontId="6" fillId="9" borderId="41" xfId="1" applyNumberFormat="1" applyFont="1" applyFill="1" applyBorder="1"/>
    <xf numFmtId="10" fontId="6" fillId="9" borderId="2" xfId="1" applyNumberFormat="1" applyFont="1" applyFill="1" applyBorder="1"/>
    <xf numFmtId="10" fontId="6" fillId="9" borderId="38" xfId="1" applyNumberFormat="1" applyFont="1" applyFill="1" applyBorder="1"/>
    <xf numFmtId="0" fontId="30" fillId="5" borderId="31" xfId="0" applyFont="1" applyFill="1" applyBorder="1"/>
    <xf numFmtId="0" fontId="30" fillId="5" borderId="37" xfId="0" applyFont="1" applyFill="1" applyBorder="1"/>
    <xf numFmtId="0" fontId="3" fillId="16" borderId="32" xfId="0" applyFont="1" applyFill="1" applyBorder="1"/>
    <xf numFmtId="0" fontId="3" fillId="16" borderId="41" xfId="0" applyFont="1" applyFill="1" applyBorder="1"/>
    <xf numFmtId="0" fontId="0" fillId="16" borderId="38" xfId="0" applyFill="1" applyBorder="1"/>
    <xf numFmtId="9" fontId="0" fillId="9" borderId="41" xfId="0" applyNumberFormat="1" applyFill="1" applyBorder="1"/>
    <xf numFmtId="0" fontId="0" fillId="3" borderId="34" xfId="0" applyFill="1" applyBorder="1"/>
    <xf numFmtId="1" fontId="0" fillId="9" borderId="3" xfId="0" applyNumberFormat="1" applyFill="1" applyBorder="1"/>
    <xf numFmtId="1" fontId="30" fillId="9" borderId="3" xfId="0" applyNumberFormat="1" applyFont="1" applyFill="1" applyBorder="1"/>
    <xf numFmtId="9" fontId="6" fillId="9" borderId="3" xfId="1" applyNumberFormat="1" applyFont="1" applyFill="1" applyBorder="1"/>
    <xf numFmtId="1" fontId="6" fillId="9" borderId="3" xfId="0" applyNumberFormat="1" applyFont="1" applyFill="1" applyBorder="1"/>
    <xf numFmtId="2" fontId="6" fillId="9" borderId="3" xfId="0" applyNumberFormat="1" applyFont="1" applyFill="1" applyBorder="1"/>
    <xf numFmtId="10" fontId="70" fillId="9" borderId="11" xfId="1" applyNumberFormat="1" applyFont="1" applyFill="1" applyBorder="1"/>
    <xf numFmtId="1" fontId="0" fillId="9" borderId="4" xfId="0" applyNumberFormat="1" applyFill="1" applyBorder="1"/>
    <xf numFmtId="10" fontId="71" fillId="9" borderId="4" xfId="0" applyNumberFormat="1" applyFont="1" applyFill="1" applyBorder="1"/>
    <xf numFmtId="1" fontId="0" fillId="18" borderId="7" xfId="1" applyNumberFormat="1" applyFont="1" applyFill="1" applyBorder="1" applyAlignment="1">
      <alignment wrapText="1"/>
    </xf>
    <xf numFmtId="1" fontId="0" fillId="18" borderId="21" xfId="0" applyNumberFormat="1" applyFill="1" applyBorder="1"/>
    <xf numFmtId="1" fontId="0" fillId="18" borderId="9" xfId="0" applyNumberFormat="1" applyFill="1" applyBorder="1"/>
    <xf numFmtId="1" fontId="12" fillId="18" borderId="9" xfId="0" applyNumberFormat="1" applyFont="1" applyFill="1" applyBorder="1"/>
    <xf numFmtId="1" fontId="0" fillId="18" borderId="15" xfId="0" applyNumberFormat="1" applyFill="1" applyBorder="1"/>
    <xf numFmtId="0" fontId="0" fillId="18" borderId="13" xfId="0" applyFill="1" applyBorder="1"/>
    <xf numFmtId="0" fontId="0" fillId="18" borderId="0" xfId="0" applyFill="1" applyAlignment="1">
      <alignment wrapText="1"/>
    </xf>
    <xf numFmtId="0" fontId="75" fillId="0" borderId="0" xfId="0" applyFont="1" applyFill="1"/>
    <xf numFmtId="1" fontId="75" fillId="0" borderId="0" xfId="0" applyNumberFormat="1" applyFont="1" applyFill="1"/>
    <xf numFmtId="0" fontId="75" fillId="0" borderId="9" xfId="0" applyFont="1" applyFill="1" applyBorder="1"/>
    <xf numFmtId="174" fontId="75" fillId="0" borderId="0" xfId="0" applyNumberFormat="1" applyFont="1" applyFill="1"/>
    <xf numFmtId="0" fontId="75" fillId="0" borderId="0" xfId="0" applyFont="1" applyFill="1" applyAlignment="1">
      <alignment wrapText="1"/>
    </xf>
    <xf numFmtId="0" fontId="75" fillId="0" borderId="9" xfId="0" applyFont="1" applyFill="1" applyBorder="1" applyAlignment="1">
      <alignment wrapText="1"/>
    </xf>
    <xf numFmtId="3" fontId="75" fillId="0" borderId="0" xfId="0" applyNumberFormat="1" applyFont="1" applyFill="1"/>
    <xf numFmtId="43" fontId="75" fillId="0" borderId="0" xfId="0" applyNumberFormat="1" applyFont="1" applyFill="1"/>
    <xf numFmtId="0" fontId="75" fillId="0" borderId="2" xfId="0" applyFont="1" applyFill="1" applyBorder="1"/>
    <xf numFmtId="0" fontId="80" fillId="0" borderId="0" xfId="0" applyFont="1" applyFill="1" applyBorder="1" applyAlignment="1" applyProtection="1"/>
    <xf numFmtId="168" fontId="0" fillId="0" borderId="41" xfId="0" applyNumberFormat="1" applyBorder="1"/>
    <xf numFmtId="2" fontId="0" fillId="0" borderId="41" xfId="0" applyNumberFormat="1" applyBorder="1"/>
    <xf numFmtId="165" fontId="0" fillId="0" borderId="41" xfId="1" applyNumberFormat="1" applyFont="1" applyBorder="1"/>
    <xf numFmtId="1" fontId="75" fillId="0" borderId="1" xfId="0" applyNumberFormat="1" applyFont="1" applyFill="1" applyBorder="1"/>
    <xf numFmtId="178" fontId="24" fillId="0" borderId="0" xfId="3" applyNumberFormat="1" applyFont="1" applyFill="1" applyBorder="1"/>
    <xf numFmtId="178" fontId="19" fillId="0" borderId="0" xfId="3" applyNumberFormat="1" applyFont="1"/>
    <xf numFmtId="178" fontId="19" fillId="0" borderId="0" xfId="3" applyNumberFormat="1" applyFont="1" applyFill="1"/>
    <xf numFmtId="178" fontId="19" fillId="0" borderId="0" xfId="3" applyNumberFormat="1" applyFont="1" applyFill="1" applyBorder="1"/>
    <xf numFmtId="164" fontId="81" fillId="0" borderId="0" xfId="7" applyNumberFormat="1" applyFont="1" applyFill="1" applyBorder="1"/>
    <xf numFmtId="165" fontId="22" fillId="0" borderId="0" xfId="0" applyNumberFormat="1" applyFont="1"/>
    <xf numFmtId="165" fontId="28" fillId="0" borderId="0" xfId="1" applyNumberFormat="1" applyFont="1" applyFill="1" applyBorder="1"/>
    <xf numFmtId="165" fontId="28" fillId="0" borderId="0" xfId="7" applyNumberFormat="1" applyFont="1" applyFill="1" applyBorder="1"/>
    <xf numFmtId="10" fontId="0" fillId="0" borderId="0" xfId="1" applyNumberFormat="1" applyFont="1"/>
    <xf numFmtId="1" fontId="12" fillId="9" borderId="18" xfId="0" applyNumberFormat="1" applyFont="1" applyFill="1" applyBorder="1"/>
    <xf numFmtId="1" fontId="12" fillId="9" borderId="19" xfId="0" applyNumberFormat="1" applyFont="1" applyFill="1" applyBorder="1"/>
    <xf numFmtId="0" fontId="0" fillId="4" borderId="21" xfId="0" applyFill="1" applyBorder="1"/>
    <xf numFmtId="0" fontId="0" fillId="4" borderId="7" xfId="0" applyFill="1" applyBorder="1" applyAlignment="1">
      <alignment wrapText="1"/>
    </xf>
    <xf numFmtId="0" fontId="0" fillId="5" borderId="6" xfId="0" applyFill="1" applyBorder="1" applyAlignment="1">
      <alignment wrapText="1"/>
    </xf>
    <xf numFmtId="3" fontId="0" fillId="4" borderId="7" xfId="0" applyNumberFormat="1" applyFill="1" applyBorder="1"/>
    <xf numFmtId="0" fontId="0" fillId="5" borderId="46" xfId="0" applyFill="1" applyBorder="1"/>
    <xf numFmtId="0" fontId="12" fillId="5" borderId="46" xfId="0" applyFont="1" applyFill="1" applyBorder="1"/>
    <xf numFmtId="0" fontId="0" fillId="3" borderId="57" xfId="0" applyFill="1" applyBorder="1"/>
    <xf numFmtId="1" fontId="0" fillId="5" borderId="15" xfId="0" applyNumberFormat="1" applyFill="1" applyBorder="1"/>
    <xf numFmtId="0" fontId="54" fillId="0" borderId="0" xfId="0" applyFont="1" applyFill="1" applyBorder="1" applyAlignment="1">
      <alignment vertical="top"/>
    </xf>
    <xf numFmtId="0" fontId="54" fillId="0" borderId="0" xfId="0" applyFont="1" applyFill="1" applyBorder="1" applyAlignment="1">
      <alignment horizontal="center" vertical="top"/>
    </xf>
    <xf numFmtId="0" fontId="54" fillId="0" borderId="0" xfId="0" applyFont="1" applyFill="1" applyBorder="1" applyAlignment="1">
      <alignment horizontal="right" vertical="top"/>
    </xf>
    <xf numFmtId="0" fontId="48" fillId="0" borderId="0" xfId="0" applyFont="1" applyFill="1" applyBorder="1"/>
    <xf numFmtId="0" fontId="41" fillId="0" borderId="0" xfId="0" applyFont="1" applyFill="1" applyBorder="1"/>
    <xf numFmtId="0" fontId="56" fillId="0" borderId="0" xfId="0" applyFont="1" applyFill="1" applyBorder="1" applyAlignment="1">
      <alignment vertical="top"/>
    </xf>
    <xf numFmtId="0" fontId="55" fillId="0" borderId="0" xfId="0" applyFont="1" applyFill="1" applyBorder="1" applyAlignment="1">
      <alignment horizontal="center" vertical="top"/>
    </xf>
    <xf numFmtId="0" fontId="55" fillId="0" borderId="0" xfId="0" applyFont="1" applyFill="1" applyBorder="1" applyAlignment="1">
      <alignment horizontal="right" vertical="top"/>
    </xf>
    <xf numFmtId="0" fontId="57" fillId="0" borderId="0" xfId="0" applyFont="1" applyFill="1" applyBorder="1" applyAlignment="1">
      <alignment vertical="center" wrapText="1"/>
    </xf>
    <xf numFmtId="0" fontId="58" fillId="0" borderId="0" xfId="0" applyFont="1" applyFill="1" applyBorder="1"/>
    <xf numFmtId="0" fontId="57" fillId="0" borderId="0" xfId="0" applyFont="1" applyFill="1" applyBorder="1" applyAlignment="1">
      <alignment horizontal="left" vertical="center" wrapText="1" indent="1"/>
    </xf>
    <xf numFmtId="0" fontId="59" fillId="0" borderId="0" xfId="8" applyFont="1" applyFill="1" applyBorder="1"/>
    <xf numFmtId="3" fontId="54" fillId="0" borderId="0" xfId="0" applyNumberFormat="1" applyFont="1" applyFill="1" applyBorder="1" applyAlignment="1">
      <alignment horizontal="right" vertical="top"/>
    </xf>
    <xf numFmtId="0" fontId="42" fillId="0" borderId="0" xfId="0" applyFont="1" applyFill="1" applyBorder="1"/>
    <xf numFmtId="0" fontId="55" fillId="0" borderId="0" xfId="0" applyFont="1" applyFill="1" applyBorder="1" applyAlignment="1">
      <alignment vertical="top"/>
    </xf>
    <xf numFmtId="0" fontId="57" fillId="0" borderId="0" xfId="0" applyFont="1" applyFill="1" applyBorder="1" applyAlignment="1">
      <alignment horizontal="center" vertical="center"/>
    </xf>
    <xf numFmtId="170" fontId="28" fillId="0" borderId="0" xfId="7" applyNumberFormat="1" applyFont="1" applyFill="1" applyBorder="1" applyAlignment="1">
      <alignment horizontal="center" vertical="center"/>
    </xf>
    <xf numFmtId="170" fontId="28" fillId="0" borderId="0" xfId="7" applyNumberFormat="1" applyFont="1" applyFill="1" applyBorder="1" applyAlignment="1">
      <alignment horizontal="center" vertical="center" wrapText="1"/>
    </xf>
    <xf numFmtId="0" fontId="24" fillId="0" borderId="0" xfId="5" applyFont="1" applyAlignment="1">
      <alignment horizontal="left"/>
    </xf>
    <xf numFmtId="0" fontId="26" fillId="3" borderId="23" xfId="5" applyFont="1" applyFill="1" applyBorder="1" applyAlignment="1">
      <alignment horizontal="center" vertical="top"/>
    </xf>
    <xf numFmtId="0" fontId="26" fillId="3" borderId="24" xfId="5" applyFont="1" applyFill="1" applyBorder="1" applyAlignment="1">
      <alignment horizontal="center" vertical="top"/>
    </xf>
    <xf numFmtId="0" fontId="26" fillId="3" borderId="25" xfId="5" applyFont="1" applyFill="1" applyBorder="1" applyAlignment="1">
      <alignment horizontal="center" vertical="top"/>
    </xf>
    <xf numFmtId="0" fontId="54" fillId="0" borderId="0" xfId="0" applyFont="1" applyFill="1" applyBorder="1" applyAlignment="1">
      <alignment horizontal="center" vertical="top" wrapText="1"/>
    </xf>
    <xf numFmtId="0" fontId="0" fillId="0" borderId="1" xfId="0" applyBorder="1" applyAlignment="1">
      <alignment horizontal="center"/>
    </xf>
    <xf numFmtId="0" fontId="0" fillId="0" borderId="14" xfId="0" applyBorder="1" applyAlignment="1">
      <alignment horizontal="center"/>
    </xf>
    <xf numFmtId="0" fontId="34" fillId="0" borderId="0" xfId="0" applyFont="1" applyAlignment="1">
      <alignment horizontal="center" vertical="center" wrapText="1"/>
    </xf>
    <xf numFmtId="0" fontId="30" fillId="4" borderId="33" xfId="0" applyFont="1" applyFill="1" applyBorder="1"/>
    <xf numFmtId="0" fontId="0" fillId="0" borderId="19" xfId="0" applyFill="1" applyBorder="1"/>
    <xf numFmtId="0" fontId="3" fillId="4" borderId="58" xfId="0" applyFont="1" applyFill="1" applyBorder="1"/>
    <xf numFmtId="0" fontId="3" fillId="4" borderId="59" xfId="0" applyFont="1" applyFill="1" applyBorder="1"/>
    <xf numFmtId="0" fontId="3" fillId="9" borderId="59" xfId="0" applyFont="1" applyFill="1" applyBorder="1"/>
    <xf numFmtId="0" fontId="3" fillId="9" borderId="60" xfId="0" applyFont="1" applyFill="1" applyBorder="1"/>
    <xf numFmtId="0" fontId="70" fillId="4" borderId="33" xfId="0" applyFont="1" applyFill="1" applyBorder="1"/>
    <xf numFmtId="167" fontId="0" fillId="4" borderId="0" xfId="3" applyNumberFormat="1" applyFont="1" applyFill="1" applyBorder="1"/>
    <xf numFmtId="0" fontId="0" fillId="4" borderId="33" xfId="0" applyFill="1" applyBorder="1"/>
    <xf numFmtId="9" fontId="0" fillId="4" borderId="0" xfId="1" applyFont="1" applyFill="1" applyBorder="1"/>
    <xf numFmtId="9" fontId="0" fillId="4" borderId="0" xfId="1" applyNumberFormat="1" applyFont="1" applyFill="1" applyBorder="1"/>
    <xf numFmtId="9" fontId="70" fillId="4" borderId="0" xfId="1" applyNumberFormat="1" applyFont="1" applyFill="1" applyBorder="1"/>
    <xf numFmtId="0" fontId="0" fillId="4" borderId="37" xfId="0" applyFill="1" applyBorder="1"/>
    <xf numFmtId="2" fontId="0" fillId="4" borderId="0" xfId="0" applyNumberFormat="1" applyFill="1" applyBorder="1"/>
    <xf numFmtId="0" fontId="0" fillId="4" borderId="40" xfId="0" applyFill="1" applyBorder="1"/>
    <xf numFmtId="0" fontId="30" fillId="4" borderId="19" xfId="0" applyFont="1" applyFill="1" applyBorder="1" applyAlignment="1">
      <alignment horizontal="left" wrapText="1"/>
    </xf>
    <xf numFmtId="2" fontId="30" fillId="3" borderId="3" xfId="0" applyNumberFormat="1" applyFont="1" applyFill="1" applyBorder="1"/>
    <xf numFmtId="1" fontId="0" fillId="5" borderId="7" xfId="1" applyNumberFormat="1" applyFont="1" applyFill="1" applyBorder="1" applyAlignment="1">
      <alignment wrapText="1"/>
    </xf>
    <xf numFmtId="168" fontId="6" fillId="9" borderId="4" xfId="0" applyNumberFormat="1" applyFont="1" applyFill="1" applyBorder="1"/>
    <xf numFmtId="0" fontId="3" fillId="4" borderId="62" xfId="0" applyFont="1" applyFill="1" applyBorder="1"/>
    <xf numFmtId="0" fontId="0" fillId="9" borderId="61" xfId="0" applyFill="1" applyBorder="1"/>
    <xf numFmtId="3" fontId="30" fillId="18" borderId="3" xfId="0" applyNumberFormat="1" applyFont="1" applyFill="1" applyBorder="1"/>
    <xf numFmtId="9" fontId="71" fillId="9" borderId="4" xfId="0" applyNumberFormat="1" applyFont="1" applyFill="1" applyBorder="1"/>
    <xf numFmtId="168" fontId="0" fillId="9" borderId="4" xfId="0" applyNumberFormat="1" applyFill="1" applyBorder="1"/>
    <xf numFmtId="3" fontId="30" fillId="18" borderId="17" xfId="0" applyNumberFormat="1" applyFont="1" applyFill="1" applyBorder="1"/>
    <xf numFmtId="43" fontId="0" fillId="9" borderId="4" xfId="0" applyNumberFormat="1" applyFill="1" applyBorder="1"/>
    <xf numFmtId="3" fontId="77" fillId="18" borderId="17" xfId="0" applyNumberFormat="1" applyFont="1" applyFill="1" applyBorder="1"/>
    <xf numFmtId="10" fontId="70" fillId="9" borderId="4" xfId="1" applyNumberFormat="1" applyFont="1" applyFill="1" applyBorder="1"/>
    <xf numFmtId="10" fontId="71" fillId="9" borderId="4" xfId="1" applyNumberFormat="1" applyFont="1" applyFill="1" applyBorder="1"/>
    <xf numFmtId="165" fontId="70" fillId="9" borderId="4" xfId="1" applyNumberFormat="1" applyFont="1" applyFill="1" applyBorder="1"/>
    <xf numFmtId="168" fontId="30" fillId="18" borderId="17" xfId="0" applyNumberFormat="1" applyFont="1" applyFill="1" applyBorder="1"/>
    <xf numFmtId="1" fontId="30" fillId="18" borderId="17" xfId="0" applyNumberFormat="1" applyFont="1" applyFill="1" applyBorder="1"/>
    <xf numFmtId="9" fontId="70" fillId="9" borderId="4" xfId="0" applyNumberFormat="1" applyFont="1" applyFill="1" applyBorder="1"/>
    <xf numFmtId="2" fontId="0" fillId="9" borderId="4" xfId="1" applyNumberFormat="1" applyFont="1" applyFill="1" applyBorder="1"/>
    <xf numFmtId="9" fontId="12" fillId="9" borderId="4" xfId="0" applyNumberFormat="1" applyFont="1" applyFill="1" applyBorder="1"/>
    <xf numFmtId="2" fontId="12" fillId="9" borderId="4" xfId="0" applyNumberFormat="1" applyFont="1" applyFill="1" applyBorder="1"/>
    <xf numFmtId="0" fontId="0" fillId="9" borderId="63" xfId="0" applyFill="1" applyBorder="1"/>
    <xf numFmtId="0" fontId="0" fillId="9" borderId="64" xfId="0" applyFill="1" applyBorder="1"/>
    <xf numFmtId="2" fontId="0" fillId="9" borderId="4" xfId="0" applyNumberFormat="1" applyFill="1" applyBorder="1"/>
    <xf numFmtId="2" fontId="0" fillId="9" borderId="16" xfId="0" applyNumberFormat="1" applyFill="1" applyBorder="1"/>
    <xf numFmtId="2" fontId="0" fillId="9" borderId="11" xfId="0" applyNumberFormat="1" applyFill="1" applyBorder="1"/>
    <xf numFmtId="3" fontId="0" fillId="9" borderId="11" xfId="0" applyNumberFormat="1" applyFill="1" applyBorder="1"/>
    <xf numFmtId="3" fontId="0" fillId="9" borderId="64" xfId="0" applyNumberFormat="1" applyFill="1" applyBorder="1"/>
    <xf numFmtId="3" fontId="0" fillId="0" borderId="63" xfId="0" applyNumberFormat="1" applyBorder="1"/>
    <xf numFmtId="10" fontId="0" fillId="0" borderId="4" xfId="1" applyNumberFormat="1" applyFont="1" applyBorder="1"/>
    <xf numFmtId="1" fontId="0" fillId="0" borderId="4" xfId="0" applyNumberFormat="1" applyBorder="1"/>
    <xf numFmtId="3" fontId="0" fillId="0" borderId="4" xfId="0" applyNumberFormat="1" applyBorder="1"/>
    <xf numFmtId="2" fontId="0" fillId="2" borderId="17" xfId="0" applyNumberFormat="1" applyFill="1" applyBorder="1"/>
    <xf numFmtId="9" fontId="0" fillId="0" borderId="4" xfId="0" applyNumberFormat="1" applyBorder="1"/>
    <xf numFmtId="1" fontId="0" fillId="0" borderId="17" xfId="0" applyNumberFormat="1" applyBorder="1"/>
    <xf numFmtId="3" fontId="0" fillId="0" borderId="17" xfId="0" applyNumberFormat="1" applyBorder="1"/>
    <xf numFmtId="10" fontId="0" fillId="0" borderId="64" xfId="1" applyNumberFormat="1" applyFont="1" applyBorder="1"/>
    <xf numFmtId="168" fontId="0" fillId="0" borderId="4" xfId="0" applyNumberFormat="1" applyBorder="1"/>
    <xf numFmtId="10" fontId="6" fillId="0" borderId="4" xfId="0" applyNumberFormat="1" applyFont="1" applyBorder="1"/>
    <xf numFmtId="43" fontId="12" fillId="0" borderId="0" xfId="0" applyNumberFormat="1" applyFont="1" applyFill="1"/>
    <xf numFmtId="166" fontId="71" fillId="9" borderId="4" xfId="0" applyNumberFormat="1" applyFont="1" applyFill="1" applyBorder="1"/>
    <xf numFmtId="0" fontId="8" fillId="0" borderId="58" xfId="0" applyFont="1" applyBorder="1"/>
    <xf numFmtId="0" fontId="3" fillId="0" borderId="59" xfId="0" applyFont="1" applyBorder="1"/>
    <xf numFmtId="0" fontId="30" fillId="3" borderId="65" xfId="0" applyFont="1" applyFill="1" applyBorder="1"/>
    <xf numFmtId="1" fontId="0" fillId="9" borderId="61" xfId="0" applyNumberFormat="1" applyFill="1" applyBorder="1"/>
    <xf numFmtId="0" fontId="30" fillId="9" borderId="61" xfId="0" applyFont="1" applyFill="1" applyBorder="1"/>
    <xf numFmtId="1" fontId="30" fillId="9" borderId="61" xfId="0" applyNumberFormat="1" applyFont="1" applyFill="1" applyBorder="1"/>
    <xf numFmtId="0" fontId="0" fillId="3" borderId="65" xfId="0" applyFill="1" applyBorder="1" applyAlignment="1">
      <alignment wrapText="1"/>
    </xf>
    <xf numFmtId="9" fontId="6" fillId="9" borderId="61" xfId="1" applyNumberFormat="1" applyFont="1" applyFill="1" applyBorder="1"/>
    <xf numFmtId="0" fontId="0" fillId="3" borderId="65" xfId="0" applyFill="1" applyBorder="1"/>
    <xf numFmtId="1" fontId="6" fillId="9" borderId="61" xfId="0" applyNumberFormat="1" applyFont="1" applyFill="1" applyBorder="1"/>
    <xf numFmtId="2" fontId="6" fillId="9" borderId="61" xfId="0" applyNumberFormat="1" applyFont="1" applyFill="1" applyBorder="1"/>
    <xf numFmtId="178" fontId="28" fillId="0" borderId="0" xfId="3" applyNumberFormat="1" applyFont="1" applyFill="1" applyBorder="1"/>
    <xf numFmtId="165" fontId="71" fillId="9" borderId="4" xfId="1" applyNumberFormat="1" applyFont="1" applyFill="1" applyBorder="1"/>
    <xf numFmtId="9" fontId="70" fillId="9" borderId="16" xfId="0" applyNumberFormat="1" applyFont="1" applyFill="1" applyBorder="1"/>
  </cellXfs>
  <cellStyles count="9">
    <cellStyle name="Comma" xfId="3" builtinId="3"/>
    <cellStyle name="Comma 2 2" xfId="7"/>
    <cellStyle name="Currency" xfId="4" builtinId="4"/>
    <cellStyle name="Hyperlink" xfId="8" builtinId="8"/>
    <cellStyle name="Normal" xfId="0" builtinId="0"/>
    <cellStyle name="Normal 2" xfId="5"/>
    <cellStyle name="Percent" xfId="1" builtinId="5"/>
    <cellStyle name="Percent 2" xfId="6"/>
    <cellStyle name="Style 1" xfId="2"/>
  </cellStyles>
  <dxfs count="6">
    <dxf>
      <font>
        <color theme="1"/>
      </font>
    </dxf>
    <dxf>
      <font>
        <color rgb="FFFF0000"/>
      </font>
      <fill>
        <patternFill>
          <fgColor auto="1"/>
        </patternFill>
      </fill>
    </dxf>
    <dxf>
      <font>
        <color auto="1"/>
      </font>
      <fill>
        <patternFill>
          <fgColor auto="1"/>
        </patternFill>
      </fill>
    </dxf>
    <dxf>
      <font>
        <color auto="1"/>
      </font>
      <fill>
        <patternFill>
          <fgColor auto="1"/>
        </patternFill>
      </fill>
    </dxf>
    <dxf>
      <font>
        <color rgb="FFFF0000"/>
      </font>
      <fill>
        <patternFill>
          <fgColor auto="1"/>
        </patternFill>
      </fill>
    </dxf>
    <dxf>
      <fill>
        <patternFill>
          <bgColor rgb="FFFF0000"/>
        </patternFill>
      </fill>
    </dxf>
  </dxfs>
  <tableStyles count="1" defaultTableStyle="TableStyleMedium2" defaultPivotStyle="PivotStyleLight16">
    <tableStyle name="Table Style 1" pivot="0" count="1">
      <tableStyleElement type="wholeTabl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Leverage Ratios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cked"/>
        <c:varyColors val="0"/>
        <c:ser>
          <c:idx val="0"/>
          <c:order val="0"/>
          <c:tx>
            <c:strRef>
              <c:f>Ratios!$A$6:$B$6</c:f>
              <c:strCache>
                <c:ptCount val="2"/>
                <c:pt idx="0">
                  <c:v>Total Debt To Equity(D/E)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Ratios!$C$5:$J$5</c:f>
              <c:strCache>
                <c:ptCount val="8"/>
                <c:pt idx="0">
                  <c:v>2016</c:v>
                </c:pt>
                <c:pt idx="1">
                  <c:v>2017</c:v>
                </c:pt>
                <c:pt idx="2">
                  <c:v>2018</c:v>
                </c:pt>
                <c:pt idx="3">
                  <c:v>2019 E</c:v>
                </c:pt>
                <c:pt idx="4">
                  <c:v>2020 E</c:v>
                </c:pt>
                <c:pt idx="5">
                  <c:v>2021 E</c:v>
                </c:pt>
                <c:pt idx="6">
                  <c:v>2022 E</c:v>
                </c:pt>
                <c:pt idx="7">
                  <c:v>2023 E</c:v>
                </c:pt>
              </c:strCache>
            </c:strRef>
          </c:cat>
          <c:val>
            <c:numRef>
              <c:f>Ratios!$C$6:$J$6</c:f>
              <c:numCache>
                <c:formatCode>0.0</c:formatCode>
                <c:ptCount val="8"/>
                <c:pt idx="0">
                  <c:v>0.70740997229916902</c:v>
                </c:pt>
                <c:pt idx="1">
                  <c:v>0.66973815557091299</c:v>
                </c:pt>
                <c:pt idx="2">
                  <c:v>0.75120652354801132</c:v>
                </c:pt>
                <c:pt idx="3">
                  <c:v>0.75061681315137685</c:v>
                </c:pt>
                <c:pt idx="4">
                  <c:v>0.72033116623910454</c:v>
                </c:pt>
                <c:pt idx="5">
                  <c:v>0.69092330370153532</c:v>
                </c:pt>
                <c:pt idx="6">
                  <c:v>0.65533066483930824</c:v>
                </c:pt>
                <c:pt idx="7">
                  <c:v>0.60516208780777703</c:v>
                </c:pt>
              </c:numCache>
            </c:numRef>
          </c:val>
          <c:smooth val="0"/>
          <c:extLst>
            <c:ext xmlns:c16="http://schemas.microsoft.com/office/drawing/2014/chart" uri="{C3380CC4-5D6E-409C-BE32-E72D297353CC}">
              <c16:uniqueId val="{00000000-50AF-4131-BC77-FE4F7D1226BF}"/>
            </c:ext>
          </c:extLst>
        </c:ser>
        <c:ser>
          <c:idx val="1"/>
          <c:order val="1"/>
          <c:tx>
            <c:strRef>
              <c:f>Ratios!$A$7:$B$7</c:f>
              <c:strCache>
                <c:ptCount val="2"/>
                <c:pt idx="0">
                  <c:v>Total Debt to Total Asset(TD/TA)</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Ratios!$C$5:$J$5</c:f>
              <c:strCache>
                <c:ptCount val="8"/>
                <c:pt idx="0">
                  <c:v>2016</c:v>
                </c:pt>
                <c:pt idx="1">
                  <c:v>2017</c:v>
                </c:pt>
                <c:pt idx="2">
                  <c:v>2018</c:v>
                </c:pt>
                <c:pt idx="3">
                  <c:v>2019 E</c:v>
                </c:pt>
                <c:pt idx="4">
                  <c:v>2020 E</c:v>
                </c:pt>
                <c:pt idx="5">
                  <c:v>2021 E</c:v>
                </c:pt>
                <c:pt idx="6">
                  <c:v>2022 E</c:v>
                </c:pt>
                <c:pt idx="7">
                  <c:v>2023 E</c:v>
                </c:pt>
              </c:strCache>
            </c:strRef>
          </c:cat>
          <c:val>
            <c:numRef>
              <c:f>Ratios!$C$7:$J$7</c:f>
              <c:numCache>
                <c:formatCode>0.00</c:formatCode>
                <c:ptCount val="8"/>
                <c:pt idx="0">
                  <c:v>0.24297131439988584</c:v>
                </c:pt>
                <c:pt idx="1">
                  <c:v>0.22882778885507399</c:v>
                </c:pt>
                <c:pt idx="2">
                  <c:v>0.24113247863247864</c:v>
                </c:pt>
                <c:pt idx="3">
                  <c:v>0.23748911585109736</c:v>
                </c:pt>
                <c:pt idx="4">
                  <c:v>0.22957911144006674</c:v>
                </c:pt>
                <c:pt idx="5">
                  <c:v>0.22503641827675505</c:v>
                </c:pt>
                <c:pt idx="6">
                  <c:v>0.2174377686788854</c:v>
                </c:pt>
                <c:pt idx="7">
                  <c:v>0.20580221382379291</c:v>
                </c:pt>
              </c:numCache>
            </c:numRef>
          </c:val>
          <c:smooth val="0"/>
          <c:extLst>
            <c:ext xmlns:c16="http://schemas.microsoft.com/office/drawing/2014/chart" uri="{C3380CC4-5D6E-409C-BE32-E72D297353CC}">
              <c16:uniqueId val="{00000001-50AF-4131-BC77-FE4F7D1226BF}"/>
            </c:ext>
          </c:extLst>
        </c:ser>
        <c:dLbls>
          <c:dLblPos val="ctr"/>
          <c:showLegendKey val="0"/>
          <c:showVal val="1"/>
          <c:showCatName val="0"/>
          <c:showSerName val="0"/>
          <c:showPercent val="0"/>
          <c:showBubbleSize val="0"/>
        </c:dLbls>
        <c:smooth val="0"/>
        <c:axId val="137682543"/>
        <c:axId val="137687535"/>
      </c:lineChart>
      <c:catAx>
        <c:axId val="1376825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87535"/>
        <c:crosses val="autoZero"/>
        <c:auto val="1"/>
        <c:lblAlgn val="ctr"/>
        <c:lblOffset val="100"/>
        <c:noMultiLvlLbl val="0"/>
      </c:catAx>
      <c:valAx>
        <c:axId val="137687535"/>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8254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Return Ratios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Ratios!$A$11:$B$11</c:f>
              <c:strCache>
                <c:ptCount val="2"/>
                <c:pt idx="0">
                  <c:v>Return on Assets  (Net income / Total assets)</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Ratios!$C$5:$J$5</c:f>
              <c:strCache>
                <c:ptCount val="8"/>
                <c:pt idx="0">
                  <c:v>2016</c:v>
                </c:pt>
                <c:pt idx="1">
                  <c:v>2017</c:v>
                </c:pt>
                <c:pt idx="2">
                  <c:v>2018</c:v>
                </c:pt>
                <c:pt idx="3">
                  <c:v>2019 E</c:v>
                </c:pt>
                <c:pt idx="4">
                  <c:v>2020 E</c:v>
                </c:pt>
                <c:pt idx="5">
                  <c:v>2021 E</c:v>
                </c:pt>
                <c:pt idx="6">
                  <c:v>2022 E</c:v>
                </c:pt>
                <c:pt idx="7">
                  <c:v>2023 E</c:v>
                </c:pt>
              </c:strCache>
            </c:strRef>
          </c:cat>
          <c:val>
            <c:numRef>
              <c:f>Ratios!$C$11:$J$11</c:f>
              <c:numCache>
                <c:formatCode>0.00%</c:formatCode>
                <c:ptCount val="8"/>
                <c:pt idx="0">
                  <c:v>1.3877324451845685E-3</c:v>
                </c:pt>
                <c:pt idx="1">
                  <c:v>7.6287009869298482E-3</c:v>
                </c:pt>
                <c:pt idx="2">
                  <c:v>1.0108184897825374E-2</c:v>
                </c:pt>
                <c:pt idx="3">
                  <c:v>1.4745613723806021E-2</c:v>
                </c:pt>
                <c:pt idx="4">
                  <c:v>1.6968073475003405E-2</c:v>
                </c:pt>
                <c:pt idx="5">
                  <c:v>1.6172474438636546E-2</c:v>
                </c:pt>
                <c:pt idx="6">
                  <c:v>1.6753852452423577E-2</c:v>
                </c:pt>
                <c:pt idx="7">
                  <c:v>1.660379590511327E-2</c:v>
                </c:pt>
              </c:numCache>
            </c:numRef>
          </c:val>
          <c:smooth val="0"/>
          <c:extLst>
            <c:ext xmlns:c16="http://schemas.microsoft.com/office/drawing/2014/chart" uri="{C3380CC4-5D6E-409C-BE32-E72D297353CC}">
              <c16:uniqueId val="{00000000-06B2-408A-892B-5CD8AB7DE7AA}"/>
            </c:ext>
          </c:extLst>
        </c:ser>
        <c:ser>
          <c:idx val="1"/>
          <c:order val="1"/>
          <c:tx>
            <c:strRef>
              <c:f>Ratios!$A$12:$B$12</c:f>
              <c:strCache>
                <c:ptCount val="2"/>
                <c:pt idx="0">
                  <c:v>Return on Sales(Operating Profit/Net Sales)</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Ratios!$C$5:$J$5</c:f>
              <c:strCache>
                <c:ptCount val="8"/>
                <c:pt idx="0">
                  <c:v>2016</c:v>
                </c:pt>
                <c:pt idx="1">
                  <c:v>2017</c:v>
                </c:pt>
                <c:pt idx="2">
                  <c:v>2018</c:v>
                </c:pt>
                <c:pt idx="3">
                  <c:v>2019 E</c:v>
                </c:pt>
                <c:pt idx="4">
                  <c:v>2020 E</c:v>
                </c:pt>
                <c:pt idx="5">
                  <c:v>2021 E</c:v>
                </c:pt>
                <c:pt idx="6">
                  <c:v>2022 E</c:v>
                </c:pt>
                <c:pt idx="7">
                  <c:v>2023 E</c:v>
                </c:pt>
              </c:strCache>
            </c:strRef>
          </c:cat>
          <c:val>
            <c:numRef>
              <c:f>Ratios!$C$12:$J$12</c:f>
              <c:numCache>
                <c:formatCode>0.00%</c:formatCode>
                <c:ptCount val="8"/>
                <c:pt idx="0">
                  <c:v>1.1351651401609769E-2</c:v>
                </c:pt>
                <c:pt idx="1">
                  <c:v>1.9525206721792476E-2</c:v>
                </c:pt>
                <c:pt idx="2">
                  <c:v>2.281171456671402E-2</c:v>
                </c:pt>
                <c:pt idx="3">
                  <c:v>2.7077005000000029E-2</c:v>
                </c:pt>
                <c:pt idx="4">
                  <c:v>2.8405999999999987E-2</c:v>
                </c:pt>
                <c:pt idx="5">
                  <c:v>2.6884249999999991E-2</c:v>
                </c:pt>
                <c:pt idx="6">
                  <c:v>2.6884250000000047E-2</c:v>
                </c:pt>
                <c:pt idx="7">
                  <c:v>2.6884250000000019E-2</c:v>
                </c:pt>
              </c:numCache>
            </c:numRef>
          </c:val>
          <c:smooth val="0"/>
          <c:extLst>
            <c:ext xmlns:c16="http://schemas.microsoft.com/office/drawing/2014/chart" uri="{C3380CC4-5D6E-409C-BE32-E72D297353CC}">
              <c16:uniqueId val="{00000001-06B2-408A-892B-5CD8AB7DE7AA}"/>
            </c:ext>
          </c:extLst>
        </c:ser>
        <c:dLbls>
          <c:dLblPos val="ctr"/>
          <c:showLegendKey val="0"/>
          <c:showVal val="1"/>
          <c:showCatName val="0"/>
          <c:showSerName val="0"/>
          <c:showPercent val="0"/>
          <c:showBubbleSize val="0"/>
        </c:dLbls>
        <c:smooth val="0"/>
        <c:axId val="340340703"/>
        <c:axId val="340341951"/>
      </c:lineChart>
      <c:catAx>
        <c:axId val="3403407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0341951"/>
        <c:crosses val="autoZero"/>
        <c:auto val="1"/>
        <c:lblAlgn val="ctr"/>
        <c:lblOffset val="100"/>
        <c:noMultiLvlLbl val="0"/>
      </c:catAx>
      <c:valAx>
        <c:axId val="3403419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0340703"/>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Operating and PBT Margin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90949256342957E-2"/>
          <c:y val="0.1902314814814815"/>
          <c:w val="0.87868285214348207"/>
          <c:h val="0.61498432487605714"/>
        </c:manualLayout>
      </c:layout>
      <c:lineChart>
        <c:grouping val="standard"/>
        <c:varyColors val="0"/>
        <c:ser>
          <c:idx val="0"/>
          <c:order val="0"/>
          <c:tx>
            <c:strRef>
              <c:f>Ratios!$A$15:$B$15</c:f>
              <c:strCache>
                <c:ptCount val="2"/>
                <c:pt idx="0">
                  <c:v>Operating or EBITDA Margin</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Ratios!$C$5:$J$5</c:f>
              <c:strCache>
                <c:ptCount val="8"/>
                <c:pt idx="0">
                  <c:v>2016</c:v>
                </c:pt>
                <c:pt idx="1">
                  <c:v>2017</c:v>
                </c:pt>
                <c:pt idx="2">
                  <c:v>2018</c:v>
                </c:pt>
                <c:pt idx="3">
                  <c:v>2019 E</c:v>
                </c:pt>
                <c:pt idx="4">
                  <c:v>2020 E</c:v>
                </c:pt>
                <c:pt idx="5">
                  <c:v>2021 E</c:v>
                </c:pt>
                <c:pt idx="6">
                  <c:v>2022 E</c:v>
                </c:pt>
                <c:pt idx="7">
                  <c:v>2023 E</c:v>
                </c:pt>
              </c:strCache>
            </c:strRef>
          </c:cat>
          <c:val>
            <c:numRef>
              <c:f>Ratios!$C$15:$J$15</c:f>
              <c:numCache>
                <c:formatCode>0.0%</c:formatCode>
                <c:ptCount val="8"/>
                <c:pt idx="0">
                  <c:v>1.1351651401609769E-2</c:v>
                </c:pt>
                <c:pt idx="1">
                  <c:v>1.9240373242213168E-2</c:v>
                </c:pt>
                <c:pt idx="2">
                  <c:v>2.2484920292977165E-2</c:v>
                </c:pt>
                <c:pt idx="3">
                  <c:v>2.6690000000000026E-2</c:v>
                </c:pt>
                <c:pt idx="4">
                  <c:v>2.7999999999999987E-2</c:v>
                </c:pt>
                <c:pt idx="5">
                  <c:v>2.6499999999999992E-2</c:v>
                </c:pt>
                <c:pt idx="6">
                  <c:v>2.6500000000000048E-2</c:v>
                </c:pt>
                <c:pt idx="7">
                  <c:v>2.650000000000002E-2</c:v>
                </c:pt>
              </c:numCache>
            </c:numRef>
          </c:val>
          <c:smooth val="0"/>
          <c:extLst>
            <c:ext xmlns:c16="http://schemas.microsoft.com/office/drawing/2014/chart" uri="{C3380CC4-5D6E-409C-BE32-E72D297353CC}">
              <c16:uniqueId val="{00000000-09AE-4CBD-B55C-DC02D7907A9E}"/>
            </c:ext>
          </c:extLst>
        </c:ser>
        <c:ser>
          <c:idx val="1"/>
          <c:order val="1"/>
          <c:tx>
            <c:strRef>
              <c:f>Ratios!$A$16:$B$16</c:f>
              <c:strCache>
                <c:ptCount val="2"/>
                <c:pt idx="0">
                  <c:v>PBT Margin</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Ratios!$C$5:$J$5</c:f>
              <c:strCache>
                <c:ptCount val="8"/>
                <c:pt idx="0">
                  <c:v>2016</c:v>
                </c:pt>
                <c:pt idx="1">
                  <c:v>2017</c:v>
                </c:pt>
                <c:pt idx="2">
                  <c:v>2018</c:v>
                </c:pt>
                <c:pt idx="3">
                  <c:v>2019 E</c:v>
                </c:pt>
                <c:pt idx="4">
                  <c:v>2020 E</c:v>
                </c:pt>
                <c:pt idx="5">
                  <c:v>2021 E</c:v>
                </c:pt>
                <c:pt idx="6">
                  <c:v>2022 E</c:v>
                </c:pt>
                <c:pt idx="7">
                  <c:v>2023 E</c:v>
                </c:pt>
              </c:strCache>
            </c:strRef>
          </c:cat>
          <c:val>
            <c:numRef>
              <c:f>Ratios!$C$16:$J$16</c:f>
              <c:numCache>
                <c:formatCode>0.00%</c:formatCode>
                <c:ptCount val="8"/>
                <c:pt idx="0">
                  <c:v>1.3877324451845685E-3</c:v>
                </c:pt>
                <c:pt idx="1">
                  <c:v>7.5174135891707189E-3</c:v>
                </c:pt>
                <c:pt idx="2">
                  <c:v>9.9633778543731146E-3</c:v>
                </c:pt>
                <c:pt idx="3">
                  <c:v>1.4534858278763945E-2</c:v>
                </c:pt>
                <c:pt idx="4">
                  <c:v>1.6725552957125089E-2</c:v>
                </c:pt>
                <c:pt idx="5">
                  <c:v>1.594132522290443E-2</c:v>
                </c:pt>
                <c:pt idx="6">
                  <c:v>1.6514393743147934E-2</c:v>
                </c:pt>
                <c:pt idx="7">
                  <c:v>1.6366481917312242E-2</c:v>
                </c:pt>
              </c:numCache>
            </c:numRef>
          </c:val>
          <c:smooth val="0"/>
          <c:extLst>
            <c:ext xmlns:c16="http://schemas.microsoft.com/office/drawing/2014/chart" uri="{C3380CC4-5D6E-409C-BE32-E72D297353CC}">
              <c16:uniqueId val="{00000001-09AE-4CBD-B55C-DC02D7907A9E}"/>
            </c:ext>
          </c:extLst>
        </c:ser>
        <c:dLbls>
          <c:dLblPos val="ctr"/>
          <c:showLegendKey val="0"/>
          <c:showVal val="1"/>
          <c:showCatName val="0"/>
          <c:showSerName val="0"/>
          <c:showPercent val="0"/>
          <c:showBubbleSize val="0"/>
        </c:dLbls>
        <c:smooth val="0"/>
        <c:axId val="141940351"/>
        <c:axId val="141943679"/>
      </c:lineChart>
      <c:catAx>
        <c:axId val="1419403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43679"/>
        <c:crosses val="autoZero"/>
        <c:auto val="1"/>
        <c:lblAlgn val="ctr"/>
        <c:lblOffset val="100"/>
        <c:noMultiLvlLbl val="0"/>
      </c:catAx>
      <c:valAx>
        <c:axId val="141943679"/>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4035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Growth Over the Yera</a:t>
            </a:r>
            <a:r>
              <a:rPr lang="en-US"/>
              <a:t>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Ratios!$K$3</c:f>
              <c:strCache>
                <c:ptCount val="1"/>
                <c:pt idx="0">
                  <c:v>Sales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Ratios!$L$2:$T$2</c:f>
              <c:strCache>
                <c:ptCount val="9"/>
                <c:pt idx="0">
                  <c:v>2015</c:v>
                </c:pt>
                <c:pt idx="1">
                  <c:v>2016</c:v>
                </c:pt>
                <c:pt idx="2">
                  <c:v>2017</c:v>
                </c:pt>
                <c:pt idx="3">
                  <c:v>2018</c:v>
                </c:pt>
                <c:pt idx="4">
                  <c:v>2019 E</c:v>
                </c:pt>
                <c:pt idx="5">
                  <c:v>2020 E</c:v>
                </c:pt>
                <c:pt idx="6">
                  <c:v>2021 E</c:v>
                </c:pt>
                <c:pt idx="7">
                  <c:v>2022 E</c:v>
                </c:pt>
                <c:pt idx="8">
                  <c:v>2023 E</c:v>
                </c:pt>
              </c:strCache>
            </c:strRef>
          </c:cat>
          <c:val>
            <c:numRef>
              <c:f>Ratios!$L$3:$T$3</c:f>
              <c:numCache>
                <c:formatCode>#,##0</c:formatCode>
                <c:ptCount val="9"/>
                <c:pt idx="0">
                  <c:v>35312</c:v>
                </c:pt>
                <c:pt idx="1">
                  <c:v>36030</c:v>
                </c:pt>
                <c:pt idx="2">
                  <c:v>37490</c:v>
                </c:pt>
                <c:pt idx="3">
                  <c:v>36604</c:v>
                </c:pt>
                <c:pt idx="4">
                  <c:v>37851.557334902594</c:v>
                </c:pt>
                <c:pt idx="5">
                  <c:v>38600.942990706841</c:v>
                </c:pt>
                <c:pt idx="6">
                  <c:v>39389.549090457891</c:v>
                </c:pt>
                <c:pt idx="7">
                  <c:v>40129.136160387578</c:v>
                </c:pt>
                <c:pt idx="8">
                  <c:v>40660.896983943501</c:v>
                </c:pt>
              </c:numCache>
            </c:numRef>
          </c:val>
          <c:smooth val="0"/>
          <c:extLst>
            <c:ext xmlns:c16="http://schemas.microsoft.com/office/drawing/2014/chart" uri="{C3380CC4-5D6E-409C-BE32-E72D297353CC}">
              <c16:uniqueId val="{00000000-9D95-43E9-B240-A1FBA5069592}"/>
            </c:ext>
          </c:extLst>
        </c:ser>
        <c:dLbls>
          <c:showLegendKey val="0"/>
          <c:showVal val="0"/>
          <c:showCatName val="0"/>
          <c:showSerName val="0"/>
          <c:showPercent val="0"/>
          <c:showBubbleSize val="0"/>
        </c:dLbls>
        <c:axId val="39460736"/>
        <c:axId val="39470304"/>
        <c:axId val="73252576"/>
      </c:line3DChart>
      <c:catAx>
        <c:axId val="39460736"/>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470304"/>
        <c:crosses val="autoZero"/>
        <c:auto val="1"/>
        <c:lblAlgn val="ctr"/>
        <c:lblOffset val="100"/>
        <c:noMultiLvlLbl val="0"/>
      </c:catAx>
      <c:valAx>
        <c:axId val="39470304"/>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460736"/>
        <c:crosses val="autoZero"/>
        <c:crossBetween val="between"/>
      </c:valAx>
      <c:serAx>
        <c:axId val="73252576"/>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470304"/>
        <c:crosses val="autoZero"/>
      </c:ser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18</xdr:row>
      <xdr:rowOff>19050</xdr:rowOff>
    </xdr:from>
    <xdr:to>
      <xdr:col>7</xdr:col>
      <xdr:colOff>200025</xdr:colOff>
      <xdr:row>32</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566458</xdr:colOff>
      <xdr:row>33</xdr:row>
      <xdr:rowOff>99732</xdr:rowOff>
    </xdr:from>
    <xdr:to>
      <xdr:col>8</xdr:col>
      <xdr:colOff>99733</xdr:colOff>
      <xdr:row>47</xdr:row>
      <xdr:rowOff>175932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333375</xdr:colOff>
      <xdr:row>18</xdr:row>
      <xdr:rowOff>0</xdr:rowOff>
    </xdr:from>
    <xdr:to>
      <xdr:col>14</xdr:col>
      <xdr:colOff>552450</xdr:colOff>
      <xdr:row>32</xdr:row>
      <xdr:rowOff>76200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593911</xdr:colOff>
      <xdr:row>33</xdr:row>
      <xdr:rowOff>6723</xdr:rowOff>
    </xdr:from>
    <xdr:to>
      <xdr:col>16</xdr:col>
      <xdr:colOff>257734</xdr:colOff>
      <xdr:row>47</xdr:row>
      <xdr:rowOff>82923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queryTables/queryTable1.xml><?xml version="1.0" encoding="utf-8"?>
<queryTable xmlns="http://schemas.openxmlformats.org/spreadsheetml/2006/main" name="Casino-Group-Q1-2019-Sales" preserveFormatting="0" connectionId="1" autoFormatId="16" applyNumberFormats="0" applyBorderFormats="0" applyFontFormats="1" applyPatternFormats="1" applyAlignmentFormats="0" applyWidthHeightFormats="0"/>
</file>

<file path=xl/tables/table1.xml><?xml version="1.0" encoding="utf-8"?>
<table xmlns="http://schemas.openxmlformats.org/spreadsheetml/2006/main" id="2" name="Table2" displayName="Table2" ref="A13:D21" totalsRowShown="0">
  <autoFilter ref="A13:D21"/>
  <sortState ref="A14:D21">
    <sortCondition descending="1" ref="C13:C21"/>
  </sortState>
  <tableColumns count="4">
    <tableColumn id="1" name="Name"/>
    <tableColumn id="2" name="Country"/>
    <tableColumn id="3" name="Revenue(in billions)"/>
    <tableColumn id="4" name="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marketscreener.com/J-SAINSBURY-PLC-9590189/" TargetMode="External"/><Relationship Id="rId1" Type="http://schemas.openxmlformats.org/officeDocument/2006/relationships/hyperlink" Target="https://www.marketscreener.com/CASINO-GUICHARD-PERRACHON-4627/" TargetMode="External"/><Relationship Id="rId6" Type="http://schemas.openxmlformats.org/officeDocument/2006/relationships/comments" Target="../comments10.xml"/><Relationship Id="rId5" Type="http://schemas.openxmlformats.org/officeDocument/2006/relationships/table" Target="../tables/table1.xml"/><Relationship Id="rId4"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16"/>
  <sheetViews>
    <sheetView zoomScale="10" zoomScaleNormal="10" workbookViewId="0">
      <pane xSplit="5" ySplit="3" topLeftCell="F4" activePane="bottomRight" state="frozen"/>
      <selection pane="topRight" activeCell="G1" sqref="G1"/>
      <selection pane="bottomLeft" activeCell="A4" sqref="A4"/>
      <selection pane="bottomRight" activeCell="BB107" sqref="A107:BB1082"/>
    </sheetView>
  </sheetViews>
  <sheetFormatPr defaultRowHeight="15" x14ac:dyDescent="0.25"/>
  <cols>
    <col min="1" max="1" width="44.42578125" style="4" customWidth="1"/>
    <col min="2" max="2" width="10.85546875" style="4" customWidth="1"/>
    <col min="3" max="4" width="11" style="4" bestFit="1" customWidth="1"/>
    <col min="5" max="5" width="10.85546875" style="4" bestFit="1" customWidth="1"/>
    <col min="6" max="6" width="10.28515625" style="5" customWidth="1"/>
    <col min="7" max="9" width="10.85546875" style="4" customWidth="1"/>
    <col min="10" max="10" width="11" style="4" bestFit="1" customWidth="1"/>
    <col min="11" max="11" width="10.28515625" style="5" customWidth="1"/>
    <col min="12" max="15" width="11" style="4" bestFit="1" customWidth="1"/>
    <col min="16" max="16" width="10.42578125" style="5" bestFit="1" customWidth="1"/>
    <col min="17" max="17" width="11.140625" style="4" customWidth="1"/>
    <col min="18" max="20" width="12.7109375" style="66" customWidth="1"/>
    <col min="21" max="21" width="12.140625" style="69" bestFit="1" customWidth="1"/>
    <col min="22" max="25" width="12.7109375" style="66" bestFit="1" customWidth="1"/>
    <col min="26" max="26" width="12.140625" style="69" bestFit="1" customWidth="1"/>
    <col min="27" max="27" width="11.140625" style="66" bestFit="1" customWidth="1"/>
    <col min="28" max="30" width="12.7109375" style="66" bestFit="1" customWidth="1"/>
    <col min="31" max="31" width="12.140625" style="69" bestFit="1" customWidth="1"/>
    <col min="32" max="32" width="10.85546875" style="66" customWidth="1"/>
    <col min="33" max="34" width="12.7109375" style="66" customWidth="1"/>
    <col min="35" max="35" width="12.140625" style="66" customWidth="1"/>
    <col min="36" max="36" width="12.140625" style="69" bestFit="1" customWidth="1"/>
    <col min="37" max="37" width="10.85546875" style="66" customWidth="1"/>
    <col min="38" max="40" width="12.7109375" style="66" customWidth="1"/>
    <col min="41" max="41" width="12.140625" style="69" bestFit="1" customWidth="1"/>
    <col min="42" max="42" width="11.140625" style="66" customWidth="1"/>
    <col min="43" max="45" width="12.7109375" style="66" customWidth="1"/>
    <col min="46" max="46" width="12.140625" style="66" customWidth="1"/>
    <col min="47" max="16384" width="9.140625" style="4"/>
  </cols>
  <sheetData>
    <row r="1" spans="1:55" ht="19.5" thickBot="1" x14ac:dyDescent="0.35">
      <c r="A1" s="14"/>
      <c r="B1" s="472" t="s">
        <v>50</v>
      </c>
      <c r="C1" s="472" t="s">
        <v>58</v>
      </c>
      <c r="D1" s="472" t="s">
        <v>57</v>
      </c>
      <c r="E1" s="472" t="s">
        <v>180</v>
      </c>
      <c r="F1" s="473" t="s">
        <v>56</v>
      </c>
      <c r="G1" s="472" t="s">
        <v>51</v>
      </c>
      <c r="H1" s="472" t="s">
        <v>54</v>
      </c>
      <c r="I1" s="472" t="s">
        <v>59</v>
      </c>
      <c r="J1" s="472" t="s">
        <v>60</v>
      </c>
      <c r="K1" s="473" t="s">
        <v>61</v>
      </c>
      <c r="L1" s="472" t="s">
        <v>52</v>
      </c>
      <c r="M1" s="472" t="s">
        <v>62</v>
      </c>
      <c r="N1" s="472" t="s">
        <v>55</v>
      </c>
      <c r="O1" s="472" t="s">
        <v>63</v>
      </c>
      <c r="P1" s="473" t="s">
        <v>64</v>
      </c>
      <c r="Q1" s="410" t="s">
        <v>53</v>
      </c>
      <c r="R1" s="411" t="s">
        <v>170</v>
      </c>
      <c r="S1" s="79" t="s">
        <v>171</v>
      </c>
      <c r="T1" s="79" t="s">
        <v>172</v>
      </c>
      <c r="U1" s="80" t="s">
        <v>173</v>
      </c>
      <c r="V1" s="280" t="s">
        <v>218</v>
      </c>
      <c r="W1" s="281" t="s">
        <v>209</v>
      </c>
      <c r="X1" s="281" t="s">
        <v>210</v>
      </c>
      <c r="Y1" s="282" t="s">
        <v>211</v>
      </c>
      <c r="Z1" s="80" t="s">
        <v>212</v>
      </c>
      <c r="AA1" s="79" t="s">
        <v>213</v>
      </c>
      <c r="AB1" s="79" t="s">
        <v>214</v>
      </c>
      <c r="AC1" s="79" t="s">
        <v>215</v>
      </c>
      <c r="AD1" s="79" t="s">
        <v>216</v>
      </c>
      <c r="AE1" s="80" t="s">
        <v>217</v>
      </c>
      <c r="AF1" s="79" t="s">
        <v>219</v>
      </c>
      <c r="AG1" s="79" t="s">
        <v>220</v>
      </c>
      <c r="AH1" s="79" t="s">
        <v>221</v>
      </c>
      <c r="AI1" s="79" t="s">
        <v>222</v>
      </c>
      <c r="AJ1" s="80" t="s">
        <v>223</v>
      </c>
      <c r="AK1" s="79" t="s">
        <v>224</v>
      </c>
      <c r="AL1" s="79" t="s">
        <v>225</v>
      </c>
      <c r="AM1" s="79" t="s">
        <v>226</v>
      </c>
      <c r="AN1" s="79" t="s">
        <v>227</v>
      </c>
      <c r="AO1" s="80" t="s">
        <v>228</v>
      </c>
      <c r="AP1" s="79" t="s">
        <v>229</v>
      </c>
      <c r="AQ1" s="79" t="s">
        <v>230</v>
      </c>
      <c r="AR1" s="79" t="s">
        <v>231</v>
      </c>
      <c r="AS1" s="79" t="s">
        <v>232</v>
      </c>
      <c r="AT1" s="80" t="s">
        <v>233</v>
      </c>
    </row>
    <row r="2" spans="1:55" s="278" customFormat="1" ht="19.5" thickBot="1" x14ac:dyDescent="0.35">
      <c r="A2" s="283" t="s">
        <v>47</v>
      </c>
      <c r="B2" s="277">
        <f>B11+B23+B35+B47+B60+B72+B97+B85</f>
        <v>8618</v>
      </c>
      <c r="C2" s="277">
        <f>C11+C23+C35+C47+C60+C72+C97+C85</f>
        <v>8873</v>
      </c>
      <c r="D2" s="277">
        <f>D11+D23+D35+D47+D60+D72+D97+D85</f>
        <v>9303</v>
      </c>
      <c r="E2" s="277">
        <f>E11+E23+E35+E47+E60+E72+E97+E85</f>
        <v>10038</v>
      </c>
      <c r="F2" s="46">
        <f>E2+B2+C2+D2</f>
        <v>36832</v>
      </c>
      <c r="G2" s="277">
        <f>G11+G23+G35+G47+G60+G72+G97+G85</f>
        <v>9320</v>
      </c>
      <c r="H2" s="277">
        <f>H11+H23+H35+H47+H60+H72+H97+H85</f>
        <v>9278</v>
      </c>
      <c r="I2" s="277">
        <f>I11+I23+I35+I47+I60+I72+I97+I85</f>
        <v>9216</v>
      </c>
      <c r="J2" s="277">
        <f>J11+J23+J35+J47+J60+J72+J97+J85</f>
        <v>10008</v>
      </c>
      <c r="K2" s="46">
        <f>K5+K85+K97</f>
        <v>37821</v>
      </c>
      <c r="L2" s="277">
        <f>L11+L23+L35+L47+L60+L72+L97+L85</f>
        <v>8839</v>
      </c>
      <c r="M2" s="277">
        <f>M11+M23+M35+M47+M60+M72+M97+M85</f>
        <v>8916</v>
      </c>
      <c r="N2" s="277">
        <f>N11+N23+N35+N47+N60+N72+N97+N85</f>
        <v>8922</v>
      </c>
      <c r="O2" s="277">
        <f>O11+O23+O35+O47+O60+O72+O97+O85</f>
        <v>9927</v>
      </c>
      <c r="P2" s="46">
        <f>O3</f>
        <v>36604</v>
      </c>
      <c r="Q2" s="277">
        <f>Q11+Q23+Q35+Q47+Q60+Q72+Q97+Q85</f>
        <v>9015</v>
      </c>
      <c r="R2" s="277">
        <f>R11+R23+R35+R47+R60+R72+R97+R85</f>
        <v>9038.9909666666681</v>
      </c>
      <c r="S2" s="284">
        <f>S11+S23+S35+S47+S60+S72+S97+S85</f>
        <v>9610.4865438888901</v>
      </c>
      <c r="T2" s="284">
        <f>T11+T23+T35+T47+T60+T72+T97+T85</f>
        <v>10187.079824347038</v>
      </c>
      <c r="U2" s="65">
        <f>T3</f>
        <v>37851.557334902594</v>
      </c>
      <c r="V2" s="284">
        <f>V11+V23+V35+V47+V60+V72+V97+V85</f>
        <v>9166.0801666666666</v>
      </c>
      <c r="W2" s="284">
        <f>W11+W23+W35+W47+W60+W72+W97+W85</f>
        <v>9198.5808068351853</v>
      </c>
      <c r="X2" s="284">
        <f t="shared" ref="X2" si="0">X11+X23+X35+X47+X60+X72+X97+X85</f>
        <v>9797.7583289678387</v>
      </c>
      <c r="Y2" s="284">
        <f>Y11+Y23+Y35+Y47+Y60+Y72+Y97+Y85</f>
        <v>10438.523688237154</v>
      </c>
      <c r="Z2" s="65">
        <f>Y3</f>
        <v>38600.942990706841</v>
      </c>
      <c r="AA2" s="284">
        <f>AA11+AA23+AA35+AA47+AA60+AA72+AA97+AA85</f>
        <v>9351.2369518148153</v>
      </c>
      <c r="AB2" s="284">
        <f>AB11+AB23+AB35+AB47+AB60+AB72+AB97+AB85</f>
        <v>9350.7501228259971</v>
      </c>
      <c r="AC2" s="284">
        <f t="shared" ref="AC2" si="1">AC11+AC23+AC35+AC47+AC60+AC72+AC97+AC85</f>
        <v>9977.2555777114758</v>
      </c>
      <c r="AD2" s="284">
        <f>AD11+AD23+AD35+AD47+AD60+AD72+AD97+AD85</f>
        <v>10710.306438105599</v>
      </c>
      <c r="AE2" s="65">
        <f>AD3</f>
        <v>39389.549090457891</v>
      </c>
      <c r="AF2" s="284">
        <f>AF11+AF23+AF35+AF47+AF60+AF72+AF97+AF85</f>
        <v>9511.7236766684091</v>
      </c>
      <c r="AG2" s="284">
        <f>AG11+AG23+AG35+AG47+AG60+AG72+AG97+AG85</f>
        <v>9488.6100760338522</v>
      </c>
      <c r="AH2" s="284">
        <f t="shared" ref="AH2:AI2" si="2">AH11+AH23+AH35+AH47+AH60+AH72+AH97+AH85</f>
        <v>10185.581648945368</v>
      </c>
      <c r="AI2" s="284">
        <f t="shared" si="2"/>
        <v>10943.22075873995</v>
      </c>
      <c r="AJ2" s="65">
        <f>AI3</f>
        <v>40129.136160387578</v>
      </c>
      <c r="AK2" s="284">
        <f>AK11+AK23+AK35+AK47+AK60+AK72+AK97+AK85</f>
        <v>9628.2260525475449</v>
      </c>
      <c r="AL2" s="284">
        <f>AL11+AL23+AL35+AL47+AL60+AL72+AL97+AL85</f>
        <v>9584.5739178095955</v>
      </c>
      <c r="AM2" s="284">
        <f t="shared" ref="AM2:AN2" si="3">AM11+AM23+AM35+AM47+AM60+AM72+AM97+AM85</f>
        <v>10307.810270221455</v>
      </c>
      <c r="AN2" s="284">
        <f t="shared" si="3"/>
        <v>11140.286743364908</v>
      </c>
      <c r="AO2" s="65">
        <f>AN3</f>
        <v>40660.896983943501</v>
      </c>
      <c r="AP2" s="284">
        <f>AP11+AP23+AP35+AP47+AP60+AP72+AP97+AP85</f>
        <v>9966.4797162099676</v>
      </c>
      <c r="AQ2" s="284">
        <f>AQ11+AQ23+AQ35+AQ47+AQ60+AQ72+AQ97+AQ85</f>
        <v>9893.8080233682267</v>
      </c>
      <c r="AR2" s="284">
        <f t="shared" ref="AR2:AS2" si="4">AR11+AR23+AR35+AR47+AR60+AR72+AR97+AR85</f>
        <v>10659.397775189354</v>
      </c>
      <c r="AS2" s="284">
        <f t="shared" si="4"/>
        <v>11589.127323960814</v>
      </c>
      <c r="AT2" s="65">
        <f>AS3</f>
        <v>42108.812838728365</v>
      </c>
    </row>
    <row r="3" spans="1:55" x14ac:dyDescent="0.25">
      <c r="A3" s="14"/>
      <c r="B3" s="14"/>
      <c r="C3" s="14"/>
      <c r="D3" s="14"/>
      <c r="E3" s="30">
        <f>SUM(B2:E2)</f>
        <v>36832</v>
      </c>
      <c r="F3" s="8"/>
      <c r="G3" s="14"/>
      <c r="H3" s="14"/>
      <c r="I3" s="14"/>
      <c r="J3" s="30">
        <f>SUM(G2:J2)</f>
        <v>37822</v>
      </c>
      <c r="K3" s="8"/>
      <c r="L3" s="14"/>
      <c r="M3" s="14"/>
      <c r="N3" s="14"/>
      <c r="O3" s="30">
        <f>SUM(L2:O2)</f>
        <v>36604</v>
      </c>
      <c r="P3" s="7"/>
      <c r="Q3" s="14"/>
      <c r="R3" s="14"/>
      <c r="T3" s="67">
        <f>SUM(Q2:T2)</f>
        <v>37851.557334902594</v>
      </c>
      <c r="U3" s="68"/>
      <c r="Y3" s="67">
        <f>SUM(V2:Y2)</f>
        <v>38600.942990706841</v>
      </c>
      <c r="Z3" s="459"/>
      <c r="AD3" s="67">
        <f>SUM(AA2:AD2)</f>
        <v>39389.549090457891</v>
      </c>
      <c r="AE3" s="459"/>
      <c r="AI3" s="67">
        <f>SUM(AF2:AI2)</f>
        <v>40129.136160387578</v>
      </c>
      <c r="AJ3" s="459"/>
      <c r="AN3" s="67">
        <f>SUM(AK2:AN2)</f>
        <v>40660.896983943501</v>
      </c>
      <c r="AO3" s="459"/>
      <c r="AS3" s="67">
        <f>SUM(AP2:AS2)</f>
        <v>42108.812838728365</v>
      </c>
      <c r="AT3" s="459">
        <f>AT2/AO2-1</f>
        <v>3.5609540422992358E-2</v>
      </c>
    </row>
    <row r="4" spans="1:55" ht="15.75" thickBot="1" x14ac:dyDescent="0.3">
      <c r="A4" s="14" t="s">
        <v>244</v>
      </c>
      <c r="B4" s="14"/>
      <c r="C4" s="14"/>
      <c r="D4" s="14"/>
      <c r="E4" s="30" t="s">
        <v>49</v>
      </c>
      <c r="F4" s="377" t="s">
        <v>49</v>
      </c>
      <c r="G4" s="377">
        <f t="shared" ref="G4:O4" si="5">G2/B2-1</f>
        <v>8.145741471339063E-2</v>
      </c>
      <c r="H4" s="377">
        <f t="shared" si="5"/>
        <v>4.5644088808745709E-2</v>
      </c>
      <c r="I4" s="377">
        <f t="shared" si="5"/>
        <v>-9.351821992905518E-3</v>
      </c>
      <c r="J4" s="377">
        <f t="shared" si="5"/>
        <v>-2.9886431560072202E-3</v>
      </c>
      <c r="K4" s="377">
        <f>K2/F2-1</f>
        <v>2.6851650738488164E-2</v>
      </c>
      <c r="L4" s="377">
        <f t="shared" si="5"/>
        <v>-5.1609442060085886E-2</v>
      </c>
      <c r="M4" s="377">
        <f t="shared" si="5"/>
        <v>-3.9017029532226744E-2</v>
      </c>
      <c r="N4" s="377">
        <f t="shared" si="5"/>
        <v>-3.190104166666663E-2</v>
      </c>
      <c r="O4" s="377">
        <f t="shared" si="5"/>
        <v>-8.0935251798560648E-3</v>
      </c>
      <c r="P4" s="377">
        <f>P2/K2-1</f>
        <v>-3.2177890589883962E-2</v>
      </c>
      <c r="Q4" s="377">
        <f t="shared" ref="Q4:AS4" si="6">Q2/L2-1</f>
        <v>1.9911754723384911E-2</v>
      </c>
      <c r="R4" s="377">
        <f t="shared" si="6"/>
        <v>1.3794410797069112E-2</v>
      </c>
      <c r="S4" s="68">
        <f t="shared" si="6"/>
        <v>7.7167288039552862E-2</v>
      </c>
      <c r="T4" s="68">
        <f t="shared" si="6"/>
        <v>2.6199236863809539E-2</v>
      </c>
      <c r="U4" s="68">
        <f t="shared" si="6"/>
        <v>3.408254111306408E-2</v>
      </c>
      <c r="V4" s="68">
        <f t="shared" ref="V4" si="7">V2/Q2-1</f>
        <v>1.6758753928637349E-2</v>
      </c>
      <c r="W4" s="68">
        <f t="shared" ref="W4" si="8">W2/R2-1</f>
        <v>1.7655714089884755E-2</v>
      </c>
      <c r="X4" s="68">
        <f t="shared" ref="X4" si="9">X2/S2-1</f>
        <v>1.9486191903367311E-2</v>
      </c>
      <c r="Y4" s="68">
        <f t="shared" ref="Y4" si="10">Y2/T2-1</f>
        <v>2.4682624287400534E-2</v>
      </c>
      <c r="Z4" s="68">
        <f t="shared" si="6"/>
        <v>1.9798013835305106E-2</v>
      </c>
      <c r="AA4" s="68">
        <f>AA2/V2-1</f>
        <v>2.0200214462610555E-2</v>
      </c>
      <c r="AB4" s="68">
        <f>AB2/W2-1</f>
        <v>1.654269492069238E-2</v>
      </c>
      <c r="AC4" s="68">
        <f>AC2/X2-1</f>
        <v>1.8320236396619283E-2</v>
      </c>
      <c r="AD4" s="68">
        <f>AD2/Y2-1</f>
        <v>2.6036512248825749E-2</v>
      </c>
      <c r="AE4" s="68">
        <f>AE2/Z2-1</f>
        <v>2.0429710744136687E-2</v>
      </c>
      <c r="AF4" s="68">
        <f t="shared" si="6"/>
        <v>1.7162085153071382E-2</v>
      </c>
      <c r="AG4" s="68">
        <f t="shared" si="6"/>
        <v>1.4743197219154291E-2</v>
      </c>
      <c r="AH4" s="68">
        <f t="shared" si="6"/>
        <v>2.0880097699339295E-2</v>
      </c>
      <c r="AI4" s="68">
        <f t="shared" si="6"/>
        <v>2.17467466482264E-2</v>
      </c>
      <c r="AJ4" s="68">
        <f t="shared" si="6"/>
        <v>1.8776225851969697E-2</v>
      </c>
      <c r="AK4" s="68">
        <f t="shared" si="6"/>
        <v>1.2248292721634524E-2</v>
      </c>
      <c r="AL4" s="68">
        <f t="shared" si="6"/>
        <v>1.011358260132611E-2</v>
      </c>
      <c r="AM4" s="68">
        <f t="shared" si="6"/>
        <v>1.2000161158076006E-2</v>
      </c>
      <c r="AN4" s="68">
        <f t="shared" si="6"/>
        <v>1.8008042510480271E-2</v>
      </c>
      <c r="AO4" s="68">
        <f t="shared" si="6"/>
        <v>1.3251240231800354E-2</v>
      </c>
      <c r="AP4" s="68">
        <f t="shared" si="6"/>
        <v>3.5131462620045628E-2</v>
      </c>
      <c r="AQ4" s="68">
        <f t="shared" si="6"/>
        <v>3.2263730053145867E-2</v>
      </c>
      <c r="AR4" s="68">
        <f t="shared" si="6"/>
        <v>3.4108845210666372E-2</v>
      </c>
      <c r="AS4" s="68">
        <f t="shared" si="6"/>
        <v>4.0289858864111627E-2</v>
      </c>
      <c r="AT4" s="68">
        <f>AT2/AO2-1</f>
        <v>3.5609540422992358E-2</v>
      </c>
    </row>
    <row r="5" spans="1:55" s="278" customFormat="1" ht="16.5" thickBot="1" x14ac:dyDescent="0.3">
      <c r="A5" s="275" t="s">
        <v>48</v>
      </c>
      <c r="B5" s="277"/>
      <c r="C5" s="277"/>
      <c r="D5" s="277"/>
      <c r="E5" s="46"/>
      <c r="F5" s="276">
        <f>F11+F23+F35+F47+F60+F72</f>
        <v>18939</v>
      </c>
      <c r="G5" s="277"/>
      <c r="H5" s="277"/>
      <c r="I5" s="277"/>
      <c r="J5" s="46"/>
      <c r="K5" s="276">
        <f>K11+K23+K35+K47+K60+K72</f>
        <v>18903</v>
      </c>
      <c r="L5" s="277"/>
      <c r="M5" s="277"/>
      <c r="N5" s="277"/>
      <c r="O5" s="46">
        <v>19062</v>
      </c>
      <c r="P5" s="276">
        <f>P11+P23+P35+P47+P60+P72</f>
        <v>18999</v>
      </c>
      <c r="Q5" s="276"/>
      <c r="R5" s="409">
        <f>R11+R23+R35+R47+R60+R72</f>
        <v>4641.2253000000001</v>
      </c>
      <c r="S5" s="296"/>
      <c r="T5" s="296"/>
      <c r="U5" s="279">
        <f>U11+U23+U35+U47+U60+U72</f>
        <v>18943.011166666667</v>
      </c>
      <c r="V5" s="279">
        <f t="shared" ref="V5:Y5" si="11">V11+V23+V35+V47+V60+V72</f>
        <v>4411.7946666666667</v>
      </c>
      <c r="W5" s="279">
        <f t="shared" si="11"/>
        <v>4662.2704693537034</v>
      </c>
      <c r="X5" s="279">
        <f t="shared" si="11"/>
        <v>4931.4372802962953</v>
      </c>
      <c r="Y5" s="279">
        <f t="shared" si="11"/>
        <v>5054.4056037651844</v>
      </c>
      <c r="Z5" s="279">
        <f>Z11+Z23+Z35+Z47+Z60+Z72</f>
        <v>19059.90802008185</v>
      </c>
      <c r="AA5" s="279">
        <f t="shared" ref="AA5:AT5" si="12">AA11+AA23+AA35+AA47+AA60+AA72</f>
        <v>4425.3616669259263</v>
      </c>
      <c r="AB5" s="279">
        <f t="shared" si="12"/>
        <v>4665.4040647274669</v>
      </c>
      <c r="AC5" s="279">
        <f t="shared" si="12"/>
        <v>4946.2441487913284</v>
      </c>
      <c r="AD5" s="279">
        <f t="shared" si="12"/>
        <v>5107.402614517744</v>
      </c>
      <c r="AE5" s="279">
        <f t="shared" si="12"/>
        <v>19144.412494962464</v>
      </c>
      <c r="AF5" s="279">
        <f t="shared" si="12"/>
        <v>4418.91497541627</v>
      </c>
      <c r="AG5" s="279">
        <f t="shared" si="12"/>
        <v>4661.9271137101869</v>
      </c>
      <c r="AH5" s="279">
        <f t="shared" si="12"/>
        <v>4947.6963830356199</v>
      </c>
      <c r="AI5" s="279">
        <f t="shared" si="12"/>
        <v>5143.0514277798993</v>
      </c>
      <c r="AJ5" s="279">
        <f t="shared" si="12"/>
        <v>19171.589899941977</v>
      </c>
      <c r="AK5" s="279">
        <f t="shared" si="12"/>
        <v>4403.7323490146719</v>
      </c>
      <c r="AL5" s="279">
        <f t="shared" si="12"/>
        <v>4645.1298807283174</v>
      </c>
      <c r="AM5" s="279">
        <f t="shared" si="12"/>
        <v>4937.5192222352644</v>
      </c>
      <c r="AN5" s="279">
        <f t="shared" si="12"/>
        <v>5166.9272795135112</v>
      </c>
      <c r="AO5" s="279">
        <f>AO11+AO23+AO35+AO47+AO60+AO72</f>
        <v>19153.308731491761</v>
      </c>
      <c r="AP5" s="279">
        <f t="shared" si="12"/>
        <v>4430.1023938719618</v>
      </c>
      <c r="AQ5" s="279">
        <f t="shared" si="12"/>
        <v>4670.3887851570535</v>
      </c>
      <c r="AR5" s="279">
        <f t="shared" si="12"/>
        <v>4972.335451213703</v>
      </c>
      <c r="AS5" s="279">
        <f t="shared" si="12"/>
        <v>5238.7460850055531</v>
      </c>
      <c r="AT5" s="279">
        <f t="shared" si="12"/>
        <v>19311.572715248272</v>
      </c>
    </row>
    <row r="6" spans="1:55" x14ac:dyDescent="0.25">
      <c r="A6" s="17" t="s">
        <v>7</v>
      </c>
      <c r="B6" s="21"/>
      <c r="C6" s="21"/>
      <c r="D6" s="21"/>
      <c r="E6" s="21"/>
      <c r="F6" s="471">
        <v>3.0000000000000001E-3</v>
      </c>
      <c r="G6" s="21"/>
      <c r="H6" s="21"/>
      <c r="I6" s="21"/>
      <c r="J6" s="21"/>
      <c r="K6" s="471">
        <v>-2E-3</v>
      </c>
      <c r="L6" s="21"/>
      <c r="M6" s="21"/>
      <c r="N6" s="21"/>
      <c r="O6" s="21"/>
      <c r="P6" s="471">
        <v>1.4E-2</v>
      </c>
      <c r="Q6" s="14"/>
      <c r="R6" s="14"/>
      <c r="AT6" s="69"/>
    </row>
    <row r="7" spans="1:55" x14ac:dyDescent="0.25">
      <c r="A7" s="17" t="s">
        <v>8</v>
      </c>
      <c r="B7" s="21"/>
      <c r="C7" s="21"/>
      <c r="D7" s="21"/>
      <c r="E7" s="21"/>
      <c r="F7" s="471">
        <v>8.0000000000000002E-3</v>
      </c>
      <c r="G7" s="21"/>
      <c r="H7" s="21"/>
      <c r="I7" s="21"/>
      <c r="J7" s="21"/>
      <c r="K7" s="471">
        <v>1E-3</v>
      </c>
      <c r="L7" s="21"/>
      <c r="M7" s="21"/>
      <c r="N7" s="21"/>
      <c r="O7" s="21"/>
      <c r="P7" s="471">
        <v>1.2E-2</v>
      </c>
      <c r="Q7" s="14"/>
      <c r="R7" s="14"/>
      <c r="AT7" s="69"/>
    </row>
    <row r="8" spans="1:55" x14ac:dyDescent="0.25">
      <c r="A8" s="17" t="s">
        <v>11</v>
      </c>
      <c r="B8" s="21"/>
      <c r="C8" s="21"/>
      <c r="D8" s="21"/>
      <c r="E8" s="21"/>
      <c r="F8" s="471">
        <v>3.0000000000000001E-3</v>
      </c>
      <c r="G8" s="21"/>
      <c r="H8" s="21"/>
      <c r="I8" s="21"/>
      <c r="J8" s="21"/>
      <c r="K8" s="471">
        <v>8.0000000000000002E-3</v>
      </c>
      <c r="L8" s="21"/>
      <c r="M8" s="21"/>
      <c r="N8" s="21"/>
      <c r="O8" s="21"/>
      <c r="P8" s="471">
        <v>1.2999999999999999E-2</v>
      </c>
      <c r="Q8" s="14"/>
      <c r="R8" s="30"/>
      <c r="AT8" s="69"/>
    </row>
    <row r="9" spans="1:55" x14ac:dyDescent="0.25">
      <c r="A9" s="17"/>
      <c r="B9" s="17"/>
      <c r="C9" s="17"/>
      <c r="D9" s="17"/>
      <c r="E9" s="17"/>
      <c r="F9" s="471"/>
      <c r="G9" s="17"/>
      <c r="H9" s="17"/>
      <c r="I9" s="17"/>
      <c r="J9" s="17"/>
      <c r="K9" s="101"/>
      <c r="L9" s="17"/>
      <c r="M9" s="17"/>
      <c r="N9" s="17"/>
      <c r="O9" s="17"/>
      <c r="P9" s="101"/>
      <c r="Q9" s="14"/>
      <c r="R9" s="30"/>
      <c r="AT9" s="69"/>
    </row>
    <row r="10" spans="1:55" s="1" customFormat="1" ht="15.75" x14ac:dyDescent="0.25">
      <c r="A10" s="48" t="s">
        <v>2</v>
      </c>
      <c r="B10" s="49"/>
      <c r="C10" s="49"/>
      <c r="D10" s="49"/>
      <c r="E10" s="49"/>
      <c r="F10" s="50"/>
      <c r="G10" s="49"/>
      <c r="H10" s="49"/>
      <c r="I10" s="49"/>
      <c r="J10" s="51"/>
      <c r="K10" s="50"/>
      <c r="L10" s="49"/>
      <c r="M10" s="49"/>
      <c r="N10" s="49"/>
      <c r="O10" s="49"/>
      <c r="P10" s="50"/>
      <c r="Q10" s="412"/>
      <c r="R10" s="12"/>
      <c r="S10" s="70"/>
      <c r="T10" s="70"/>
      <c r="U10" s="71"/>
      <c r="V10" s="70"/>
      <c r="W10" s="70"/>
      <c r="X10" s="70"/>
      <c r="Y10" s="70"/>
      <c r="Z10" s="71"/>
      <c r="AA10" s="70"/>
      <c r="AB10" s="70"/>
      <c r="AC10" s="70"/>
      <c r="AD10" s="70"/>
      <c r="AE10" s="71"/>
      <c r="AF10" s="70"/>
      <c r="AG10" s="70"/>
      <c r="AH10" s="70"/>
      <c r="AI10" s="70"/>
      <c r="AJ10" s="71"/>
      <c r="AK10" s="70"/>
      <c r="AL10" s="70"/>
      <c r="AM10" s="70"/>
      <c r="AN10" s="70"/>
      <c r="AO10" s="71"/>
      <c r="AP10" s="70"/>
      <c r="AQ10" s="70"/>
      <c r="AR10" s="70"/>
      <c r="AS10" s="70"/>
      <c r="AT10" s="71"/>
    </row>
    <row r="11" spans="1:55" x14ac:dyDescent="0.25">
      <c r="A11" s="17" t="s">
        <v>0</v>
      </c>
      <c r="B11" s="40">
        <v>1050</v>
      </c>
      <c r="C11" s="40">
        <v>1055</v>
      </c>
      <c r="D11" s="40">
        <v>971</v>
      </c>
      <c r="E11" s="40">
        <v>1154</v>
      </c>
      <c r="F11" s="32">
        <f>SUM(B11:E11)</f>
        <v>4230</v>
      </c>
      <c r="G11" s="40">
        <v>1066</v>
      </c>
      <c r="H11" s="40">
        <v>1083</v>
      </c>
      <c r="I11" s="40">
        <v>1007</v>
      </c>
      <c r="J11" s="40">
        <v>1161</v>
      </c>
      <c r="K11" s="32">
        <f>SUM(G11:J11)</f>
        <v>4317</v>
      </c>
      <c r="L11" s="40">
        <v>1049</v>
      </c>
      <c r="M11" s="40">
        <v>1129</v>
      </c>
      <c r="N11" s="40">
        <v>1049</v>
      </c>
      <c r="O11" s="42">
        <v>1231</v>
      </c>
      <c r="P11" s="32">
        <f>SUM(L11:O11)</f>
        <v>4458</v>
      </c>
      <c r="Q11" s="413">
        <v>1119</v>
      </c>
      <c r="R11" s="30">
        <f>M11*(1+R13)</f>
        <v>1143.2257999999999</v>
      </c>
      <c r="S11" s="67">
        <f t="shared" ref="S11" si="13">N11*(1+S13)</f>
        <v>1090.6103333333333</v>
      </c>
      <c r="T11" s="67">
        <f>O11*(1+T13)</f>
        <v>1269.1609999999998</v>
      </c>
      <c r="U11" s="274">
        <f>SUM(Q11:T11)</f>
        <v>4621.9971333333333</v>
      </c>
      <c r="V11" s="67">
        <f>Q11*(1+V13)</f>
        <v>1150.3320000000001</v>
      </c>
      <c r="W11" s="67">
        <f>R11*(1+W13)</f>
        <v>1179.682000511111</v>
      </c>
      <c r="X11" s="67">
        <f t="shared" ref="X11" si="14">S11*(1+X13)</f>
        <v>1127.2063689629629</v>
      </c>
      <c r="Y11" s="67">
        <f t="shared" ref="Y11" si="15">T11*(1+Y13)</f>
        <v>1314.4277423333333</v>
      </c>
      <c r="Z11" s="274">
        <f>SUM(V11:Y11)</f>
        <v>4771.6481118074071</v>
      </c>
      <c r="AA11" s="67">
        <f>V11*(1+AA13)</f>
        <v>1185.6088480000001</v>
      </c>
      <c r="AB11" s="67">
        <f>W11*(1+AB13)</f>
        <v>1216.0773748231761</v>
      </c>
      <c r="AC11" s="67">
        <f t="shared" ref="AC11" si="16">X11*(1+AC13)</f>
        <v>1164.1119404504909</v>
      </c>
      <c r="AD11" s="67">
        <f t="shared" ref="AD11" si="17">Y11*(1+AD13)</f>
        <v>1364.6680915958518</v>
      </c>
      <c r="AE11" s="274">
        <f>SUM(AA11:AD11)</f>
        <v>4930.4662548695196</v>
      </c>
      <c r="AF11" s="67">
        <f>AA11*(1+AF13)</f>
        <v>1221.8357850222221</v>
      </c>
      <c r="AG11" s="67">
        <f>AB11*(1+AG13)</f>
        <v>1255.156997127679</v>
      </c>
      <c r="AH11" s="67">
        <f t="shared" ref="AH11" si="18">AC11*(1+AH13)</f>
        <v>1203.2893373599729</v>
      </c>
      <c r="AI11" s="67">
        <f t="shared" ref="AI11" si="19">AD11*(1+AI13)</f>
        <v>1414.6553783583813</v>
      </c>
      <c r="AJ11" s="274">
        <f>SUM(AF11:AI11)</f>
        <v>5094.9374978682554</v>
      </c>
      <c r="AK11" s="67">
        <f>AF11*(1+AK13)</f>
        <v>1245.9557284821053</v>
      </c>
      <c r="AL11" s="67">
        <f>AG11*(1+AL13)</f>
        <v>1282.3004128474565</v>
      </c>
      <c r="AM11" s="67">
        <f t="shared" ref="AM11" si="20">AH11*(1+AM13)</f>
        <v>1231.3462813331482</v>
      </c>
      <c r="AN11" s="67">
        <f t="shared" ref="AN11" si="21">AI11*(1+AN13)</f>
        <v>1452.6240301182715</v>
      </c>
      <c r="AO11" s="274">
        <f>SUM(AK11:AN11)</f>
        <v>5212.2264527809812</v>
      </c>
      <c r="AP11" s="67">
        <f>AK11*(1+AP13)</f>
        <v>1283.7343367432416</v>
      </c>
      <c r="AQ11" s="67">
        <f>AL11*(1+AQ13)</f>
        <v>1322.7412479527732</v>
      </c>
      <c r="AR11" s="67">
        <f t="shared" ref="AR11" si="22">AM11*(1+AR13)</f>
        <v>1272.2729211091457</v>
      </c>
      <c r="AS11" s="67">
        <f t="shared" ref="AS11" si="23">AN11*(1+AS13)</f>
        <v>1506.7058803260084</v>
      </c>
      <c r="AT11" s="274">
        <f>SUM(AP11:AS11)</f>
        <v>5385.4543861311686</v>
      </c>
    </row>
    <row r="12" spans="1:55" s="38" customFormat="1" hidden="1" x14ac:dyDescent="0.25">
      <c r="A12" s="38" t="s">
        <v>15</v>
      </c>
      <c r="B12" s="42" t="s">
        <v>49</v>
      </c>
      <c r="C12" s="42" t="s">
        <v>49</v>
      </c>
      <c r="D12" s="42" t="s">
        <v>49</v>
      </c>
      <c r="E12" s="42" t="s">
        <v>49</v>
      </c>
      <c r="F12" s="35"/>
      <c r="G12" s="42">
        <f t="shared" ref="G12:P12" si="24">B11*(1+G13)</f>
        <v>1066.8</v>
      </c>
      <c r="H12" s="42">
        <f t="shared" si="24"/>
        <v>1082.43</v>
      </c>
      <c r="I12" s="42">
        <f>D11*(1+I13)</f>
        <v>1006.9269999999999</v>
      </c>
      <c r="J12" s="42">
        <f>E11*(1+J13)</f>
        <v>1160.924</v>
      </c>
      <c r="K12" s="35">
        <f>F11*(1+K13)</f>
        <v>4230</v>
      </c>
      <c r="L12" s="42">
        <f>G11*(1+L13)</f>
        <v>1094.7819999999999</v>
      </c>
      <c r="M12" s="42">
        <f>H11*(1+M13)</f>
        <v>1114.4069999999999</v>
      </c>
      <c r="N12" s="42">
        <f t="shared" si="24"/>
        <v>1040.231</v>
      </c>
      <c r="O12" s="42">
        <f t="shared" si="24"/>
        <v>1219.05</v>
      </c>
      <c r="P12" s="35">
        <f t="shared" si="24"/>
        <v>4317</v>
      </c>
      <c r="Q12" s="414">
        <f>L11*(1+Q13)</f>
        <v>1057.3920000000001</v>
      </c>
      <c r="R12" s="30"/>
      <c r="S12" s="67"/>
      <c r="T12" s="67"/>
      <c r="U12" s="72"/>
      <c r="V12" s="67"/>
      <c r="W12" s="67"/>
      <c r="X12" s="67"/>
      <c r="Y12" s="67"/>
      <c r="Z12" s="69"/>
      <c r="AA12" s="67"/>
      <c r="AB12" s="67"/>
      <c r="AC12" s="67"/>
      <c r="AD12" s="67"/>
      <c r="AE12" s="69"/>
      <c r="AF12" s="67"/>
      <c r="AG12" s="67"/>
      <c r="AH12" s="67"/>
      <c r="AI12" s="67"/>
      <c r="AJ12" s="69"/>
      <c r="AK12" s="67"/>
      <c r="AL12" s="67"/>
      <c r="AM12" s="67"/>
      <c r="AN12" s="67"/>
      <c r="AO12" s="69"/>
      <c r="AP12" s="67"/>
      <c r="AQ12" s="67"/>
      <c r="AR12" s="67"/>
      <c r="AS12" s="67"/>
      <c r="AT12" s="69"/>
    </row>
    <row r="13" spans="1:55" s="57" customFormat="1" x14ac:dyDescent="0.25">
      <c r="A13" s="57" t="s">
        <v>7</v>
      </c>
      <c r="B13" s="58">
        <f>B14+B20</f>
        <v>3.3000000000000002E-2</v>
      </c>
      <c r="C13" s="58">
        <f t="shared" ref="C13:E13" si="25">C14+C20</f>
        <v>2.4E-2</v>
      </c>
      <c r="D13" s="58">
        <f t="shared" si="25"/>
        <v>1.0999999999999999E-2</v>
      </c>
      <c r="E13" s="58">
        <f t="shared" si="25"/>
        <v>2.4E-2</v>
      </c>
      <c r="F13" s="59"/>
      <c r="G13" s="60">
        <f t="shared" ref="G13:Q13" si="26">G20+G14</f>
        <v>1.6E-2</v>
      </c>
      <c r="H13" s="60">
        <f t="shared" si="26"/>
        <v>2.5999999999999995E-2</v>
      </c>
      <c r="I13" s="60">
        <f t="shared" si="26"/>
        <v>3.6999999999999998E-2</v>
      </c>
      <c r="J13" s="60">
        <f t="shared" si="26"/>
        <v>5.9999999999999984E-3</v>
      </c>
      <c r="K13" s="61">
        <f t="shared" si="26"/>
        <v>0</v>
      </c>
      <c r="L13" s="60">
        <f t="shared" si="26"/>
        <v>2.7E-2</v>
      </c>
      <c r="M13" s="60">
        <f t="shared" si="26"/>
        <v>2.9000000000000001E-2</v>
      </c>
      <c r="N13" s="60">
        <f t="shared" si="26"/>
        <v>3.3000000000000002E-2</v>
      </c>
      <c r="O13" s="60">
        <f t="shared" si="26"/>
        <v>4.9999999999999996E-2</v>
      </c>
      <c r="P13" s="61"/>
      <c r="Q13" s="415">
        <f t="shared" si="26"/>
        <v>8.0000000000000002E-3</v>
      </c>
      <c r="R13" s="44">
        <f>R20+R14</f>
        <v>1.2600354295837026E-2</v>
      </c>
      <c r="S13" s="62">
        <f>S20+S14</f>
        <v>3.966666666666667E-2</v>
      </c>
      <c r="T13" s="62">
        <f>T20+T14</f>
        <v>3.1E-2</v>
      </c>
      <c r="U13" s="63"/>
      <c r="V13" s="62">
        <f>V20+V14</f>
        <v>2.8000000000000001E-2</v>
      </c>
      <c r="W13" s="62">
        <f>W20+W14</f>
        <v>3.1888888888888883E-2</v>
      </c>
      <c r="X13" s="62">
        <f t="shared" ref="X13:Y13" si="27">X20+X14</f>
        <v>3.3555555555555561E-2</v>
      </c>
      <c r="Y13" s="62">
        <f t="shared" si="27"/>
        <v>3.5666666666666666E-2</v>
      </c>
      <c r="Z13" s="64"/>
      <c r="AA13" s="62">
        <f>AA20+AA14</f>
        <v>3.0666666666666665E-2</v>
      </c>
      <c r="AB13" s="62">
        <f>AB20+AB14</f>
        <v>3.0851851851851853E-2</v>
      </c>
      <c r="AC13" s="62">
        <f t="shared" ref="AC13" si="28">AC20+AC14</f>
        <v>3.2740740740740737E-2</v>
      </c>
      <c r="AD13" s="62">
        <f t="shared" ref="AD13" si="29">AD20+AD14</f>
        <v>3.8222222222222227E-2</v>
      </c>
      <c r="AE13" s="64"/>
      <c r="AF13" s="62">
        <f>AF20+AF14</f>
        <v>3.0555555555555555E-2</v>
      </c>
      <c r="AG13" s="62">
        <f>AG20+AG14</f>
        <v>3.2135802469135805E-2</v>
      </c>
      <c r="AH13" s="62">
        <f t="shared" ref="AH13" si="30">AH20+AH14</f>
        <v>3.3654320987654321E-2</v>
      </c>
      <c r="AI13" s="62">
        <f t="shared" ref="AI13" si="31">AI20+AI14</f>
        <v>3.6629629629629637E-2</v>
      </c>
      <c r="AJ13" s="64"/>
      <c r="AK13" s="62">
        <f>AK20+AK14</f>
        <v>1.9740740740740739E-2</v>
      </c>
      <c r="AL13" s="62">
        <f>AL20+AL14</f>
        <v>2.1625514403292179E-2</v>
      </c>
      <c r="AM13" s="62">
        <f t="shared" ref="AM13" si="32">AM20+AM14</f>
        <v>2.331687242798354E-2</v>
      </c>
      <c r="AN13" s="62">
        <f t="shared" ref="AN13" si="33">AN20+AN14</f>
        <v>2.6839506172839506E-2</v>
      </c>
      <c r="AO13" s="64"/>
      <c r="AP13" s="62">
        <f>AP20+AP14</f>
        <v>3.0320987654320987E-2</v>
      </c>
      <c r="AQ13" s="62">
        <f>AQ20+AQ14</f>
        <v>3.1537722908093278E-2</v>
      </c>
      <c r="AR13" s="62">
        <f t="shared" ref="AR13" si="34">AR20+AR14</f>
        <v>3.3237311385459531E-2</v>
      </c>
      <c r="AS13" s="62">
        <f t="shared" ref="AS13" si="35">AS20+AS14</f>
        <v>3.7230452674897122E-2</v>
      </c>
      <c r="AT13" s="64"/>
    </row>
    <row r="14" spans="1:55" x14ac:dyDescent="0.25">
      <c r="A14" s="17" t="s">
        <v>14</v>
      </c>
      <c r="B14" s="36">
        <v>4.7E-2</v>
      </c>
      <c r="C14" s="36">
        <v>4.1000000000000002E-2</v>
      </c>
      <c r="D14" s="36">
        <v>3.1E-2</v>
      </c>
      <c r="E14" s="36">
        <v>1.8000000000000002E-2</v>
      </c>
      <c r="F14" s="32"/>
      <c r="G14" s="36">
        <v>0.01</v>
      </c>
      <c r="H14" s="39">
        <v>-0.01</v>
      </c>
      <c r="I14" s="39">
        <v>5.0000000000000001E-3</v>
      </c>
      <c r="J14" s="39">
        <v>1.7999999999999999E-2</v>
      </c>
      <c r="K14" s="33"/>
      <c r="L14" s="39">
        <v>1.9E-2</v>
      </c>
      <c r="M14" s="39">
        <v>2.3E-2</v>
      </c>
      <c r="N14" s="39">
        <v>2.4E-2</v>
      </c>
      <c r="O14" s="39">
        <v>2.7E-2</v>
      </c>
      <c r="P14" s="33"/>
      <c r="Q14" s="416">
        <v>0.01</v>
      </c>
      <c r="R14" s="44">
        <v>3.9336876291703599E-3</v>
      </c>
      <c r="S14" s="75">
        <v>0.03</v>
      </c>
      <c r="T14" s="75">
        <v>1.4999999999999999E-2</v>
      </c>
      <c r="U14" s="69" t="s">
        <v>259</v>
      </c>
      <c r="V14" s="75">
        <v>0.02</v>
      </c>
      <c r="W14" s="75">
        <v>0.02</v>
      </c>
      <c r="X14" s="75">
        <v>0.02</v>
      </c>
      <c r="Y14" s="75">
        <v>0.02</v>
      </c>
      <c r="AA14" s="75">
        <v>0.02</v>
      </c>
      <c r="AB14" s="75">
        <v>0.02</v>
      </c>
      <c r="AC14" s="75">
        <v>0.02</v>
      </c>
      <c r="AD14" s="75">
        <v>0.02</v>
      </c>
      <c r="AF14" s="75">
        <v>0.02</v>
      </c>
      <c r="AG14" s="75">
        <v>0.02</v>
      </c>
      <c r="AH14" s="75">
        <v>0.02</v>
      </c>
      <c r="AI14" s="75">
        <v>0.02</v>
      </c>
      <c r="AK14" s="75">
        <v>0.02</v>
      </c>
      <c r="AL14" s="75">
        <v>0.02</v>
      </c>
      <c r="AM14" s="75">
        <v>0.02</v>
      </c>
      <c r="AN14" s="75">
        <v>0.02</v>
      </c>
      <c r="AP14" s="75">
        <v>0.02</v>
      </c>
      <c r="AQ14" s="75">
        <v>0.02</v>
      </c>
      <c r="AR14" s="75">
        <v>0.02</v>
      </c>
      <c r="AS14" s="75">
        <v>0.02</v>
      </c>
      <c r="AT14" s="69"/>
      <c r="AW14" s="361"/>
      <c r="AY14" s="361"/>
      <c r="AZ14" s="361"/>
      <c r="BA14" s="361"/>
      <c r="BB14" s="361"/>
      <c r="BC14" s="361"/>
    </row>
    <row r="15" spans="1:55" hidden="1" x14ac:dyDescent="0.25">
      <c r="A15" s="17" t="s">
        <v>8</v>
      </c>
      <c r="B15" s="36">
        <v>2.3E-2</v>
      </c>
      <c r="C15" s="36">
        <v>7.0000000000000001E-3</v>
      </c>
      <c r="D15" s="36">
        <v>8.0000000000000002E-3</v>
      </c>
      <c r="E15" s="36">
        <v>2.5000000000000001E-2</v>
      </c>
      <c r="F15" s="32"/>
      <c r="G15" s="36">
        <v>2.4E-2</v>
      </c>
      <c r="H15" s="36">
        <v>3.9E-2</v>
      </c>
      <c r="I15" s="43">
        <v>0.04</v>
      </c>
      <c r="J15" s="36">
        <v>1.2E-2</v>
      </c>
      <c r="K15" s="32"/>
      <c r="L15" s="36">
        <v>2.5999999999999999E-2</v>
      </c>
      <c r="M15" s="36">
        <v>2.1000000000000001E-2</v>
      </c>
      <c r="N15" s="36">
        <v>1.7999999999999999E-2</v>
      </c>
      <c r="O15" s="36">
        <v>5.0000000000000001E-3</v>
      </c>
      <c r="P15" s="32"/>
      <c r="Q15" s="415">
        <v>-1E-3</v>
      </c>
      <c r="R15" s="417">
        <v>1.4999999999999999E-2</v>
      </c>
      <c r="S15" s="75">
        <v>0.02</v>
      </c>
      <c r="T15" s="75">
        <v>0.01</v>
      </c>
      <c r="V15" s="76">
        <v>1.4999999999999999E-2</v>
      </c>
      <c r="W15" s="76">
        <v>1.4999999999999999E-2</v>
      </c>
      <c r="X15" s="76">
        <v>1.4999999999999999E-2</v>
      </c>
      <c r="Y15" s="76">
        <v>1.4999999999999999E-2</v>
      </c>
      <c r="AA15" s="76">
        <v>1.4999999999999999E-2</v>
      </c>
      <c r="AB15" s="76">
        <v>1.4999999999999999E-2</v>
      </c>
      <c r="AC15" s="76">
        <v>1.4999999999999999E-2</v>
      </c>
      <c r="AD15" s="76">
        <v>1.4999999999999999E-2</v>
      </c>
      <c r="AF15" s="76">
        <v>1.4999999999999999E-2</v>
      </c>
      <c r="AG15" s="76">
        <v>1.4999999999999999E-2</v>
      </c>
      <c r="AH15" s="76">
        <v>1.4999999999999999E-2</v>
      </c>
      <c r="AI15" s="76">
        <v>1.4999999999999999E-2</v>
      </c>
      <c r="AK15" s="76">
        <v>1.4999999999999999E-2</v>
      </c>
      <c r="AL15" s="76">
        <v>1.4999999999999999E-2</v>
      </c>
      <c r="AM15" s="76">
        <v>1.4999999999999999E-2</v>
      </c>
      <c r="AN15" s="76">
        <v>1.4999999999999999E-2</v>
      </c>
      <c r="AP15" s="76">
        <v>1.4999999999999999E-2</v>
      </c>
      <c r="AQ15" s="76">
        <v>1.4999999999999999E-2</v>
      </c>
      <c r="AR15" s="76">
        <v>1.4999999999999999E-2</v>
      </c>
      <c r="AS15" s="76">
        <v>1.4999999999999999E-2</v>
      </c>
      <c r="AT15" s="69"/>
    </row>
    <row r="16" spans="1:55" x14ac:dyDescent="0.25">
      <c r="A16" s="17" t="s">
        <v>11</v>
      </c>
      <c r="B16" s="36">
        <v>-4.0000000000000001E-3</v>
      </c>
      <c r="C16" s="36">
        <v>-2.1000000000000001E-2</v>
      </c>
      <c r="D16" s="36">
        <v>-2.3E-2</v>
      </c>
      <c r="E16" s="36">
        <v>4.0000000000000001E-3</v>
      </c>
      <c r="F16" s="32"/>
      <c r="G16" s="36">
        <v>2.1000000000000001E-2</v>
      </c>
      <c r="H16" s="36">
        <v>3.5999999999999997E-2</v>
      </c>
      <c r="I16" s="36">
        <v>3.1E-2</v>
      </c>
      <c r="J16" s="36">
        <v>-5.0000000000000001E-3</v>
      </c>
      <c r="K16" s="32"/>
      <c r="L16" s="36">
        <v>1.2E-2</v>
      </c>
      <c r="M16" s="36">
        <v>1.4E-2</v>
      </c>
      <c r="N16" s="36">
        <v>1.4E-2</v>
      </c>
      <c r="O16" s="36">
        <v>1.4999999999999999E-2</v>
      </c>
      <c r="P16" s="32"/>
      <c r="Q16" s="418">
        <v>0</v>
      </c>
      <c r="R16" s="417">
        <v>0.01</v>
      </c>
      <c r="S16" s="73">
        <v>0.01</v>
      </c>
      <c r="T16" s="73">
        <v>1.4999999999999999E-2</v>
      </c>
      <c r="V16" s="76">
        <v>1.4999999999999999E-2</v>
      </c>
      <c r="W16" s="76">
        <v>1.4999999999999999E-2</v>
      </c>
      <c r="X16" s="76">
        <v>1.4999999999999999E-2</v>
      </c>
      <c r="Y16" s="76">
        <v>1.4999999999999999E-2</v>
      </c>
      <c r="AA16" s="76">
        <v>1.4999999999999999E-2</v>
      </c>
      <c r="AB16" s="76">
        <v>1.4999999999999999E-2</v>
      </c>
      <c r="AC16" s="76">
        <v>1.4999999999999999E-2</v>
      </c>
      <c r="AD16" s="76">
        <v>1.4999999999999999E-2</v>
      </c>
      <c r="AF16" s="76">
        <v>1.4999999999999999E-2</v>
      </c>
      <c r="AG16" s="76">
        <v>1.4999999999999999E-2</v>
      </c>
      <c r="AH16" s="76">
        <v>1.4999999999999999E-2</v>
      </c>
      <c r="AI16" s="76">
        <v>1.4999999999999999E-2</v>
      </c>
      <c r="AK16" s="73">
        <v>5.0000000000000001E-3</v>
      </c>
      <c r="AL16" s="73">
        <v>5.0000000000000001E-3</v>
      </c>
      <c r="AM16" s="73">
        <v>5.0000000000000001E-3</v>
      </c>
      <c r="AN16" s="73">
        <v>5.0000000000000001E-3</v>
      </c>
      <c r="AP16" s="76">
        <v>1.4999999999999999E-2</v>
      </c>
      <c r="AQ16" s="76">
        <v>1.4999999999999999E-2</v>
      </c>
      <c r="AR16" s="76">
        <v>1.4999999999999999E-2</v>
      </c>
      <c r="AS16" s="76">
        <v>1.4999999999999999E-2</v>
      </c>
      <c r="AT16" s="69"/>
    </row>
    <row r="17" spans="1:55" x14ac:dyDescent="0.25">
      <c r="A17" s="17" t="s">
        <v>9</v>
      </c>
      <c r="B17" s="39">
        <v>8.0000000000000002E-3</v>
      </c>
      <c r="C17" s="39">
        <v>6.0000000000000001E-3</v>
      </c>
      <c r="D17" s="39">
        <v>4.0000000000000001E-3</v>
      </c>
      <c r="E17" s="39">
        <v>8.9999999999999993E-3</v>
      </c>
      <c r="F17" s="33"/>
      <c r="G17" s="39">
        <v>3.0000000000000001E-3</v>
      </c>
      <c r="H17" s="39">
        <v>1E-3</v>
      </c>
      <c r="I17" s="39">
        <v>2E-3</v>
      </c>
      <c r="J17" s="39">
        <v>4.0000000000000001E-3</v>
      </c>
      <c r="K17" s="33"/>
      <c r="L17" s="39">
        <v>1E-3</v>
      </c>
      <c r="M17" s="39">
        <v>4.0000000000000001E-3</v>
      </c>
      <c r="N17" s="39">
        <v>3.0000000000000001E-3</v>
      </c>
      <c r="O17" s="39">
        <v>1.2999999999999999E-2</v>
      </c>
      <c r="P17" s="33"/>
      <c r="Q17" s="416">
        <v>1E-3</v>
      </c>
      <c r="R17" s="419">
        <f>AVERAGE(C17,H17,M17)</f>
        <v>3.6666666666666666E-3</v>
      </c>
      <c r="S17" s="77">
        <f>AVERAGE(D17,I17,N17)</f>
        <v>3.0000000000000005E-3</v>
      </c>
      <c r="T17" s="77">
        <f>AVERAGE(E17,J17,O17)</f>
        <v>8.6666666666666663E-3</v>
      </c>
      <c r="U17" s="74"/>
      <c r="V17" s="77">
        <f>AVERAGE(G17,L17,Q17)</f>
        <v>1.6666666666666668E-3</v>
      </c>
      <c r="W17" s="77">
        <f>AVERAGE(H17,M17,R17)</f>
        <v>2.8888888888888888E-3</v>
      </c>
      <c r="X17" s="77">
        <f t="shared" ref="X17" si="36">AVERAGE(I17,N17,S17)</f>
        <v>2.6666666666666666E-3</v>
      </c>
      <c r="Y17" s="77">
        <f t="shared" ref="Y17" si="37">AVERAGE(J17,O17,T17)</f>
        <v>8.5555555555555558E-3</v>
      </c>
      <c r="AA17" s="77">
        <f>AVERAGE(L17,Q17,V17)</f>
        <v>1.2222222222222224E-3</v>
      </c>
      <c r="AB17" s="77">
        <f>AVERAGE(M17,R17,W17)</f>
        <v>3.5185185185185185E-3</v>
      </c>
      <c r="AC17" s="77">
        <f t="shared" ref="AC17" si="38">AVERAGE(N17,S17,X17)</f>
        <v>2.8888888888888888E-3</v>
      </c>
      <c r="AD17" s="77">
        <f t="shared" ref="AD17" si="39">AVERAGE(O17,T17,Y17)</f>
        <v>1.0074074074074074E-2</v>
      </c>
      <c r="AF17" s="77">
        <f>AVERAGE(Q17,V17,AA17)</f>
        <v>1.2962962962962965E-3</v>
      </c>
      <c r="AG17" s="77">
        <f>AVERAGE(R17,W17,AB17)</f>
        <v>3.3580246913580245E-3</v>
      </c>
      <c r="AH17" s="77">
        <f t="shared" ref="AH17" si="40">AVERAGE(S17,X17,AC17)</f>
        <v>2.8518518518518519E-3</v>
      </c>
      <c r="AI17" s="77">
        <f t="shared" ref="AI17" si="41">AVERAGE(T17,Y17,AD17)</f>
        <v>9.0987654320987665E-3</v>
      </c>
      <c r="AK17" s="77">
        <f>AVERAGE(V17,AA17,AF17)</f>
        <v>1.3950617283950619E-3</v>
      </c>
      <c r="AL17" s="77">
        <f>AVERAGE(W17,AB17,AG17)</f>
        <v>3.2551440329218104E-3</v>
      </c>
      <c r="AM17" s="77">
        <f t="shared" ref="AM17" si="42">AVERAGE(X17,AC17,AH17)</f>
        <v>2.8024691358024688E-3</v>
      </c>
      <c r="AN17" s="77">
        <f t="shared" ref="AN17" si="43">AVERAGE(Y17,AD17,AI17)</f>
        <v>9.242798353909466E-3</v>
      </c>
      <c r="AP17" s="77">
        <f>AVERAGE(AA17,AF17,AK17)</f>
        <v>1.3045267489711935E-3</v>
      </c>
      <c r="AQ17" s="77">
        <f>AVERAGE(AB17,AG17,AL17)</f>
        <v>3.3772290809327842E-3</v>
      </c>
      <c r="AR17" s="77">
        <f t="shared" ref="AR17" si="44">AVERAGE(AC17,AH17,AM17)</f>
        <v>2.8477366255144029E-3</v>
      </c>
      <c r="AS17" s="77">
        <f t="shared" ref="AS17" si="45">AVERAGE(AD17,AI17,AN17)</f>
        <v>9.4718792866941015E-3</v>
      </c>
      <c r="AT17" s="69"/>
    </row>
    <row r="18" spans="1:55" x14ac:dyDescent="0.25">
      <c r="A18" s="17" t="s">
        <v>12</v>
      </c>
      <c r="B18" s="36">
        <f>B16+B17</f>
        <v>4.0000000000000001E-3</v>
      </c>
      <c r="C18" s="36">
        <f t="shared" ref="C18" si="46">C16+C17</f>
        <v>-1.5000000000000001E-2</v>
      </c>
      <c r="D18" s="36">
        <f t="shared" ref="D18" si="47">D16+D17</f>
        <v>-1.9E-2</v>
      </c>
      <c r="E18" s="37">
        <f t="shared" ref="E18" si="48">E16+E17</f>
        <v>1.2999999999999999E-2</v>
      </c>
      <c r="F18" s="47"/>
      <c r="G18" s="37">
        <f>G16+G17</f>
        <v>2.4E-2</v>
      </c>
      <c r="H18" s="37">
        <f>H16+H17</f>
        <v>3.6999999999999998E-2</v>
      </c>
      <c r="I18" s="37">
        <f t="shared" ref="I18:O18" si="49">I16+I17</f>
        <v>3.3000000000000002E-2</v>
      </c>
      <c r="J18" s="36">
        <f t="shared" si="49"/>
        <v>-1E-3</v>
      </c>
      <c r="K18" s="47"/>
      <c r="L18" s="37">
        <f t="shared" si="49"/>
        <v>1.3000000000000001E-2</v>
      </c>
      <c r="M18" s="37">
        <f t="shared" si="49"/>
        <v>1.8000000000000002E-2</v>
      </c>
      <c r="N18" s="37">
        <f t="shared" si="49"/>
        <v>1.7000000000000001E-2</v>
      </c>
      <c r="O18" s="37">
        <f t="shared" si="49"/>
        <v>2.7999999999999997E-2</v>
      </c>
      <c r="P18" s="47"/>
      <c r="Q18" s="420">
        <f>Q16+Q17</f>
        <v>1E-3</v>
      </c>
      <c r="R18" s="44">
        <f>R16+R17</f>
        <v>1.3666666666666667E-2</v>
      </c>
      <c r="S18" s="73">
        <f>S16+S17</f>
        <v>1.3000000000000001E-2</v>
      </c>
      <c r="T18" s="73">
        <f>T16+T17</f>
        <v>2.3666666666666666E-2</v>
      </c>
      <c r="U18" s="74"/>
      <c r="V18" s="73">
        <f>V16+V17</f>
        <v>1.6666666666666666E-2</v>
      </c>
      <c r="W18" s="73">
        <f>W16+W17</f>
        <v>1.7888888888888888E-2</v>
      </c>
      <c r="X18" s="73">
        <f t="shared" ref="X18:Y18" si="50">X16+X17</f>
        <v>1.7666666666666667E-2</v>
      </c>
      <c r="Y18" s="73">
        <f t="shared" si="50"/>
        <v>2.3555555555555555E-2</v>
      </c>
      <c r="AA18" s="73">
        <f>AA16+AA17</f>
        <v>1.6222222222222221E-2</v>
      </c>
      <c r="AB18" s="73">
        <f>AB16+AB17</f>
        <v>1.8518518518518517E-2</v>
      </c>
      <c r="AC18" s="73">
        <f t="shared" ref="AC18" si="51">AC16+AC17</f>
        <v>1.7888888888888888E-2</v>
      </c>
      <c r="AD18" s="73">
        <f t="shared" ref="AD18" si="52">AD16+AD17</f>
        <v>2.5074074074074075E-2</v>
      </c>
      <c r="AF18" s="73">
        <f>AF16+AF17</f>
        <v>1.6296296296296295E-2</v>
      </c>
      <c r="AG18" s="73">
        <f>AG16+AG17</f>
        <v>1.8358024691358023E-2</v>
      </c>
      <c r="AH18" s="73">
        <f t="shared" ref="AH18" si="53">AH16+AH17</f>
        <v>1.7851851851851851E-2</v>
      </c>
      <c r="AI18" s="73">
        <f t="shared" ref="AI18" si="54">AI16+AI17</f>
        <v>2.4098765432098768E-2</v>
      </c>
      <c r="AK18" s="73">
        <f>AK16+AK17</f>
        <v>6.3950617283950618E-3</v>
      </c>
      <c r="AL18" s="73">
        <f>AL16+AL17</f>
        <v>8.2551440329218101E-3</v>
      </c>
      <c r="AM18" s="73">
        <f t="shared" ref="AM18" si="55">AM16+AM17</f>
        <v>7.8024691358024693E-3</v>
      </c>
      <c r="AN18" s="73">
        <f t="shared" ref="AN18" si="56">AN16+AN17</f>
        <v>1.4242798353909465E-2</v>
      </c>
      <c r="AP18" s="73">
        <f>AP16+AP17</f>
        <v>1.6304526748971194E-2</v>
      </c>
      <c r="AQ18" s="73">
        <f>AQ16+AQ17</f>
        <v>1.8377229080932783E-2</v>
      </c>
      <c r="AR18" s="73">
        <f t="shared" ref="AR18" si="57">AR16+AR17</f>
        <v>1.7847736625514404E-2</v>
      </c>
      <c r="AS18" s="73">
        <f t="shared" ref="AS18" si="58">AS16+AS17</f>
        <v>2.4471879286694101E-2</v>
      </c>
      <c r="AT18" s="69"/>
    </row>
    <row r="19" spans="1:55" x14ac:dyDescent="0.25">
      <c r="A19" s="17" t="s">
        <v>10</v>
      </c>
      <c r="B19" s="36">
        <v>-1.7999999999999999E-2</v>
      </c>
      <c r="C19" s="36">
        <v>-2E-3</v>
      </c>
      <c r="D19" s="36">
        <v>-1E-3</v>
      </c>
      <c r="E19" s="36">
        <v>-7.0000000000000001E-3</v>
      </c>
      <c r="F19" s="32"/>
      <c r="G19" s="36">
        <v>-1.7999999999999999E-2</v>
      </c>
      <c r="H19" s="36">
        <v>-1E-3</v>
      </c>
      <c r="I19" s="36">
        <v>-1E-3</v>
      </c>
      <c r="J19" s="36">
        <v>-1.0999999999999999E-2</v>
      </c>
      <c r="K19" s="32"/>
      <c r="L19" s="36">
        <v>-5.0000000000000001E-3</v>
      </c>
      <c r="M19" s="36">
        <v>-1.2E-2</v>
      </c>
      <c r="N19" s="36">
        <v>-8.0000000000000002E-3</v>
      </c>
      <c r="O19" s="36">
        <v>-5.0000000000000001E-3</v>
      </c>
      <c r="P19" s="32"/>
      <c r="Q19" s="415">
        <v>-3.0000000000000001E-3</v>
      </c>
      <c r="R19" s="44">
        <f>AVERAGE(M19,H19,C19)</f>
        <v>-5.0000000000000001E-3</v>
      </c>
      <c r="S19" s="73">
        <f>AVERAGE(N19,I19,D19)</f>
        <v>-3.333333333333334E-3</v>
      </c>
      <c r="T19" s="73">
        <f>AVERAGE(O19,J19,E19)</f>
        <v>-7.6666666666666662E-3</v>
      </c>
      <c r="U19" s="74"/>
      <c r="V19" s="73">
        <f>AVERAGE(Q19,L19,G19)</f>
        <v>-8.6666666666666663E-3</v>
      </c>
      <c r="W19" s="73">
        <f>AVERAGE(R19,M19,H19)</f>
        <v>-6.000000000000001E-3</v>
      </c>
      <c r="X19" s="73">
        <f t="shared" ref="X19" si="59">AVERAGE(S19,N19,I19)</f>
        <v>-4.1111111111111114E-3</v>
      </c>
      <c r="Y19" s="73">
        <f>AVERAGE(T19,O19,J19)</f>
        <v>-7.888888888888888E-3</v>
      </c>
      <c r="AA19" s="73">
        <f>AVERAGE(V19,Q19,L19)</f>
        <v>-5.5555555555555558E-3</v>
      </c>
      <c r="AB19" s="73">
        <f>AVERAGE(W19,R19,M19)</f>
        <v>-7.6666666666666662E-3</v>
      </c>
      <c r="AC19" s="73">
        <f t="shared" ref="AC19" si="60">AVERAGE(X19,S19,N19)</f>
        <v>-5.1481481481481482E-3</v>
      </c>
      <c r="AD19" s="73">
        <f>AVERAGE(Y19,T19,O19)</f>
        <v>-6.851851851851852E-3</v>
      </c>
      <c r="AF19" s="73">
        <f>AVERAGE(AA19,V19,Q19)</f>
        <v>-5.7407407407407407E-3</v>
      </c>
      <c r="AG19" s="73">
        <f>AVERAGE(AB19,W19,R19)</f>
        <v>-6.2222222222222227E-3</v>
      </c>
      <c r="AH19" s="73">
        <f t="shared" ref="AH19" si="61">AVERAGE(AC19,X19,S19)</f>
        <v>-4.1975308641975309E-3</v>
      </c>
      <c r="AI19" s="73">
        <f t="shared" ref="AI19" si="62">AVERAGE(AD19,Y19,T19)</f>
        <v>-7.4691358024691354E-3</v>
      </c>
      <c r="AK19" s="73">
        <f>AVERAGE(AF19,AA19,V19)</f>
        <v>-6.6543209876543212E-3</v>
      </c>
      <c r="AL19" s="73">
        <f>AVERAGE(AG19,AB19,W19)</f>
        <v>-6.6296296296296303E-3</v>
      </c>
      <c r="AM19" s="73">
        <f t="shared" ref="AM19" si="63">AVERAGE(AH19,AC19,X19)</f>
        <v>-4.4855967078189299E-3</v>
      </c>
      <c r="AN19" s="73">
        <f t="shared" ref="AN19" si="64">AVERAGE(AI19,AD19,Y19)</f>
        <v>-7.4032921810699591E-3</v>
      </c>
      <c r="AP19" s="73">
        <f>AVERAGE(AK19,AF19,AA19)</f>
        <v>-5.9835390946502065E-3</v>
      </c>
      <c r="AQ19" s="73">
        <f>AVERAGE(AL19,AG19,AB19)</f>
        <v>-6.8395061728395061E-3</v>
      </c>
      <c r="AR19" s="73">
        <f t="shared" ref="AR19" si="65">AVERAGE(AM19,AH19,AC19)</f>
        <v>-4.6104252400548697E-3</v>
      </c>
      <c r="AS19" s="73">
        <f t="shared" ref="AS19" si="66">AVERAGE(AN19,AI19,AD19)</f>
        <v>-7.2414266117969825E-3</v>
      </c>
      <c r="AT19" s="69"/>
    </row>
    <row r="20" spans="1:55" x14ac:dyDescent="0.25">
      <c r="A20" s="17" t="s">
        <v>13</v>
      </c>
      <c r="B20" s="36">
        <f t="shared" ref="B20" si="67">B18+B19</f>
        <v>-1.3999999999999999E-2</v>
      </c>
      <c r="C20" s="36">
        <f t="shared" ref="C20" si="68">C18+C19</f>
        <v>-1.7000000000000001E-2</v>
      </c>
      <c r="D20" s="36">
        <f t="shared" ref="D20" si="69">D18+D19</f>
        <v>-0.02</v>
      </c>
      <c r="E20" s="36">
        <f t="shared" ref="E20" si="70">E18+E19</f>
        <v>5.9999999999999993E-3</v>
      </c>
      <c r="F20" s="34"/>
      <c r="G20" s="36">
        <f>G18+G19</f>
        <v>6.0000000000000019E-3</v>
      </c>
      <c r="H20" s="36">
        <f t="shared" ref="H20:O20" si="71">H18+H19</f>
        <v>3.5999999999999997E-2</v>
      </c>
      <c r="I20" s="36">
        <f t="shared" si="71"/>
        <v>3.2000000000000001E-2</v>
      </c>
      <c r="J20" s="36">
        <f t="shared" si="71"/>
        <v>-1.2E-2</v>
      </c>
      <c r="K20" s="34"/>
      <c r="L20" s="36">
        <f t="shared" si="71"/>
        <v>8.0000000000000002E-3</v>
      </c>
      <c r="M20" s="36">
        <f t="shared" si="71"/>
        <v>6.0000000000000019E-3</v>
      </c>
      <c r="N20" s="36">
        <f t="shared" si="71"/>
        <v>9.0000000000000011E-3</v>
      </c>
      <c r="O20" s="36">
        <f t="shared" si="71"/>
        <v>2.2999999999999996E-2</v>
      </c>
      <c r="P20" s="34"/>
      <c r="Q20" s="415">
        <f>Q18+Q19</f>
        <v>-2E-3</v>
      </c>
      <c r="R20" s="44">
        <f>R18+R19</f>
        <v>8.6666666666666663E-3</v>
      </c>
      <c r="S20" s="73">
        <f>S18+S19</f>
        <v>9.6666666666666672E-3</v>
      </c>
      <c r="T20" s="73">
        <f t="shared" ref="T20" si="72">T18+T19</f>
        <v>1.6E-2</v>
      </c>
      <c r="U20" s="74"/>
      <c r="V20" s="73">
        <f t="shared" ref="V20:Y20" si="73">V18+V19</f>
        <v>8.0000000000000002E-3</v>
      </c>
      <c r="W20" s="73">
        <f t="shared" si="73"/>
        <v>1.1888888888888886E-2</v>
      </c>
      <c r="X20" s="73">
        <f t="shared" si="73"/>
        <v>1.3555555555555557E-2</v>
      </c>
      <c r="Y20" s="73">
        <f t="shared" si="73"/>
        <v>1.5666666666666669E-2</v>
      </c>
      <c r="AA20" s="73">
        <f t="shared" ref="AA20:AD20" si="74">AA18+AA19</f>
        <v>1.0666666666666665E-2</v>
      </c>
      <c r="AB20" s="73">
        <f t="shared" si="74"/>
        <v>1.0851851851851852E-2</v>
      </c>
      <c r="AC20" s="73">
        <f t="shared" si="74"/>
        <v>1.274074074074074E-2</v>
      </c>
      <c r="AD20" s="73">
        <f t="shared" si="74"/>
        <v>1.8222222222222223E-2</v>
      </c>
      <c r="AF20" s="73">
        <f t="shared" ref="AF20:AI20" si="75">AF18+AF19</f>
        <v>1.0555555555555554E-2</v>
      </c>
      <c r="AG20" s="73">
        <f t="shared" si="75"/>
        <v>1.2135802469135801E-2</v>
      </c>
      <c r="AH20" s="73">
        <f t="shared" si="75"/>
        <v>1.365432098765432E-2</v>
      </c>
      <c r="AI20" s="73">
        <f t="shared" si="75"/>
        <v>1.6629629629629633E-2</v>
      </c>
      <c r="AK20" s="73">
        <f t="shared" ref="AK20:AN20" si="76">AK18+AK19</f>
        <v>-2.5925925925925943E-4</v>
      </c>
      <c r="AL20" s="73">
        <f t="shared" si="76"/>
        <v>1.6255144032921798E-3</v>
      </c>
      <c r="AM20" s="73">
        <f t="shared" si="76"/>
        <v>3.3168724279835395E-3</v>
      </c>
      <c r="AN20" s="73">
        <f t="shared" si="76"/>
        <v>6.8395061728395061E-3</v>
      </c>
      <c r="AP20" s="73">
        <f t="shared" ref="AP20:AS20" si="77">AP18+AP19</f>
        <v>1.0320987654320986E-2</v>
      </c>
      <c r="AQ20" s="73">
        <f t="shared" si="77"/>
        <v>1.1537722908093278E-2</v>
      </c>
      <c r="AR20" s="73">
        <f t="shared" si="77"/>
        <v>1.3237311385459534E-2</v>
      </c>
      <c r="AS20" s="73">
        <f t="shared" si="77"/>
        <v>1.7230452674897118E-2</v>
      </c>
      <c r="AT20" s="69"/>
    </row>
    <row r="21" spans="1:55" x14ac:dyDescent="0.25">
      <c r="A21" s="17"/>
      <c r="B21" s="40"/>
      <c r="C21" s="40"/>
      <c r="D21" s="40"/>
      <c r="E21" s="40"/>
      <c r="F21" s="32"/>
      <c r="G21" s="40"/>
      <c r="H21" s="40"/>
      <c r="I21" s="40"/>
      <c r="J21" s="40"/>
      <c r="K21" s="32"/>
      <c r="L21" s="40"/>
      <c r="M21" s="40"/>
      <c r="N21" s="40"/>
      <c r="O21" s="40"/>
      <c r="P21" s="32"/>
      <c r="Q21" s="421"/>
      <c r="R21" s="14"/>
      <c r="AT21" s="69"/>
    </row>
    <row r="22" spans="1:55" s="1" customFormat="1" ht="15.75" x14ac:dyDescent="0.25">
      <c r="A22" s="48" t="s">
        <v>3</v>
      </c>
      <c r="B22" s="52"/>
      <c r="C22" s="52"/>
      <c r="D22" s="52"/>
      <c r="E22" s="52"/>
      <c r="F22" s="52"/>
      <c r="G22" s="52"/>
      <c r="H22" s="52"/>
      <c r="I22" s="52"/>
      <c r="J22" s="52"/>
      <c r="K22" s="52"/>
      <c r="L22" s="52"/>
      <c r="M22" s="52"/>
      <c r="N22" s="52"/>
      <c r="O22" s="52"/>
      <c r="P22" s="52"/>
      <c r="Q22" s="422"/>
      <c r="R22" s="12"/>
      <c r="S22" s="70"/>
      <c r="T22" s="70"/>
      <c r="U22" s="71"/>
      <c r="V22" s="70"/>
      <c r="W22" s="70"/>
      <c r="X22" s="70"/>
      <c r="Y22" s="70"/>
      <c r="Z22" s="71"/>
      <c r="AA22" s="70"/>
      <c r="AB22" s="70"/>
      <c r="AC22" s="70"/>
      <c r="AD22" s="70"/>
      <c r="AE22" s="71"/>
      <c r="AF22" s="70"/>
      <c r="AG22" s="70"/>
      <c r="AH22" s="70"/>
      <c r="AI22" s="70"/>
      <c r="AJ22" s="71"/>
      <c r="AK22" s="70"/>
      <c r="AL22" s="70"/>
      <c r="AM22" s="70"/>
      <c r="AN22" s="70"/>
      <c r="AO22" s="71"/>
      <c r="AP22" s="70"/>
      <c r="AQ22" s="70"/>
      <c r="AR22" s="70"/>
      <c r="AS22" s="70"/>
      <c r="AT22" s="71"/>
    </row>
    <row r="23" spans="1:55" x14ac:dyDescent="0.25">
      <c r="A23" s="17" t="s">
        <v>0</v>
      </c>
      <c r="B23" s="40">
        <v>753</v>
      </c>
      <c r="C23" s="40">
        <v>816</v>
      </c>
      <c r="D23" s="40">
        <v>903</v>
      </c>
      <c r="E23" s="40">
        <v>829</v>
      </c>
      <c r="F23" s="32">
        <f>SUM(B23:E23)</f>
        <v>3301</v>
      </c>
      <c r="G23" s="40">
        <v>765</v>
      </c>
      <c r="H23" s="40">
        <v>817</v>
      </c>
      <c r="I23" s="40">
        <v>874</v>
      </c>
      <c r="J23" s="40">
        <v>797</v>
      </c>
      <c r="K23" s="32">
        <f>SUM(G23:J23)</f>
        <v>3253</v>
      </c>
      <c r="L23" s="40">
        <v>744</v>
      </c>
      <c r="M23" s="40">
        <v>805</v>
      </c>
      <c r="N23" s="40">
        <v>878</v>
      </c>
      <c r="O23" s="40">
        <v>798</v>
      </c>
      <c r="P23" s="32">
        <f>SUM(L23:O23)</f>
        <v>3225</v>
      </c>
      <c r="Q23" s="421">
        <v>723</v>
      </c>
      <c r="R23" s="30">
        <f>M23*(1+R25)</f>
        <v>789.70500000000004</v>
      </c>
      <c r="S23" s="67">
        <f t="shared" ref="S23:T23" si="78">N23*(1+S25)</f>
        <v>877.12199999999996</v>
      </c>
      <c r="T23" s="67">
        <f t="shared" si="78"/>
        <v>798.79799999999989</v>
      </c>
      <c r="U23" s="274">
        <f>SUM(Q23:T23)</f>
        <v>3188.6249999999995</v>
      </c>
      <c r="V23" s="67">
        <f>Q23*(1+V25)</f>
        <v>714.32399999999996</v>
      </c>
      <c r="W23" s="67">
        <f>R23*(1+W25)</f>
        <v>782.59765500000003</v>
      </c>
      <c r="X23" s="67">
        <f t="shared" ref="X23" si="79">S23*(1+X25)</f>
        <v>871.56689399999993</v>
      </c>
      <c r="Y23" s="67">
        <f t="shared" ref="Y23" si="80">T23*(1+Y25)</f>
        <v>792.40761599999985</v>
      </c>
      <c r="Z23" s="274">
        <f>SUM(V23:Y23)</f>
        <v>3160.8961650000001</v>
      </c>
      <c r="AA23" s="67">
        <f>V23*(1+AA25)</f>
        <v>707.18075999999996</v>
      </c>
      <c r="AB23" s="67">
        <f>W23*(1+AB25)</f>
        <v>774.24994667999999</v>
      </c>
      <c r="AC23" s="67">
        <f t="shared" ref="AC23" si="81">X23*(1+AC25)</f>
        <v>865.07856267799991</v>
      </c>
      <c r="AD23" s="67">
        <f t="shared" ref="AD23" si="82">Y23*(1+AD25)</f>
        <v>785.27594745599981</v>
      </c>
      <c r="AE23" s="274">
        <f>SUM(AA23:AD23)</f>
        <v>3131.7852168139998</v>
      </c>
      <c r="AF23" s="67">
        <f>AA23*(1+AF25)</f>
        <v>690.91560251999999</v>
      </c>
      <c r="AG23" s="67">
        <f>AB23*(1+AG25)</f>
        <v>759.36714214937331</v>
      </c>
      <c r="AH23" s="67">
        <f t="shared" ref="AH23" si="83">AC23*(1+AH25)</f>
        <v>850.72466652689832</v>
      </c>
      <c r="AI23" s="67">
        <f t="shared" ref="AI23" si="84">AD23*(1+AI25)</f>
        <v>771.14098040179181</v>
      </c>
      <c r="AJ23" s="274">
        <f>SUM(AF23:AI23)</f>
        <v>3072.148391598063</v>
      </c>
      <c r="AK23" s="67">
        <f>AF23*(1+AK25)</f>
        <v>675.94576446539998</v>
      </c>
      <c r="AL23" s="67">
        <f>AG23*(1+AL25)</f>
        <v>744.46104639607074</v>
      </c>
      <c r="AM23" s="67">
        <f t="shared" ref="AM23" si="85">AH23*(1+AM25)</f>
        <v>836.44089434817511</v>
      </c>
      <c r="AN23" s="67">
        <f t="shared" ref="AN23" si="86">AI23*(1+AN25)</f>
        <v>757.00339576109229</v>
      </c>
      <c r="AO23" s="274">
        <f>SUM(AK23:AN23)</f>
        <v>3013.8511009707381</v>
      </c>
      <c r="AP23" s="67">
        <f>AK23*(1+AP25)</f>
        <v>668.13483563157763</v>
      </c>
      <c r="AQ23" s="67">
        <f>AL23*(1+AQ25)</f>
        <v>737.13591733461806</v>
      </c>
      <c r="AR23" s="67">
        <f t="shared" ref="AR23" si="87">AM23*(1+AR25)</f>
        <v>830.63399809811187</v>
      </c>
      <c r="AS23" s="67">
        <f t="shared" ref="AS23" si="88">AN23*(1+AS25)</f>
        <v>750.61092264133197</v>
      </c>
      <c r="AT23" s="274">
        <f>SUM(AP23:AS23)</f>
        <v>2986.5156737056395</v>
      </c>
    </row>
    <row r="24" spans="1:55" s="38" customFormat="1" hidden="1" x14ac:dyDescent="0.25">
      <c r="A24" s="38" t="s">
        <v>15</v>
      </c>
      <c r="B24" s="42" t="s">
        <v>49</v>
      </c>
      <c r="C24" s="42" t="s">
        <v>49</v>
      </c>
      <c r="D24" s="42" t="s">
        <v>49</v>
      </c>
      <c r="E24" s="42" t="s">
        <v>49</v>
      </c>
      <c r="F24" s="35" t="s">
        <v>49</v>
      </c>
      <c r="G24" s="42">
        <f t="shared" ref="G24:P24" si="89">B23*(1+G25)</f>
        <v>765.048</v>
      </c>
      <c r="H24" s="42">
        <f t="shared" si="89"/>
        <v>816</v>
      </c>
      <c r="I24" s="42">
        <f>D23*(1+I25)</f>
        <v>874.10399999999993</v>
      </c>
      <c r="J24" s="42">
        <f>E23*(1+J25)</f>
        <v>796.66899999999998</v>
      </c>
      <c r="K24" s="35">
        <f>F23*(1+K25)</f>
        <v>3301</v>
      </c>
      <c r="L24" s="42">
        <f>G23*(1+L25)</f>
        <v>758.88</v>
      </c>
      <c r="M24" s="42">
        <f>H23*(1+M25)</f>
        <v>825.17</v>
      </c>
      <c r="N24" s="42">
        <f t="shared" si="89"/>
        <v>894.10199999999998</v>
      </c>
      <c r="O24" s="42">
        <f t="shared" si="89"/>
        <v>809.75200000000007</v>
      </c>
      <c r="P24" s="35">
        <f t="shared" si="89"/>
        <v>3253</v>
      </c>
      <c r="Q24" s="414">
        <f>L23*(1+Q25)</f>
        <v>723.91200000000003</v>
      </c>
      <c r="R24" s="30"/>
      <c r="S24" s="67"/>
      <c r="T24" s="67"/>
      <c r="U24" s="69"/>
      <c r="V24" s="67"/>
      <c r="W24" s="67"/>
      <c r="X24" s="67"/>
      <c r="Y24" s="67"/>
      <c r="Z24" s="69"/>
      <c r="AA24" s="67"/>
      <c r="AB24" s="67"/>
      <c r="AC24" s="67"/>
      <c r="AD24" s="67"/>
      <c r="AE24" s="69"/>
      <c r="AF24" s="67"/>
      <c r="AG24" s="67"/>
      <c r="AH24" s="67"/>
      <c r="AI24" s="67"/>
      <c r="AJ24" s="69"/>
      <c r="AK24" s="67"/>
      <c r="AL24" s="67"/>
      <c r="AM24" s="67"/>
      <c r="AN24" s="67"/>
      <c r="AO24" s="69"/>
      <c r="AP24" s="67"/>
      <c r="AQ24" s="67"/>
      <c r="AR24" s="67"/>
      <c r="AS24" s="67"/>
      <c r="AT24" s="69"/>
    </row>
    <row r="25" spans="1:55" s="116" customFormat="1" x14ac:dyDescent="0.25">
      <c r="A25" s="116" t="s">
        <v>7</v>
      </c>
      <c r="B25" s="121">
        <f>B26+B32</f>
        <v>1.6E-2</v>
      </c>
      <c r="C25" s="121">
        <f>C26+C32</f>
        <v>1.9E-2</v>
      </c>
      <c r="D25" s="121">
        <f>D26+D32</f>
        <v>3.3000000000000002E-2</v>
      </c>
      <c r="E25" s="121">
        <f>E26+E32</f>
        <v>3.2000000000000001E-2</v>
      </c>
      <c r="F25" s="122"/>
      <c r="G25" s="121">
        <f t="shared" ref="G25:Q25" si="90">G26+G32</f>
        <v>1.6E-2</v>
      </c>
      <c r="H25" s="121">
        <f>H26+H32</f>
        <v>0</v>
      </c>
      <c r="I25" s="121">
        <f t="shared" si="90"/>
        <v>-3.2000000000000001E-2</v>
      </c>
      <c r="J25" s="121">
        <f t="shared" si="90"/>
        <v>-3.9E-2</v>
      </c>
      <c r="K25" s="122">
        <f t="shared" si="90"/>
        <v>0</v>
      </c>
      <c r="L25" s="121">
        <f t="shared" si="90"/>
        <v>-8.0000000000000002E-3</v>
      </c>
      <c r="M25" s="121">
        <f t="shared" si="90"/>
        <v>1.0000000000000002E-2</v>
      </c>
      <c r="N25" s="121">
        <f t="shared" si="90"/>
        <v>2.3E-2</v>
      </c>
      <c r="O25" s="121">
        <f t="shared" si="90"/>
        <v>1.6E-2</v>
      </c>
      <c r="P25" s="122"/>
      <c r="Q25" s="415">
        <f t="shared" si="90"/>
        <v>-2.7E-2</v>
      </c>
      <c r="R25" s="424">
        <f>R26+R32</f>
        <v>-1.9E-2</v>
      </c>
      <c r="S25" s="123">
        <f t="shared" ref="S25:T25" si="91">S26+S32</f>
        <v>-1.0000000000000009E-3</v>
      </c>
      <c r="T25" s="123">
        <f t="shared" si="91"/>
        <v>9.9999999999999915E-4</v>
      </c>
      <c r="U25" s="120" t="s">
        <v>259</v>
      </c>
      <c r="V25" s="123">
        <f>V26+V32</f>
        <v>-1.2000000000000002E-2</v>
      </c>
      <c r="W25" s="123">
        <f>W26+W32</f>
        <v>-9.0000000000000011E-3</v>
      </c>
      <c r="X25" s="123">
        <f t="shared" ref="X25:Y25" si="92">X26+X32</f>
        <v>-6.3333333333333332E-3</v>
      </c>
      <c r="Y25" s="123">
        <f t="shared" si="92"/>
        <v>-8.0000000000000019E-3</v>
      </c>
      <c r="Z25" s="120"/>
      <c r="AA25" s="123">
        <f>AA26+AA32</f>
        <v>-1.0000000000000002E-2</v>
      </c>
      <c r="AB25" s="123">
        <f>AB26+AB32</f>
        <v>-1.0666666666666668E-2</v>
      </c>
      <c r="AC25" s="123">
        <f t="shared" ref="AC25" si="93">AC26+AC32</f>
        <v>-7.4444444444444445E-3</v>
      </c>
      <c r="AD25" s="123">
        <f t="shared" ref="AD25" si="94">AD26+AD32</f>
        <v>-9.0000000000000028E-3</v>
      </c>
      <c r="AE25" s="120"/>
      <c r="AF25" s="123">
        <f>AF26+AF32</f>
        <v>-2.3E-2</v>
      </c>
      <c r="AG25" s="123">
        <f>AG26+AG32</f>
        <v>-1.922222222222222E-2</v>
      </c>
      <c r="AH25" s="123">
        <f t="shared" ref="AH25" si="95">AH26+AH32</f>
        <v>-1.6592592592592593E-2</v>
      </c>
      <c r="AI25" s="123">
        <f t="shared" ref="AI25" si="96">AI26+AI32</f>
        <v>-1.8000000000000002E-2</v>
      </c>
      <c r="AJ25" s="120"/>
      <c r="AK25" s="123">
        <f>AK26+AK32</f>
        <v>-2.1666666666666667E-2</v>
      </c>
      <c r="AL25" s="123">
        <f>AL26+AL32</f>
        <v>-1.9629629629629629E-2</v>
      </c>
      <c r="AM25" s="123">
        <f t="shared" ref="AM25" si="97">AM26+AM32</f>
        <v>-1.6790123456790124E-2</v>
      </c>
      <c r="AN25" s="123">
        <f t="shared" ref="AN25" si="98">AN26+AN32</f>
        <v>-1.8333333333333333E-2</v>
      </c>
      <c r="AO25" s="120"/>
      <c r="AP25" s="123">
        <f>AP26+AP32</f>
        <v>-1.1555555555555557E-2</v>
      </c>
      <c r="AQ25" s="123">
        <f>AQ26+AQ32</f>
        <v>-9.8395061728395079E-3</v>
      </c>
      <c r="AR25" s="123">
        <f t="shared" ref="AR25" si="99">AR26+AR32</f>
        <v>-6.9423868312757202E-3</v>
      </c>
      <c r="AS25" s="123">
        <f t="shared" ref="AS25" si="100">AS26+AS32</f>
        <v>-8.4444444444444471E-3</v>
      </c>
      <c r="AT25" s="120"/>
    </row>
    <row r="26" spans="1:55" x14ac:dyDescent="0.25">
      <c r="A26" s="17" t="s">
        <v>14</v>
      </c>
      <c r="B26" s="36">
        <v>1.6E-2</v>
      </c>
      <c r="C26" s="36">
        <v>7.0000000000000001E-3</v>
      </c>
      <c r="D26" s="36">
        <v>5.0000000000000001E-3</v>
      </c>
      <c r="E26" s="36">
        <v>-1E-3</v>
      </c>
      <c r="F26" s="32"/>
      <c r="G26" s="36">
        <v>0.01</v>
      </c>
      <c r="H26" s="43">
        <v>-3.3000000000000002E-2</v>
      </c>
      <c r="I26" s="36">
        <v>-3.9E-2</v>
      </c>
      <c r="J26" s="36">
        <v>-4.4999999999999998E-2</v>
      </c>
      <c r="K26" s="32"/>
      <c r="L26" s="36">
        <v>-2.5000000000000001E-2</v>
      </c>
      <c r="M26" s="43">
        <v>5.0000000000000001E-3</v>
      </c>
      <c r="N26" s="36">
        <v>1.0999999999999999E-2</v>
      </c>
      <c r="O26" s="36">
        <v>1.4999999999999999E-2</v>
      </c>
      <c r="P26" s="32"/>
      <c r="Q26" s="415">
        <v>-1.4999999999999999E-2</v>
      </c>
      <c r="R26" s="423">
        <v>-1.7999999999999999E-2</v>
      </c>
      <c r="S26" s="78">
        <v>-1.4999999999999999E-2</v>
      </c>
      <c r="T26" s="78">
        <v>-0.01</v>
      </c>
      <c r="V26" s="78">
        <v>-0.02</v>
      </c>
      <c r="W26" s="78">
        <v>-0.02</v>
      </c>
      <c r="X26" s="78">
        <v>-0.02</v>
      </c>
      <c r="Y26" s="78">
        <v>-0.02</v>
      </c>
      <c r="AA26" s="78">
        <v>-0.02</v>
      </c>
      <c r="AB26" s="78">
        <v>-0.02</v>
      </c>
      <c r="AC26" s="78">
        <v>-0.02</v>
      </c>
      <c r="AD26" s="78">
        <v>-0.02</v>
      </c>
      <c r="AF26" s="78">
        <v>-0.02</v>
      </c>
      <c r="AG26" s="78">
        <v>-0.02</v>
      </c>
      <c r="AH26" s="78">
        <v>-0.02</v>
      </c>
      <c r="AI26" s="78">
        <v>-0.02</v>
      </c>
      <c r="AK26" s="78">
        <v>-0.02</v>
      </c>
      <c r="AL26" s="78">
        <v>-0.02</v>
      </c>
      <c r="AM26" s="78">
        <v>-0.02</v>
      </c>
      <c r="AN26" s="78">
        <v>-0.02</v>
      </c>
      <c r="AP26" s="78">
        <v>-0.02</v>
      </c>
      <c r="AQ26" s="78">
        <v>-0.02</v>
      </c>
      <c r="AR26" s="78">
        <v>-0.02</v>
      </c>
      <c r="AS26" s="78">
        <v>-0.02</v>
      </c>
      <c r="AT26" s="69"/>
      <c r="AY26" s="361"/>
      <c r="AZ26" s="361"/>
      <c r="BA26" s="361"/>
      <c r="BB26" s="361"/>
      <c r="BC26" s="361"/>
    </row>
    <row r="27" spans="1:55" hidden="1" x14ac:dyDescent="0.25">
      <c r="A27" s="17" t="s">
        <v>8</v>
      </c>
      <c r="B27" s="36">
        <v>1.9E-2</v>
      </c>
      <c r="C27" s="36">
        <v>3.1E-2</v>
      </c>
      <c r="D27" s="36">
        <v>4.4999999999999998E-2</v>
      </c>
      <c r="E27" s="36">
        <v>5.1999999999999998E-2</v>
      </c>
      <c r="F27" s="32"/>
      <c r="G27" s="36">
        <v>4.1000000000000002E-2</v>
      </c>
      <c r="H27" s="36">
        <v>2.3E-2</v>
      </c>
      <c r="I27" s="36">
        <v>-3.0000000000000001E-3</v>
      </c>
      <c r="J27" s="36">
        <v>-7.0000000000000001E-3</v>
      </c>
      <c r="K27" s="32"/>
      <c r="L27" s="36">
        <v>6.0000000000000001E-3</v>
      </c>
      <c r="M27" s="36">
        <v>1.6E-2</v>
      </c>
      <c r="N27" s="36">
        <v>1.9E-2</v>
      </c>
      <c r="O27" s="36">
        <v>1.0999999999999999E-2</v>
      </c>
      <c r="P27" s="32"/>
      <c r="Q27" s="415">
        <v>0</v>
      </c>
      <c r="R27" s="44"/>
      <c r="V27" s="73"/>
      <c r="W27" s="73"/>
      <c r="X27" s="73"/>
      <c r="Y27" s="73"/>
      <c r="AA27" s="73"/>
      <c r="AB27" s="73"/>
      <c r="AC27" s="73"/>
      <c r="AD27" s="73"/>
      <c r="AF27" s="73"/>
      <c r="AG27" s="73"/>
      <c r="AH27" s="73"/>
      <c r="AI27" s="73"/>
      <c r="AK27" s="73"/>
      <c r="AL27" s="73"/>
      <c r="AM27" s="73"/>
      <c r="AN27" s="73"/>
      <c r="AP27" s="73"/>
      <c r="AQ27" s="73"/>
      <c r="AR27" s="73"/>
      <c r="AS27" s="73"/>
      <c r="AT27" s="69"/>
    </row>
    <row r="28" spans="1:55" x14ac:dyDescent="0.25">
      <c r="A28" s="17" t="s">
        <v>11</v>
      </c>
      <c r="B28" s="36">
        <v>2E-3</v>
      </c>
      <c r="C28" s="36">
        <v>1.2E-2</v>
      </c>
      <c r="D28" s="36">
        <v>2.8000000000000001E-2</v>
      </c>
      <c r="E28" s="36">
        <v>3.2000000000000001E-2</v>
      </c>
      <c r="F28" s="32"/>
      <c r="G28" s="36">
        <v>1.9E-2</v>
      </c>
      <c r="H28" s="36">
        <v>3.2000000000000001E-2</v>
      </c>
      <c r="I28" s="36">
        <v>5.0000000000000001E-3</v>
      </c>
      <c r="J28" s="36">
        <v>6.0000000000000001E-3</v>
      </c>
      <c r="K28" s="32"/>
      <c r="L28" s="36">
        <v>1.2999999999999999E-2</v>
      </c>
      <c r="M28" s="36">
        <v>1.4999999999999999E-2</v>
      </c>
      <c r="N28" s="36">
        <v>1.7000000000000001E-2</v>
      </c>
      <c r="O28" s="36">
        <v>8.0000000000000002E-3</v>
      </c>
      <c r="P28" s="32"/>
      <c r="Q28" s="415">
        <v>0</v>
      </c>
      <c r="R28" s="44">
        <v>2E-3</v>
      </c>
      <c r="S28" s="73">
        <v>1.4999999999999999E-2</v>
      </c>
      <c r="T28" s="73">
        <v>1.2999999999999999E-2</v>
      </c>
      <c r="V28" s="73">
        <v>1.4999999999999999E-2</v>
      </c>
      <c r="W28" s="73">
        <v>1.4999999999999999E-2</v>
      </c>
      <c r="X28" s="73">
        <v>1.4999999999999999E-2</v>
      </c>
      <c r="Y28" s="73">
        <v>1.4999999999999999E-2</v>
      </c>
      <c r="AA28" s="73">
        <v>1.4999999999999999E-2</v>
      </c>
      <c r="AB28" s="73">
        <v>1.4999999999999999E-2</v>
      </c>
      <c r="AC28" s="73">
        <v>1.4999999999999999E-2</v>
      </c>
      <c r="AD28" s="73">
        <v>1.4999999999999999E-2</v>
      </c>
      <c r="AF28" s="73">
        <v>5.0000000000000001E-3</v>
      </c>
      <c r="AG28" s="73">
        <v>5.0000000000000001E-3</v>
      </c>
      <c r="AH28" s="73">
        <v>5.0000000000000001E-3</v>
      </c>
      <c r="AI28" s="73">
        <v>5.0000000000000001E-3</v>
      </c>
      <c r="AK28" s="73">
        <v>5.0000000000000001E-3</v>
      </c>
      <c r="AL28" s="73">
        <v>5.0000000000000001E-3</v>
      </c>
      <c r="AM28" s="73">
        <v>5.0000000000000001E-3</v>
      </c>
      <c r="AN28" s="73">
        <v>5.0000000000000001E-3</v>
      </c>
      <c r="AP28" s="73">
        <v>1.4999999999999999E-2</v>
      </c>
      <c r="AQ28" s="73">
        <v>1.4999999999999999E-2</v>
      </c>
      <c r="AR28" s="73">
        <v>1.4999999999999999E-2</v>
      </c>
      <c r="AS28" s="73">
        <v>1.4999999999999999E-2</v>
      </c>
      <c r="AT28" s="69"/>
    </row>
    <row r="29" spans="1:55" x14ac:dyDescent="0.25">
      <c r="A29" s="17" t="s">
        <v>9</v>
      </c>
      <c r="B29" s="36">
        <v>1E-3</v>
      </c>
      <c r="C29" s="36">
        <v>8.9999999999999993E-3</v>
      </c>
      <c r="D29" s="36">
        <v>8.0000000000000002E-3</v>
      </c>
      <c r="E29" s="36">
        <v>8.9999999999999993E-3</v>
      </c>
      <c r="F29" s="34"/>
      <c r="G29" s="36">
        <v>5.0000000000000001E-3</v>
      </c>
      <c r="H29" s="36">
        <v>2E-3</v>
      </c>
      <c r="I29" s="36">
        <v>6.0000000000000001E-3</v>
      </c>
      <c r="J29" s="36">
        <v>1.2999999999999999E-2</v>
      </c>
      <c r="K29" s="34"/>
      <c r="L29" s="36">
        <v>0.01</v>
      </c>
      <c r="M29" s="36">
        <v>5.0000000000000001E-3</v>
      </c>
      <c r="N29" s="36">
        <v>3.0000000000000001E-3</v>
      </c>
      <c r="O29" s="36">
        <v>3.0000000000000001E-3</v>
      </c>
      <c r="P29" s="34"/>
      <c r="Q29" s="415">
        <v>1E-3</v>
      </c>
      <c r="R29" s="44">
        <f>AVERAGE(C29,H29,M29)</f>
        <v>5.3333333333333332E-3</v>
      </c>
      <c r="S29" s="73">
        <f>AVERAGE(D29,I29,N29)</f>
        <v>5.6666666666666671E-3</v>
      </c>
      <c r="T29" s="73">
        <f>AVERAGE(E29,J29,O29)</f>
        <v>8.3333333333333332E-3</v>
      </c>
      <c r="V29" s="73">
        <f>AVERAGE(G29,L29,Q29)</f>
        <v>5.3333333333333332E-3</v>
      </c>
      <c r="W29" s="73">
        <f>AVERAGE(H29,M29,R29)</f>
        <v>4.1111111111111114E-3</v>
      </c>
      <c r="X29" s="73">
        <f t="shared" ref="X29" si="101">AVERAGE(I29,N29,S29)</f>
        <v>4.8888888888888897E-3</v>
      </c>
      <c r="Y29" s="73">
        <f t="shared" ref="Y29" si="102">AVERAGE(J29,O29,T29)</f>
        <v>8.1111111111111106E-3</v>
      </c>
      <c r="AA29" s="73">
        <f>AVERAGE(L29,Q29,V29)</f>
        <v>5.4444444444444436E-3</v>
      </c>
      <c r="AB29" s="73">
        <f>AVERAGE(M29,R29,W29)</f>
        <v>4.8148148148148143E-3</v>
      </c>
      <c r="AC29" s="73">
        <f t="shared" ref="AC29" si="103">AVERAGE(N29,S29,X29)</f>
        <v>4.5185185185185189E-3</v>
      </c>
      <c r="AD29" s="73">
        <f t="shared" ref="AD29" si="104">AVERAGE(O29,T29,Y29)</f>
        <v>6.4814814814814813E-3</v>
      </c>
      <c r="AF29" s="73">
        <f>AVERAGE(Q29,V29,AA29)</f>
        <v>3.9259259259259256E-3</v>
      </c>
      <c r="AG29" s="73">
        <f>AVERAGE(R29,W29,AB29)</f>
        <v>4.7530864197530866E-3</v>
      </c>
      <c r="AH29" s="73">
        <f t="shared" ref="AH29" si="105">AVERAGE(S29,X29,AC29)</f>
        <v>5.0246913580246919E-3</v>
      </c>
      <c r="AI29" s="73">
        <f t="shared" ref="AI29" si="106">AVERAGE(T29,Y29,AD29)</f>
        <v>7.6419753086419745E-3</v>
      </c>
      <c r="AK29" s="73">
        <f>AVERAGE(V29,AA29,AF29)</f>
        <v>4.9012345679012338E-3</v>
      </c>
      <c r="AL29" s="73">
        <f>AVERAGE(W29,AB29,AG29)</f>
        <v>4.5596707818930044E-3</v>
      </c>
      <c r="AM29" s="73">
        <f t="shared" ref="AM29" si="107">AVERAGE(X29,AC29,AH29)</f>
        <v>4.8106995884773665E-3</v>
      </c>
      <c r="AN29" s="73">
        <f t="shared" ref="AN29" si="108">AVERAGE(Y29,AD29,AI29)</f>
        <v>7.4115226337448555E-3</v>
      </c>
      <c r="AP29" s="73">
        <f>AVERAGE(AA29,AF29,AK29)</f>
        <v>4.7572016460905343E-3</v>
      </c>
      <c r="AQ29" s="73">
        <f>AVERAGE(AB29,AG29,AL29)</f>
        <v>4.7091906721536342E-3</v>
      </c>
      <c r="AR29" s="73">
        <f t="shared" ref="AR29" si="109">AVERAGE(AC29,AH29,AM29)</f>
        <v>4.7846364883401922E-3</v>
      </c>
      <c r="AS29" s="73">
        <f t="shared" ref="AS29" si="110">AVERAGE(AD29,AI29,AN29)</f>
        <v>7.1783264746227704E-3</v>
      </c>
      <c r="AT29" s="69"/>
    </row>
    <row r="30" spans="1:55" x14ac:dyDescent="0.25">
      <c r="A30" s="17" t="s">
        <v>12</v>
      </c>
      <c r="B30" s="36">
        <f>B28+B29</f>
        <v>3.0000000000000001E-3</v>
      </c>
      <c r="C30" s="36">
        <f t="shared" ref="C30:O30" si="111">C28+C29</f>
        <v>2.0999999999999998E-2</v>
      </c>
      <c r="D30" s="36">
        <f t="shared" si="111"/>
        <v>3.6000000000000004E-2</v>
      </c>
      <c r="E30" s="36">
        <f t="shared" si="111"/>
        <v>4.1000000000000002E-2</v>
      </c>
      <c r="F30" s="34"/>
      <c r="G30" s="36">
        <f t="shared" si="111"/>
        <v>2.4E-2</v>
      </c>
      <c r="H30" s="36">
        <f t="shared" si="111"/>
        <v>3.4000000000000002E-2</v>
      </c>
      <c r="I30" s="36">
        <f t="shared" si="111"/>
        <v>1.0999999999999999E-2</v>
      </c>
      <c r="J30" s="36">
        <f t="shared" si="111"/>
        <v>1.9E-2</v>
      </c>
      <c r="K30" s="34"/>
      <c r="L30" s="36">
        <f t="shared" si="111"/>
        <v>2.3E-2</v>
      </c>
      <c r="M30" s="36">
        <f t="shared" si="111"/>
        <v>0.02</v>
      </c>
      <c r="N30" s="36">
        <f>N28+N29</f>
        <v>0.02</v>
      </c>
      <c r="O30" s="36">
        <f t="shared" si="111"/>
        <v>1.0999999999999999E-2</v>
      </c>
      <c r="P30" s="34"/>
      <c r="Q30" s="415">
        <f>Q28+Q29</f>
        <v>1E-3</v>
      </c>
      <c r="R30" s="44">
        <f>R28+R29</f>
        <v>7.3333333333333332E-3</v>
      </c>
      <c r="S30" s="73">
        <f t="shared" ref="S30:T30" si="112">S28+S29</f>
        <v>2.0666666666666667E-2</v>
      </c>
      <c r="T30" s="73">
        <f t="shared" si="112"/>
        <v>2.1333333333333333E-2</v>
      </c>
      <c r="V30" s="73">
        <f>V28+V29</f>
        <v>2.0333333333333332E-2</v>
      </c>
      <c r="W30" s="73">
        <f>W28+W29</f>
        <v>1.911111111111111E-2</v>
      </c>
      <c r="X30" s="73">
        <f t="shared" ref="X30:Y30" si="113">X28+X29</f>
        <v>1.988888888888889E-2</v>
      </c>
      <c r="Y30" s="73">
        <f t="shared" si="113"/>
        <v>2.311111111111111E-2</v>
      </c>
      <c r="AA30" s="73">
        <f>AA28+AA29</f>
        <v>2.0444444444444442E-2</v>
      </c>
      <c r="AB30" s="73">
        <f>AB28+AB29</f>
        <v>1.9814814814814813E-2</v>
      </c>
      <c r="AC30" s="73">
        <f t="shared" ref="AC30" si="114">AC28+AC29</f>
        <v>1.9518518518518518E-2</v>
      </c>
      <c r="AD30" s="73">
        <f t="shared" ref="AD30" si="115">AD28+AD29</f>
        <v>2.148148148148148E-2</v>
      </c>
      <c r="AF30" s="73">
        <f>AF28+AF29</f>
        <v>8.9259259259259257E-3</v>
      </c>
      <c r="AG30" s="73">
        <f>AG28+AG29</f>
        <v>9.7530864197530875E-3</v>
      </c>
      <c r="AH30" s="73">
        <f t="shared" ref="AH30" si="116">AH28+AH29</f>
        <v>1.0024691358024692E-2</v>
      </c>
      <c r="AI30" s="73">
        <f t="shared" ref="AI30" si="117">AI28+AI29</f>
        <v>1.2641975308641975E-2</v>
      </c>
      <c r="AK30" s="73">
        <f>AK28+AK29</f>
        <v>9.9012345679012348E-3</v>
      </c>
      <c r="AL30" s="73">
        <f>AL28+AL29</f>
        <v>9.5596707818930045E-3</v>
      </c>
      <c r="AM30" s="73">
        <f t="shared" ref="AM30" si="118">AM28+AM29</f>
        <v>9.8106995884773666E-3</v>
      </c>
      <c r="AN30" s="73">
        <f t="shared" ref="AN30" si="119">AN28+AN29</f>
        <v>1.2411522633744856E-2</v>
      </c>
      <c r="AP30" s="73">
        <f>AP28+AP29</f>
        <v>1.9757201646090534E-2</v>
      </c>
      <c r="AQ30" s="73">
        <f>AQ28+AQ29</f>
        <v>1.9709190672153633E-2</v>
      </c>
      <c r="AR30" s="73">
        <f t="shared" ref="AR30" si="120">AR28+AR29</f>
        <v>1.9784636488340192E-2</v>
      </c>
      <c r="AS30" s="73">
        <f t="shared" ref="AS30" si="121">AS28+AS29</f>
        <v>2.217832647462277E-2</v>
      </c>
      <c r="AT30" s="69"/>
    </row>
    <row r="31" spans="1:55" x14ac:dyDescent="0.25">
      <c r="A31" s="17" t="s">
        <v>10</v>
      </c>
      <c r="B31" s="36">
        <v>-3.0000000000000001E-3</v>
      </c>
      <c r="C31" s="36">
        <v>-8.9999999999999993E-3</v>
      </c>
      <c r="D31" s="36">
        <v>-8.0000000000000002E-3</v>
      </c>
      <c r="E31" s="36">
        <v>-8.0000000000000002E-3</v>
      </c>
      <c r="F31" s="34"/>
      <c r="G31" s="36">
        <v>-1.7999999999999999E-2</v>
      </c>
      <c r="H31" s="36">
        <v>-1E-3</v>
      </c>
      <c r="I31" s="36">
        <v>-4.0000000000000001E-3</v>
      </c>
      <c r="J31" s="36">
        <v>-1.2999999999999999E-2</v>
      </c>
      <c r="K31" s="34"/>
      <c r="L31" s="36">
        <v>-6.0000000000000001E-3</v>
      </c>
      <c r="M31" s="36">
        <v>-1.4999999999999999E-2</v>
      </c>
      <c r="N31" s="36">
        <v>-8.0000000000000002E-3</v>
      </c>
      <c r="O31" s="36">
        <v>-0.01</v>
      </c>
      <c r="P31" s="32"/>
      <c r="Q31" s="415">
        <v>-1.2999999999999999E-2</v>
      </c>
      <c r="R31" s="44">
        <f>AVERAGE(M31,H31,C31)</f>
        <v>-8.3333333333333332E-3</v>
      </c>
      <c r="S31" s="73">
        <f t="shared" ref="S31:AS31" si="122">AVERAGE(N31,I31,D31)</f>
        <v>-6.6666666666666671E-3</v>
      </c>
      <c r="T31" s="73">
        <f t="shared" si="122"/>
        <v>-1.0333333333333333E-2</v>
      </c>
      <c r="U31" s="73"/>
      <c r="V31" s="73">
        <f t="shared" ref="V31" si="123">AVERAGE(Q31,L31,G31)</f>
        <v>-1.2333333333333333E-2</v>
      </c>
      <c r="W31" s="73">
        <f t="shared" ref="W31" si="124">AVERAGE(R31,M31,H31)</f>
        <v>-8.1111111111111106E-3</v>
      </c>
      <c r="X31" s="73">
        <f t="shared" ref="X31" si="125">AVERAGE(S31,N31,I31)</f>
        <v>-6.2222222222222227E-3</v>
      </c>
      <c r="Y31" s="73">
        <f t="shared" ref="Y31" si="126">AVERAGE(T31,O31,J31)</f>
        <v>-1.1111111111111112E-2</v>
      </c>
      <c r="Z31" s="73"/>
      <c r="AA31" s="73">
        <f t="shared" si="122"/>
        <v>-1.0444444444444444E-2</v>
      </c>
      <c r="AB31" s="73">
        <f t="shared" si="122"/>
        <v>-1.0481481481481481E-2</v>
      </c>
      <c r="AC31" s="73">
        <f t="shared" si="122"/>
        <v>-6.9629629629629633E-3</v>
      </c>
      <c r="AD31" s="73">
        <f t="shared" si="122"/>
        <v>-1.0481481481481482E-2</v>
      </c>
      <c r="AE31" s="73"/>
      <c r="AF31" s="73">
        <f t="shared" si="122"/>
        <v>-1.1925925925925925E-2</v>
      </c>
      <c r="AG31" s="73">
        <f t="shared" si="122"/>
        <v>-8.9753086419753075E-3</v>
      </c>
      <c r="AH31" s="73">
        <f t="shared" si="122"/>
        <v>-6.6172839506172844E-3</v>
      </c>
      <c r="AI31" s="73">
        <f t="shared" si="122"/>
        <v>-1.0641975308641976E-2</v>
      </c>
      <c r="AJ31" s="73"/>
      <c r="AK31" s="73">
        <f t="shared" si="122"/>
        <v>-1.15679012345679E-2</v>
      </c>
      <c r="AL31" s="73">
        <f t="shared" si="122"/>
        <v>-9.1893004115226329E-3</v>
      </c>
      <c r="AM31" s="73">
        <f t="shared" si="122"/>
        <v>-6.6008230452674899E-3</v>
      </c>
      <c r="AN31" s="73">
        <f t="shared" si="122"/>
        <v>-1.0744855967078191E-2</v>
      </c>
      <c r="AO31" s="73"/>
      <c r="AP31" s="73">
        <f t="shared" si="122"/>
        <v>-1.131275720164609E-2</v>
      </c>
      <c r="AQ31" s="73">
        <f t="shared" si="122"/>
        <v>-9.5486968449931403E-3</v>
      </c>
      <c r="AR31" s="73">
        <f t="shared" si="122"/>
        <v>-6.7270233196159122E-3</v>
      </c>
      <c r="AS31" s="73">
        <f t="shared" si="122"/>
        <v>-1.0622770919067217E-2</v>
      </c>
      <c r="AT31" s="69"/>
    </row>
    <row r="32" spans="1:55" x14ac:dyDescent="0.25">
      <c r="A32" s="17" t="s">
        <v>13</v>
      </c>
      <c r="B32" s="36">
        <f t="shared" ref="B32:M32" si="127">B30+B31</f>
        <v>0</v>
      </c>
      <c r="C32" s="36">
        <f t="shared" si="127"/>
        <v>1.1999999999999999E-2</v>
      </c>
      <c r="D32" s="36">
        <f t="shared" si="127"/>
        <v>2.8000000000000004E-2</v>
      </c>
      <c r="E32" s="36">
        <f t="shared" si="127"/>
        <v>3.3000000000000002E-2</v>
      </c>
      <c r="F32" s="34"/>
      <c r="G32" s="36">
        <f>G30+G31</f>
        <v>6.0000000000000019E-3</v>
      </c>
      <c r="H32" s="36">
        <f t="shared" si="127"/>
        <v>3.3000000000000002E-2</v>
      </c>
      <c r="I32" s="36">
        <f>I30+I31</f>
        <v>6.9999999999999993E-3</v>
      </c>
      <c r="J32" s="36">
        <f t="shared" si="127"/>
        <v>6.0000000000000001E-3</v>
      </c>
      <c r="K32" s="34"/>
      <c r="L32" s="36">
        <f t="shared" si="127"/>
        <v>1.7000000000000001E-2</v>
      </c>
      <c r="M32" s="36">
        <f t="shared" si="127"/>
        <v>5.000000000000001E-3</v>
      </c>
      <c r="N32" s="36">
        <f>N30+N31</f>
        <v>1.2E-2</v>
      </c>
      <c r="O32" s="36">
        <f>O30+O31</f>
        <v>9.9999999999999915E-4</v>
      </c>
      <c r="P32" s="32"/>
      <c r="Q32" s="415">
        <f>Q30+Q31</f>
        <v>-1.2E-2</v>
      </c>
      <c r="R32" s="44">
        <f>R31+R30</f>
        <v>-1E-3</v>
      </c>
      <c r="S32" s="73">
        <f t="shared" ref="S32:T32" si="128">S31+S30</f>
        <v>1.3999999999999999E-2</v>
      </c>
      <c r="T32" s="73">
        <f t="shared" si="128"/>
        <v>1.0999999999999999E-2</v>
      </c>
      <c r="V32" s="73">
        <f>V31+V30</f>
        <v>7.9999999999999984E-3</v>
      </c>
      <c r="W32" s="73">
        <f>W31+W30</f>
        <v>1.0999999999999999E-2</v>
      </c>
      <c r="X32" s="73">
        <f t="shared" ref="X32:Y32" si="129">X31+X30</f>
        <v>1.3666666666666667E-2</v>
      </c>
      <c r="Y32" s="73">
        <f t="shared" si="129"/>
        <v>1.1999999999999999E-2</v>
      </c>
      <c r="AA32" s="73">
        <f>AA31+AA30</f>
        <v>9.9999999999999985E-3</v>
      </c>
      <c r="AB32" s="73">
        <f>AB31+AB30</f>
        <v>9.3333333333333324E-3</v>
      </c>
      <c r="AC32" s="73">
        <f t="shared" ref="AC32" si="130">AC31+AC30</f>
        <v>1.2555555555555556E-2</v>
      </c>
      <c r="AD32" s="73">
        <f t="shared" ref="AD32" si="131">AD31+AD30</f>
        <v>1.0999999999999998E-2</v>
      </c>
      <c r="AF32" s="73">
        <f>AF31+AF30</f>
        <v>-2.9999999999999992E-3</v>
      </c>
      <c r="AG32" s="73">
        <f>AG31+AG30</f>
        <v>7.7777777777778001E-4</v>
      </c>
      <c r="AH32" s="73">
        <f t="shared" ref="AH32" si="132">AH31+AH30</f>
        <v>3.4074074074074076E-3</v>
      </c>
      <c r="AI32" s="73">
        <f t="shared" ref="AI32" si="133">AI31+AI30</f>
        <v>1.9999999999999983E-3</v>
      </c>
      <c r="AK32" s="73">
        <f>AK31+AK30</f>
        <v>-1.6666666666666653E-3</v>
      </c>
      <c r="AL32" s="73">
        <f>AL31+AL30</f>
        <v>3.703703703703716E-4</v>
      </c>
      <c r="AM32" s="73">
        <f t="shared" ref="AM32" si="134">AM31+AM30</f>
        <v>3.2098765432098768E-3</v>
      </c>
      <c r="AN32" s="73">
        <f t="shared" ref="AN32" si="135">AN31+AN30</f>
        <v>1.6666666666666653E-3</v>
      </c>
      <c r="AP32" s="73">
        <f>AP31+AP30</f>
        <v>8.4444444444444437E-3</v>
      </c>
      <c r="AQ32" s="73">
        <f>AQ31+AQ30</f>
        <v>1.0160493827160492E-2</v>
      </c>
      <c r="AR32" s="73">
        <f t="shared" ref="AR32" si="136">AR31+AR30</f>
        <v>1.305761316872428E-2</v>
      </c>
      <c r="AS32" s="73">
        <f t="shared" ref="AS32" si="137">AS31+AS30</f>
        <v>1.1555555555555553E-2</v>
      </c>
      <c r="AT32" s="69"/>
    </row>
    <row r="33" spans="1:55" x14ac:dyDescent="0.25">
      <c r="A33" s="17"/>
      <c r="B33" s="40"/>
      <c r="C33" s="40"/>
      <c r="D33" s="40"/>
      <c r="E33" s="40"/>
      <c r="F33" s="32"/>
      <c r="G33" s="40"/>
      <c r="H33" s="40"/>
      <c r="I33" s="40"/>
      <c r="J33" s="40"/>
      <c r="K33" s="32"/>
      <c r="L33" s="40"/>
      <c r="M33" s="40"/>
      <c r="N33" s="40"/>
      <c r="O33" s="40"/>
      <c r="P33" s="32"/>
      <c r="Q33" s="421"/>
      <c r="R33" s="14"/>
      <c r="AT33" s="69"/>
    </row>
    <row r="34" spans="1:55" s="1" customFormat="1" x14ac:dyDescent="0.25">
      <c r="A34" s="53" t="s">
        <v>4</v>
      </c>
      <c r="B34" s="49"/>
      <c r="C34" s="49"/>
      <c r="D34" s="49"/>
      <c r="E34" s="49"/>
      <c r="F34" s="50"/>
      <c r="G34" s="49"/>
      <c r="H34" s="49"/>
      <c r="I34" s="49"/>
      <c r="J34" s="49"/>
      <c r="K34" s="50"/>
      <c r="L34" s="49"/>
      <c r="M34" s="49"/>
      <c r="N34" s="49"/>
      <c r="O34" s="49"/>
      <c r="P34" s="50"/>
      <c r="Q34" s="422"/>
      <c r="R34" s="12"/>
      <c r="S34" s="70"/>
      <c r="T34" s="70"/>
      <c r="U34" s="71"/>
      <c r="V34" s="70"/>
      <c r="W34" s="70"/>
      <c r="X34" s="70"/>
      <c r="Y34" s="70"/>
      <c r="Z34" s="71"/>
      <c r="AA34" s="70"/>
      <c r="AB34" s="70"/>
      <c r="AC34" s="70"/>
      <c r="AD34" s="70"/>
      <c r="AE34" s="71"/>
      <c r="AF34" s="70"/>
      <c r="AG34" s="70"/>
      <c r="AH34" s="70"/>
      <c r="AI34" s="70"/>
      <c r="AJ34" s="71"/>
      <c r="AK34" s="70"/>
      <c r="AL34" s="70"/>
      <c r="AM34" s="70"/>
      <c r="AN34" s="70"/>
      <c r="AO34" s="71"/>
      <c r="AP34" s="70"/>
      <c r="AQ34" s="70"/>
      <c r="AR34" s="70"/>
      <c r="AS34" s="70"/>
      <c r="AT34" s="71"/>
    </row>
    <row r="35" spans="1:55" x14ac:dyDescent="0.25">
      <c r="A35" s="17" t="s">
        <v>0</v>
      </c>
      <c r="B35" s="40">
        <v>403</v>
      </c>
      <c r="C35" s="40">
        <v>411</v>
      </c>
      <c r="D35" s="40">
        <v>370</v>
      </c>
      <c r="E35" s="40">
        <v>402</v>
      </c>
      <c r="F35" s="32">
        <f>SUM(B35:E35)</f>
        <v>1586</v>
      </c>
      <c r="G35" s="40">
        <v>395</v>
      </c>
      <c r="H35" s="40">
        <v>416</v>
      </c>
      <c r="I35" s="40">
        <v>370</v>
      </c>
      <c r="J35" s="40">
        <v>415</v>
      </c>
      <c r="K35" s="32">
        <f>SUM(G35:J35)</f>
        <v>1596</v>
      </c>
      <c r="L35" s="40">
        <v>401</v>
      </c>
      <c r="M35" s="40">
        <v>416</v>
      </c>
      <c r="N35" s="40">
        <v>380</v>
      </c>
      <c r="O35" s="40">
        <v>406</v>
      </c>
      <c r="P35" s="32">
        <f>SUM(L35:O35)</f>
        <v>1603</v>
      </c>
      <c r="Q35" s="421">
        <v>381</v>
      </c>
      <c r="R35" s="30">
        <f>M35*(1+R37)</f>
        <v>398.66666666666669</v>
      </c>
      <c r="S35" s="67">
        <f t="shared" ref="S35:T35" si="138">N35*(1+S37)</f>
        <v>383.54666666666668</v>
      </c>
      <c r="T35" s="67">
        <f t="shared" si="138"/>
        <v>409.53219999999999</v>
      </c>
      <c r="U35" s="274">
        <f>SUM(Q35:T35)</f>
        <v>1572.7455333333332</v>
      </c>
      <c r="V35" s="67">
        <f>Q35*(1+V37)</f>
        <v>382.39699999999999</v>
      </c>
      <c r="W35" s="67">
        <f>R35*(1+W37)</f>
        <v>400.30562962962966</v>
      </c>
      <c r="X35" s="67">
        <f t="shared" ref="X35" si="139">S35*(1+X37)</f>
        <v>385.12346962962965</v>
      </c>
      <c r="Y35" s="67">
        <f t="shared" ref="Y35" si="140">T35*(1+Y37)</f>
        <v>412.49448291333334</v>
      </c>
      <c r="Z35" s="274">
        <f>SUM(V35:Y35)</f>
        <v>1580.3205821725926</v>
      </c>
      <c r="AA35" s="67">
        <f>V35*(1+AA37)</f>
        <v>385.66861877777779</v>
      </c>
      <c r="AB35" s="67">
        <f>W35*(1+AB37)</f>
        <v>401.03211021673525</v>
      </c>
      <c r="AC35" s="67">
        <f t="shared" ref="AC35" si="141">X35*(1+AC37)</f>
        <v>386.59264434710559</v>
      </c>
      <c r="AD35" s="67">
        <f t="shared" ref="AD35" si="142">Y35*(1+AD37)</f>
        <v>415.37277774966191</v>
      </c>
      <c r="AE35" s="274">
        <f>SUM(AA35:AD35)</f>
        <v>1588.6661510912807</v>
      </c>
      <c r="AF35" s="67">
        <f>AA35*(1+AF37)</f>
        <v>386.597080267428</v>
      </c>
      <c r="AG35" s="67">
        <f>AB35*(1+AG37)</f>
        <v>400.26470309224646</v>
      </c>
      <c r="AH35" s="67">
        <f t="shared" ref="AH35" si="143">AC35*(1+AH37)</f>
        <v>386.23946094362799</v>
      </c>
      <c r="AI35" s="67">
        <f t="shared" ref="AI35" si="144">AD35*(1+AI37)</f>
        <v>415.7758431858486</v>
      </c>
      <c r="AJ35" s="274">
        <f>SUM(AF35:AI35)</f>
        <v>1588.8770874891511</v>
      </c>
      <c r="AK35" s="67">
        <f>AF35*(1+AK37)</f>
        <v>385.26069529860234</v>
      </c>
      <c r="AL35" s="67">
        <f>AG35*(1+AL37)</f>
        <v>397.46449735044888</v>
      </c>
      <c r="AM35" s="67">
        <f t="shared" ref="AM35" si="145">AH35*(1+AM37)</f>
        <v>383.92361364076845</v>
      </c>
      <c r="AN35" s="67">
        <f t="shared" ref="AN35" si="146">AI35*(1+AN37)</f>
        <v>414.41507558055764</v>
      </c>
      <c r="AO35" s="274">
        <f>SUM(AK35:AN35)</f>
        <v>1581.0638818703774</v>
      </c>
      <c r="AP35" s="67">
        <f>AK35*(1+AP37)</f>
        <v>388.15094323082195</v>
      </c>
      <c r="AQ35" s="67">
        <f>AL35*(1+AQ37)</f>
        <v>398.51186264456442</v>
      </c>
      <c r="AR35" s="67">
        <f t="shared" ref="AR35" si="147">AM35*(1+AR37)</f>
        <v>385.447195278989</v>
      </c>
      <c r="AS35" s="67">
        <f t="shared" ref="AS35" si="148">AN35*(1+AS37)</f>
        <v>417.13299041986926</v>
      </c>
      <c r="AT35" s="274">
        <f>SUM(AP35:AS35)</f>
        <v>1589.2429915742446</v>
      </c>
    </row>
    <row r="36" spans="1:55" s="38" customFormat="1" hidden="1" x14ac:dyDescent="0.25">
      <c r="A36" s="38" t="s">
        <v>15</v>
      </c>
      <c r="B36" s="42" t="s">
        <v>49</v>
      </c>
      <c r="C36" s="42" t="s">
        <v>49</v>
      </c>
      <c r="D36" s="42" t="s">
        <v>49</v>
      </c>
      <c r="E36" s="42" t="s">
        <v>49</v>
      </c>
      <c r="F36" s="35" t="s">
        <v>49</v>
      </c>
      <c r="G36" s="42">
        <f t="shared" ref="G36:P36" si="149">B35*(1+G37)</f>
        <v>394.94</v>
      </c>
      <c r="H36" s="42">
        <f t="shared" si="149"/>
        <v>415.93200000000002</v>
      </c>
      <c r="I36" s="42">
        <f>D35*(1+I37)</f>
        <v>370</v>
      </c>
      <c r="J36" s="42">
        <f>E35*(1+J37)</f>
        <v>415.66800000000001</v>
      </c>
      <c r="K36" s="35">
        <f>F35*(1+K37)</f>
        <v>1586</v>
      </c>
      <c r="L36" s="42">
        <f>G35*(1+L37)</f>
        <v>400.92499999999995</v>
      </c>
      <c r="M36" s="42">
        <f>H35*(1+M37)</f>
        <v>416</v>
      </c>
      <c r="N36" s="42">
        <f t="shared" si="149"/>
        <v>379.98999999999995</v>
      </c>
      <c r="O36" s="42">
        <f t="shared" si="149"/>
        <v>405.45499999999998</v>
      </c>
      <c r="P36" s="35">
        <f t="shared" si="149"/>
        <v>1596</v>
      </c>
      <c r="Q36" s="414">
        <f>L35*(1+Q37)</f>
        <v>380.95</v>
      </c>
      <c r="R36" s="30"/>
      <c r="S36" s="67"/>
      <c r="T36" s="67"/>
      <c r="U36" s="69"/>
      <c r="V36" s="67"/>
      <c r="W36" s="67"/>
      <c r="X36" s="67"/>
      <c r="Y36" s="67"/>
      <c r="Z36" s="69"/>
      <c r="AA36" s="67"/>
      <c r="AB36" s="67"/>
      <c r="AC36" s="67"/>
      <c r="AD36" s="67"/>
      <c r="AE36" s="69"/>
      <c r="AF36" s="67"/>
      <c r="AG36" s="67"/>
      <c r="AH36" s="67"/>
      <c r="AI36" s="67"/>
      <c r="AJ36" s="69"/>
      <c r="AK36" s="67"/>
      <c r="AL36" s="67"/>
      <c r="AM36" s="67"/>
      <c r="AN36" s="67"/>
      <c r="AO36" s="69"/>
      <c r="AP36" s="67"/>
      <c r="AQ36" s="67"/>
      <c r="AR36" s="67"/>
      <c r="AS36" s="67"/>
      <c r="AT36" s="69"/>
    </row>
    <row r="37" spans="1:55" s="116" customFormat="1" x14ac:dyDescent="0.25">
      <c r="A37" s="116" t="s">
        <v>7</v>
      </c>
      <c r="B37" s="121">
        <f>B38+B44</f>
        <v>-3.5000000000000003E-2</v>
      </c>
      <c r="C37" s="121">
        <f>C38+C44</f>
        <v>-3.2000000000000001E-2</v>
      </c>
      <c r="D37" s="121">
        <f>D38+D44</f>
        <v>-6.5000000000000002E-2</v>
      </c>
      <c r="E37" s="121">
        <f>E38+E44</f>
        <v>-5.1000000000000004E-2</v>
      </c>
      <c r="F37" s="122"/>
      <c r="G37" s="121">
        <f>G38+G44</f>
        <v>-1.9999999999999997E-2</v>
      </c>
      <c r="H37" s="121">
        <f>H38+H44</f>
        <v>1.2E-2</v>
      </c>
      <c r="I37" s="121">
        <f t="shared" ref="I37:L37" si="150">I38+I44</f>
        <v>0</v>
      </c>
      <c r="J37" s="121">
        <f t="shared" si="150"/>
        <v>3.4000000000000002E-2</v>
      </c>
      <c r="K37" s="122">
        <f t="shared" si="150"/>
        <v>0</v>
      </c>
      <c r="L37" s="121">
        <f t="shared" si="150"/>
        <v>1.5000000000000003E-2</v>
      </c>
      <c r="M37" s="121">
        <f t="shared" ref="M37" si="151">M38+M44</f>
        <v>0</v>
      </c>
      <c r="N37" s="121">
        <f t="shared" ref="N37:O37" si="152">N38+N44</f>
        <v>2.7E-2</v>
      </c>
      <c r="O37" s="121">
        <f t="shared" si="152"/>
        <v>-2.3E-2</v>
      </c>
      <c r="P37" s="122"/>
      <c r="Q37" s="415">
        <f t="shared" ref="Q37" si="153">Q38+Q44</f>
        <v>-4.9999999999999996E-2</v>
      </c>
      <c r="R37" s="423">
        <f>R38+R44</f>
        <v>-4.1666666666666671E-2</v>
      </c>
      <c r="S37" s="124">
        <f t="shared" ref="S37:T37" si="154">S38+S44</f>
        <v>9.3333333333333324E-3</v>
      </c>
      <c r="T37" s="124">
        <f t="shared" si="154"/>
        <v>8.7000000000000029E-3</v>
      </c>
      <c r="U37" s="126"/>
      <c r="V37" s="124">
        <f>V38+V44</f>
        <v>3.6666666666666688E-3</v>
      </c>
      <c r="W37" s="124">
        <f>W38+W44</f>
        <v>4.1111111111111105E-3</v>
      </c>
      <c r="X37" s="124">
        <f t="shared" ref="X37:Y37" si="155">X38+X44</f>
        <v>4.1111111111111105E-3</v>
      </c>
      <c r="Y37" s="124">
        <f t="shared" si="155"/>
        <v>7.2333333333333347E-3</v>
      </c>
      <c r="Z37" s="120"/>
      <c r="AA37" s="124">
        <f>AA38+AA44</f>
        <v>8.5555555555555524E-3</v>
      </c>
      <c r="AB37" s="124">
        <f>AB38+AB44</f>
        <v>1.8148148148148142E-3</v>
      </c>
      <c r="AC37" s="124">
        <f t="shared" ref="AC37" si="156">AC38+AC44</f>
        <v>3.814814814814816E-3</v>
      </c>
      <c r="AD37" s="124">
        <f t="shared" ref="AD37" si="157">AD38+AD44</f>
        <v>6.9777777777777772E-3</v>
      </c>
      <c r="AE37" s="120"/>
      <c r="AF37" s="124">
        <f>AF38+AF44</f>
        <v>2.4074074074074067E-3</v>
      </c>
      <c r="AG37" s="124">
        <f>AG38+AG44</f>
        <v>-1.9135802469135814E-3</v>
      </c>
      <c r="AH37" s="124">
        <f t="shared" ref="AH37" si="158">AH38+AH44</f>
        <v>-9.1358024691357703E-4</v>
      </c>
      <c r="AI37" s="124">
        <f t="shared" ref="AI37" si="159">AI38+AI44</f>
        <v>9.7037037037037144E-4</v>
      </c>
      <c r="AJ37" s="120"/>
      <c r="AK37" s="124">
        <f>AK38+AK44</f>
        <v>-3.4567901234567912E-3</v>
      </c>
      <c r="AL37" s="124">
        <f>AL38+AL44</f>
        <v>-6.995884773662555E-3</v>
      </c>
      <c r="AM37" s="124">
        <f t="shared" ref="AM37" si="160">AM38+AM44</f>
        <v>-5.9958847736625506E-3</v>
      </c>
      <c r="AN37" s="124">
        <f t="shared" ref="AN37" si="161">AN38+AN44</f>
        <v>-3.2728395061728394E-3</v>
      </c>
      <c r="AO37" s="120"/>
      <c r="AP37" s="124">
        <f>AP38+AP44</f>
        <v>7.5020576131687236E-3</v>
      </c>
      <c r="AQ37" s="124">
        <f>AQ38+AQ44</f>
        <v>2.6351165980795614E-3</v>
      </c>
      <c r="AR37" s="124">
        <f t="shared" ref="AR37" si="162">AR38+AR44</f>
        <v>3.9684499314128936E-3</v>
      </c>
      <c r="AS37" s="124">
        <f t="shared" ref="AS37" si="163">AS38+AS44</f>
        <v>6.5584362139917696E-3</v>
      </c>
      <c r="AT37" s="120"/>
    </row>
    <row r="38" spans="1:55" x14ac:dyDescent="0.25">
      <c r="A38" s="17" t="s">
        <v>14</v>
      </c>
      <c r="B38" s="36">
        <v>-0.02</v>
      </c>
      <c r="C38" s="36">
        <v>-2.1999999999999999E-2</v>
      </c>
      <c r="D38" s="36">
        <v>-0.06</v>
      </c>
      <c r="E38" s="36">
        <v>-0.03</v>
      </c>
      <c r="F38" s="32"/>
      <c r="G38" s="36">
        <v>-1.9E-2</v>
      </c>
      <c r="H38" s="36">
        <v>-0.02</v>
      </c>
      <c r="I38" s="36">
        <v>7.0000000000000001E-3</v>
      </c>
      <c r="J38" s="36">
        <v>1.9E-2</v>
      </c>
      <c r="K38" s="34"/>
      <c r="L38" s="36">
        <v>1E-3</v>
      </c>
      <c r="M38" s="36">
        <v>-5.0000000000000001E-3</v>
      </c>
      <c r="N38" s="36">
        <v>5.0000000000000001E-3</v>
      </c>
      <c r="O38" s="36">
        <v>-3.1E-2</v>
      </c>
      <c r="P38" s="34"/>
      <c r="Q38" s="415">
        <v>-4.2999999999999997E-2</v>
      </c>
      <c r="R38" s="423">
        <v>-3.1E-2</v>
      </c>
      <c r="S38" s="78">
        <v>-1.4999999999999999E-2</v>
      </c>
      <c r="T38" s="78">
        <v>-1.4999999999999999E-2</v>
      </c>
      <c r="U38" s="69" t="s">
        <v>266</v>
      </c>
      <c r="V38" s="78">
        <v>-1.4999999999999999E-2</v>
      </c>
      <c r="W38" s="78">
        <v>-1.4999999999999999E-2</v>
      </c>
      <c r="X38" s="78">
        <v>-1.4999999999999999E-2</v>
      </c>
      <c r="Y38" s="78">
        <v>-1.4999999999999999E-2</v>
      </c>
      <c r="AA38" s="78">
        <v>-1.4999999999999999E-2</v>
      </c>
      <c r="AB38" s="78">
        <v>-1.4999999999999999E-2</v>
      </c>
      <c r="AC38" s="78">
        <v>-1.4999999999999999E-2</v>
      </c>
      <c r="AD38" s="78">
        <v>-1.4999999999999999E-2</v>
      </c>
      <c r="AF38" s="78">
        <v>-1.4999999999999999E-2</v>
      </c>
      <c r="AG38" s="78">
        <v>-1.4999999999999999E-2</v>
      </c>
      <c r="AH38" s="78">
        <v>-1.4999999999999999E-2</v>
      </c>
      <c r="AI38" s="78">
        <v>-1.4999999999999999E-2</v>
      </c>
      <c r="AK38" s="78">
        <v>-1.4999999999999999E-2</v>
      </c>
      <c r="AL38" s="78">
        <v>-1.4999999999999999E-2</v>
      </c>
      <c r="AM38" s="78">
        <v>-1.4999999999999999E-2</v>
      </c>
      <c r="AN38" s="78">
        <v>-1.4999999999999999E-2</v>
      </c>
      <c r="AP38" s="78">
        <v>-1.4999999999999999E-2</v>
      </c>
      <c r="AQ38" s="78">
        <v>-1.4999999999999999E-2</v>
      </c>
      <c r="AR38" s="78">
        <v>-1.4999999999999999E-2</v>
      </c>
      <c r="AS38" s="78">
        <v>-1.4999999999999999E-2</v>
      </c>
      <c r="AT38" s="69"/>
      <c r="AY38" s="361"/>
      <c r="AZ38" s="361"/>
      <c r="BA38" s="361"/>
      <c r="BB38" s="361"/>
      <c r="BC38" s="361"/>
    </row>
    <row r="39" spans="1:55" hidden="1" x14ac:dyDescent="0.25">
      <c r="A39" s="17" t="s">
        <v>8</v>
      </c>
      <c r="B39" s="36">
        <v>-2.9000000000000001E-2</v>
      </c>
      <c r="C39" s="36">
        <v>-2.8000000000000001E-2</v>
      </c>
      <c r="D39" s="36">
        <v>-1.9E-2</v>
      </c>
      <c r="E39" s="36">
        <v>-4.4999999999999998E-2</v>
      </c>
      <c r="F39" s="32"/>
      <c r="G39" s="36">
        <v>-3.0000000000000001E-3</v>
      </c>
      <c r="H39" s="36">
        <v>2.5999999999999999E-2</v>
      </c>
      <c r="I39" s="36">
        <v>-1E-3</v>
      </c>
      <c r="J39" s="36">
        <v>2.7E-2</v>
      </c>
      <c r="K39" s="32"/>
      <c r="L39" s="36">
        <v>1.9E-2</v>
      </c>
      <c r="M39" s="36">
        <v>0.01</v>
      </c>
      <c r="N39" s="36">
        <v>4.1000000000000002E-2</v>
      </c>
      <c r="O39" s="36">
        <v>6.0000000000000001E-3</v>
      </c>
      <c r="P39" s="32"/>
      <c r="Q39" s="415">
        <v>-2.9000000000000001E-2</v>
      </c>
      <c r="R39" s="44"/>
      <c r="S39" s="73"/>
      <c r="T39" s="73"/>
      <c r="V39" s="73"/>
      <c r="W39" s="73"/>
      <c r="X39" s="73"/>
      <c r="Y39" s="73"/>
      <c r="AA39" s="73"/>
      <c r="AB39" s="73"/>
      <c r="AC39" s="73"/>
      <c r="AD39" s="73"/>
      <c r="AF39" s="73"/>
      <c r="AG39" s="73"/>
      <c r="AH39" s="73"/>
      <c r="AI39" s="73"/>
      <c r="AK39" s="73"/>
      <c r="AL39" s="73"/>
      <c r="AM39" s="73"/>
      <c r="AN39" s="73"/>
      <c r="AP39" s="73"/>
      <c r="AQ39" s="73"/>
      <c r="AR39" s="73"/>
      <c r="AS39" s="73"/>
      <c r="AT39" s="69"/>
    </row>
    <row r="40" spans="1:55" x14ac:dyDescent="0.25">
      <c r="A40" s="17" t="s">
        <v>11</v>
      </c>
      <c r="B40" s="36">
        <v>1E-3</v>
      </c>
      <c r="C40" s="36">
        <v>-6.0000000000000001E-3</v>
      </c>
      <c r="D40" s="36">
        <v>-1E-3</v>
      </c>
      <c r="E40" s="36">
        <v>-1.7000000000000001E-2</v>
      </c>
      <c r="F40" s="32"/>
      <c r="G40" s="36">
        <v>1.4E-2</v>
      </c>
      <c r="H40" s="36">
        <v>3.2000000000000001E-2</v>
      </c>
      <c r="I40" s="36">
        <v>-5.0000000000000001E-3</v>
      </c>
      <c r="J40" s="36">
        <v>5.0000000000000001E-3</v>
      </c>
      <c r="K40" s="32"/>
      <c r="L40" s="43">
        <v>0.01</v>
      </c>
      <c r="M40" s="36">
        <v>1.2999999999999999E-2</v>
      </c>
      <c r="N40" s="36">
        <v>2.7E-2</v>
      </c>
      <c r="O40" s="43">
        <v>0</v>
      </c>
      <c r="P40" s="32"/>
      <c r="Q40" s="415">
        <v>-5.0000000000000001E-3</v>
      </c>
      <c r="R40" s="44">
        <v>-1.4E-2</v>
      </c>
      <c r="S40" s="73">
        <v>0.02</v>
      </c>
      <c r="T40" s="73">
        <v>0.02</v>
      </c>
      <c r="V40" s="73">
        <v>1.4999999999999999E-2</v>
      </c>
      <c r="W40" s="73">
        <v>1.4999999999999999E-2</v>
      </c>
      <c r="X40" s="73">
        <v>1.4999999999999999E-2</v>
      </c>
      <c r="Y40" s="73">
        <v>1.4999999999999999E-2</v>
      </c>
      <c r="AA40" s="73">
        <v>1.4999999999999999E-2</v>
      </c>
      <c r="AB40" s="73">
        <v>1.4999999999999999E-2</v>
      </c>
      <c r="AC40" s="73">
        <v>1.4999999999999999E-2</v>
      </c>
      <c r="AD40" s="73">
        <v>1.4999999999999999E-2</v>
      </c>
      <c r="AF40" s="73">
        <v>0.01</v>
      </c>
      <c r="AG40" s="73">
        <v>0.01</v>
      </c>
      <c r="AH40" s="73">
        <v>0.01</v>
      </c>
      <c r="AI40" s="73">
        <v>0.01</v>
      </c>
      <c r="AK40" s="73">
        <v>5.0000000000000001E-3</v>
      </c>
      <c r="AL40" s="73">
        <v>5.0000000000000001E-3</v>
      </c>
      <c r="AM40" s="73">
        <v>5.0000000000000001E-3</v>
      </c>
      <c r="AN40" s="73">
        <v>5.0000000000000001E-3</v>
      </c>
      <c r="AP40" s="73">
        <v>1.4999999999999999E-2</v>
      </c>
      <c r="AQ40" s="73">
        <v>1.4999999999999999E-2</v>
      </c>
      <c r="AR40" s="73">
        <v>1.4999999999999999E-2</v>
      </c>
      <c r="AS40" s="73">
        <v>1.4999999999999999E-2</v>
      </c>
      <c r="AT40" s="69"/>
    </row>
    <row r="41" spans="1:55" x14ac:dyDescent="0.25">
      <c r="A41" s="17" t="s">
        <v>9</v>
      </c>
      <c r="B41" s="36">
        <v>2E-3</v>
      </c>
      <c r="C41" s="36">
        <v>3.0000000000000001E-3</v>
      </c>
      <c r="D41" s="36">
        <v>6.0000000000000001E-3</v>
      </c>
      <c r="E41" s="36">
        <v>1E-4</v>
      </c>
      <c r="F41" s="34">
        <f t="shared" ref="F41" si="164">F17</f>
        <v>0</v>
      </c>
      <c r="G41" s="36">
        <v>7.0000000000000001E-3</v>
      </c>
      <c r="H41" s="36">
        <v>1.2E-2</v>
      </c>
      <c r="I41" s="36">
        <v>6.0000000000000001E-3</v>
      </c>
      <c r="J41" s="36">
        <v>1.9E-2</v>
      </c>
      <c r="K41" s="34"/>
      <c r="L41" s="36">
        <v>1.7000000000000001E-2</v>
      </c>
      <c r="M41" s="36">
        <v>0.01</v>
      </c>
      <c r="N41" s="36">
        <v>1.0999999999999999E-2</v>
      </c>
      <c r="O41" s="36">
        <v>1.4999999999999999E-2</v>
      </c>
      <c r="P41" s="34"/>
      <c r="Q41" s="415">
        <v>1.2999999999999999E-2</v>
      </c>
      <c r="R41" s="44">
        <f>AVERAGE(C41,H41,M41)</f>
        <v>8.3333333333333332E-3</v>
      </c>
      <c r="S41" s="73">
        <f t="shared" ref="S41:T41" si="165">AVERAGE(D41,I41,N41)</f>
        <v>7.6666666666666662E-3</v>
      </c>
      <c r="T41" s="73">
        <f t="shared" si="165"/>
        <v>1.1366666666666666E-2</v>
      </c>
      <c r="V41" s="73">
        <f>AVERAGE(G41,L41,Q41)</f>
        <v>1.2333333333333333E-2</v>
      </c>
      <c r="W41" s="73">
        <f>AVERAGE(H41,M41,R41)</f>
        <v>1.0111111111111111E-2</v>
      </c>
      <c r="X41" s="73">
        <f t="shared" ref="X41" si="166">AVERAGE(I41,N41,S41)</f>
        <v>8.2222222222222228E-3</v>
      </c>
      <c r="Y41" s="73">
        <f t="shared" ref="Y41" si="167">AVERAGE(J41,O41,T41)</f>
        <v>1.5122222222222223E-2</v>
      </c>
      <c r="AA41" s="73">
        <f>AVERAGE(L41,Q41,V41)</f>
        <v>1.4111111111111111E-2</v>
      </c>
      <c r="AB41" s="73">
        <f>AVERAGE(M41,R41,W41)</f>
        <v>9.4814814814814814E-3</v>
      </c>
      <c r="AC41" s="73">
        <f t="shared" ref="AC41" si="168">AVERAGE(N41,S41,X41)</f>
        <v>8.9629629629629625E-3</v>
      </c>
      <c r="AD41" s="73">
        <f t="shared" ref="AD41" si="169">AVERAGE(O41,T41,Y41)</f>
        <v>1.3829629629629629E-2</v>
      </c>
      <c r="AF41" s="73">
        <f>AVERAGE(Q41,V41,AA41)</f>
        <v>1.3148148148148147E-2</v>
      </c>
      <c r="AG41" s="73">
        <f>AVERAGE(R41,W41,AB41)</f>
        <v>9.3086419753086406E-3</v>
      </c>
      <c r="AH41" s="73">
        <f t="shared" ref="AH41" si="170">AVERAGE(S41,X41,AC41)</f>
        <v>8.2839506172839514E-3</v>
      </c>
      <c r="AI41" s="73">
        <f t="shared" ref="AI41" si="171">AVERAGE(T41,Y41,AD41)</f>
        <v>1.3439506172839505E-2</v>
      </c>
      <c r="AK41" s="73">
        <f>AVERAGE(V41,AA41,AF41)</f>
        <v>1.319753086419753E-2</v>
      </c>
      <c r="AL41" s="73">
        <f>AVERAGE(W41,AB41,AG41)</f>
        <v>9.6337448559670764E-3</v>
      </c>
      <c r="AM41" s="73">
        <f t="shared" ref="AM41" si="172">AVERAGE(X41,AC41,AH41)</f>
        <v>8.4897119341563795E-3</v>
      </c>
      <c r="AN41" s="73">
        <f t="shared" ref="AN41" si="173">AVERAGE(Y41,AD41,AI41)</f>
        <v>1.4130452674897119E-2</v>
      </c>
      <c r="AP41" s="73">
        <f>AVERAGE(AA41,AF41,AK41)</f>
        <v>1.3485596707818929E-2</v>
      </c>
      <c r="AQ41" s="73">
        <f>AVERAGE(AB41,AG41,AL41)</f>
        <v>9.4746227709190667E-3</v>
      </c>
      <c r="AR41" s="73">
        <f t="shared" ref="AR41" si="174">AVERAGE(AC41,AH41,AM41)</f>
        <v>8.578875171467765E-3</v>
      </c>
      <c r="AS41" s="73">
        <f t="shared" ref="AS41" si="175">AVERAGE(AD41,AI41,AN41)</f>
        <v>1.3799862825788751E-2</v>
      </c>
      <c r="AT41" s="69"/>
    </row>
    <row r="42" spans="1:55" x14ac:dyDescent="0.25">
      <c r="A42" s="17" t="s">
        <v>12</v>
      </c>
      <c r="B42" s="36">
        <f>B40+B41</f>
        <v>3.0000000000000001E-3</v>
      </c>
      <c r="C42" s="36">
        <f t="shared" ref="C42:P42" si="176">C40+C41</f>
        <v>-3.0000000000000001E-3</v>
      </c>
      <c r="D42" s="36">
        <f t="shared" si="176"/>
        <v>5.0000000000000001E-3</v>
      </c>
      <c r="E42" s="36">
        <f t="shared" si="176"/>
        <v>-1.6900000000000002E-2</v>
      </c>
      <c r="F42" s="34">
        <f t="shared" si="176"/>
        <v>0</v>
      </c>
      <c r="G42" s="36">
        <f t="shared" si="176"/>
        <v>2.1000000000000001E-2</v>
      </c>
      <c r="H42" s="36">
        <f t="shared" si="176"/>
        <v>4.3999999999999997E-2</v>
      </c>
      <c r="I42" s="36">
        <f t="shared" si="176"/>
        <v>1E-3</v>
      </c>
      <c r="J42" s="36">
        <f t="shared" si="176"/>
        <v>2.4E-2</v>
      </c>
      <c r="K42" s="34">
        <f t="shared" si="176"/>
        <v>0</v>
      </c>
      <c r="L42" s="36">
        <f t="shared" si="176"/>
        <v>2.7000000000000003E-2</v>
      </c>
      <c r="M42" s="36">
        <f t="shared" si="176"/>
        <v>2.3E-2</v>
      </c>
      <c r="N42" s="36">
        <f t="shared" si="176"/>
        <v>3.7999999999999999E-2</v>
      </c>
      <c r="O42" s="36">
        <f t="shared" si="176"/>
        <v>1.4999999999999999E-2</v>
      </c>
      <c r="P42" s="34">
        <f t="shared" si="176"/>
        <v>0</v>
      </c>
      <c r="Q42" s="415">
        <f>Q40+Q41</f>
        <v>8.0000000000000002E-3</v>
      </c>
      <c r="R42" s="45">
        <f>R41+R40</f>
        <v>-5.6666666666666671E-3</v>
      </c>
      <c r="S42" s="75">
        <f t="shared" ref="S42:T42" si="177">S41+S40</f>
        <v>2.7666666666666666E-2</v>
      </c>
      <c r="T42" s="75">
        <f t="shared" si="177"/>
        <v>3.1366666666666668E-2</v>
      </c>
      <c r="V42" s="75">
        <f>V41+V40</f>
        <v>2.7333333333333334E-2</v>
      </c>
      <c r="W42" s="75">
        <f>W41+W40</f>
        <v>2.5111111111111112E-2</v>
      </c>
      <c r="X42" s="75">
        <f t="shared" ref="X42:Y42" si="178">X41+X40</f>
        <v>2.322222222222222E-2</v>
      </c>
      <c r="Y42" s="75">
        <f t="shared" si="178"/>
        <v>3.0122222222222224E-2</v>
      </c>
      <c r="AA42" s="75">
        <f>AA41+AA40</f>
        <v>2.9111111111111108E-2</v>
      </c>
      <c r="AB42" s="75">
        <f>AB41+AB40</f>
        <v>2.4481481481481479E-2</v>
      </c>
      <c r="AC42" s="75">
        <f t="shared" ref="AC42" si="179">AC41+AC40</f>
        <v>2.3962962962962964E-2</v>
      </c>
      <c r="AD42" s="75">
        <f t="shared" ref="AD42" si="180">AD41+AD40</f>
        <v>2.8829629629629629E-2</v>
      </c>
      <c r="AF42" s="75">
        <f>AF41+AF40</f>
        <v>2.3148148148148147E-2</v>
      </c>
      <c r="AG42" s="75">
        <f>AG41+AG40</f>
        <v>1.9308641975308641E-2</v>
      </c>
      <c r="AH42" s="75">
        <f t="shared" ref="AH42" si="181">AH41+AH40</f>
        <v>1.8283950617283953E-2</v>
      </c>
      <c r="AI42" s="75">
        <f t="shared" ref="AI42" si="182">AI41+AI40</f>
        <v>2.3439506172839505E-2</v>
      </c>
      <c r="AK42" s="75">
        <f>AK41+AK40</f>
        <v>1.8197530864197529E-2</v>
      </c>
      <c r="AL42" s="75">
        <f>AL41+AL40</f>
        <v>1.4633744855967076E-2</v>
      </c>
      <c r="AM42" s="75">
        <f t="shared" ref="AM42" si="183">AM41+AM40</f>
        <v>1.3489711934156379E-2</v>
      </c>
      <c r="AN42" s="75">
        <f t="shared" ref="AN42" si="184">AN41+AN40</f>
        <v>1.913045267489712E-2</v>
      </c>
      <c r="AP42" s="75">
        <f>AP41+AP40</f>
        <v>2.848559670781893E-2</v>
      </c>
      <c r="AQ42" s="75">
        <f>AQ41+AQ40</f>
        <v>2.4474622770919066E-2</v>
      </c>
      <c r="AR42" s="75">
        <f t="shared" ref="AR42" si="185">AR41+AR40</f>
        <v>2.3578875171467763E-2</v>
      </c>
      <c r="AS42" s="75">
        <f t="shared" ref="AS42" si="186">AS41+AS40</f>
        <v>2.8799862825788752E-2</v>
      </c>
      <c r="AT42" s="69"/>
    </row>
    <row r="43" spans="1:55" x14ac:dyDescent="0.25">
      <c r="A43" s="17" t="s">
        <v>10</v>
      </c>
      <c r="B43" s="36">
        <v>-1.7999999999999999E-2</v>
      </c>
      <c r="C43" s="36">
        <v>-7.0000000000000001E-3</v>
      </c>
      <c r="D43" s="36">
        <v>-0.01</v>
      </c>
      <c r="E43" s="36">
        <v>-4.1000000000000003E-3</v>
      </c>
      <c r="F43" s="34">
        <f t="shared" ref="F43" si="187">F19</f>
        <v>0</v>
      </c>
      <c r="G43" s="36">
        <v>-2.1999999999999999E-2</v>
      </c>
      <c r="H43" s="36">
        <v>-1.2E-2</v>
      </c>
      <c r="I43" s="36">
        <v>-8.0000000000000002E-3</v>
      </c>
      <c r="J43" s="36">
        <v>-8.9999999999999993E-3</v>
      </c>
      <c r="K43" s="34"/>
      <c r="L43" s="36">
        <v>-1.2999999999999999E-2</v>
      </c>
      <c r="M43" s="36">
        <v>-1.7999999999999999E-2</v>
      </c>
      <c r="N43" s="36">
        <v>-1.6E-2</v>
      </c>
      <c r="O43" s="36">
        <v>-7.0000000000000001E-3</v>
      </c>
      <c r="P43" s="34"/>
      <c r="Q43" s="415">
        <v>-1.4999999999999999E-2</v>
      </c>
      <c r="R43" s="44">
        <f>R19</f>
        <v>-5.0000000000000001E-3</v>
      </c>
      <c r="S43" s="73">
        <f t="shared" ref="S43:T43" si="188">S19</f>
        <v>-3.333333333333334E-3</v>
      </c>
      <c r="T43" s="73">
        <f t="shared" si="188"/>
        <v>-7.6666666666666662E-3</v>
      </c>
      <c r="V43" s="73">
        <f>V19</f>
        <v>-8.6666666666666663E-3</v>
      </c>
      <c r="W43" s="73">
        <f>W19</f>
        <v>-6.000000000000001E-3</v>
      </c>
      <c r="X43" s="73">
        <f t="shared" ref="X43:Y43" si="189">X19</f>
        <v>-4.1111111111111114E-3</v>
      </c>
      <c r="Y43" s="73">
        <f t="shared" si="189"/>
        <v>-7.888888888888888E-3</v>
      </c>
      <c r="AA43" s="73">
        <f>AA19</f>
        <v>-5.5555555555555558E-3</v>
      </c>
      <c r="AB43" s="73">
        <f>AB19</f>
        <v>-7.6666666666666662E-3</v>
      </c>
      <c r="AC43" s="73">
        <f t="shared" ref="AC43:AD43" si="190">AC19</f>
        <v>-5.1481481481481482E-3</v>
      </c>
      <c r="AD43" s="73">
        <f t="shared" si="190"/>
        <v>-6.851851851851852E-3</v>
      </c>
      <c r="AF43" s="73">
        <f>AF19</f>
        <v>-5.7407407407407407E-3</v>
      </c>
      <c r="AG43" s="73">
        <f>AG19</f>
        <v>-6.2222222222222227E-3</v>
      </c>
      <c r="AH43" s="73">
        <f t="shared" ref="AH43:AI43" si="191">AH19</f>
        <v>-4.1975308641975309E-3</v>
      </c>
      <c r="AI43" s="73">
        <f t="shared" si="191"/>
        <v>-7.4691358024691354E-3</v>
      </c>
      <c r="AK43" s="73">
        <f>AK19</f>
        <v>-6.6543209876543212E-3</v>
      </c>
      <c r="AL43" s="73">
        <f>AL19</f>
        <v>-6.6296296296296303E-3</v>
      </c>
      <c r="AM43" s="73">
        <f t="shared" ref="AM43:AN43" si="192">AM19</f>
        <v>-4.4855967078189299E-3</v>
      </c>
      <c r="AN43" s="73">
        <f t="shared" si="192"/>
        <v>-7.4032921810699591E-3</v>
      </c>
      <c r="AP43" s="73">
        <f>AP19</f>
        <v>-5.9835390946502065E-3</v>
      </c>
      <c r="AQ43" s="73">
        <f>AQ19</f>
        <v>-6.8395061728395061E-3</v>
      </c>
      <c r="AR43" s="73">
        <f t="shared" ref="AR43:AS43" si="193">AR19</f>
        <v>-4.6104252400548697E-3</v>
      </c>
      <c r="AS43" s="73">
        <f t="shared" si="193"/>
        <v>-7.2414266117969825E-3</v>
      </c>
      <c r="AT43" s="69"/>
    </row>
    <row r="44" spans="1:55" x14ac:dyDescent="0.25">
      <c r="A44" s="17" t="s">
        <v>13</v>
      </c>
      <c r="B44" s="36">
        <f t="shared" ref="B44:P44" si="194">B43+B42</f>
        <v>-1.4999999999999999E-2</v>
      </c>
      <c r="C44" s="36">
        <f t="shared" si="194"/>
        <v>-0.01</v>
      </c>
      <c r="D44" s="36">
        <f t="shared" si="194"/>
        <v>-5.0000000000000001E-3</v>
      </c>
      <c r="E44" s="36">
        <f t="shared" si="194"/>
        <v>-2.1000000000000001E-2</v>
      </c>
      <c r="F44" s="34">
        <f t="shared" si="194"/>
        <v>0</v>
      </c>
      <c r="G44" s="36">
        <f t="shared" si="194"/>
        <v>-9.9999999999999742E-4</v>
      </c>
      <c r="H44" s="36">
        <f t="shared" si="194"/>
        <v>3.2000000000000001E-2</v>
      </c>
      <c r="I44" s="36">
        <f t="shared" si="194"/>
        <v>-7.0000000000000001E-3</v>
      </c>
      <c r="J44" s="36">
        <f t="shared" si="194"/>
        <v>1.5000000000000001E-2</v>
      </c>
      <c r="K44" s="34">
        <f t="shared" si="194"/>
        <v>0</v>
      </c>
      <c r="L44" s="36">
        <f t="shared" si="194"/>
        <v>1.4000000000000004E-2</v>
      </c>
      <c r="M44" s="36">
        <f t="shared" si="194"/>
        <v>5.000000000000001E-3</v>
      </c>
      <c r="N44" s="36">
        <f t="shared" si="194"/>
        <v>2.1999999999999999E-2</v>
      </c>
      <c r="O44" s="36">
        <f t="shared" si="194"/>
        <v>8.0000000000000002E-3</v>
      </c>
      <c r="P44" s="34">
        <f t="shared" si="194"/>
        <v>0</v>
      </c>
      <c r="Q44" s="415">
        <f>Q43+Q42</f>
        <v>-6.9999999999999993E-3</v>
      </c>
      <c r="R44" s="44">
        <f>R43+R42</f>
        <v>-1.0666666666666668E-2</v>
      </c>
      <c r="S44" s="73">
        <f t="shared" ref="S44:T44" si="195">S43+S42</f>
        <v>2.4333333333333332E-2</v>
      </c>
      <c r="T44" s="73">
        <f t="shared" si="195"/>
        <v>2.3700000000000002E-2</v>
      </c>
      <c r="V44" s="73">
        <f>V43+V42</f>
        <v>1.8666666666666668E-2</v>
      </c>
      <c r="W44" s="73">
        <f>W43+W42</f>
        <v>1.911111111111111E-2</v>
      </c>
      <c r="X44" s="73">
        <f t="shared" ref="X44:Y44" si="196">X43+X42</f>
        <v>1.911111111111111E-2</v>
      </c>
      <c r="Y44" s="73">
        <f t="shared" si="196"/>
        <v>2.2233333333333334E-2</v>
      </c>
      <c r="AA44" s="73">
        <f>AA43+AA42</f>
        <v>2.3555555555555552E-2</v>
      </c>
      <c r="AB44" s="73">
        <f>AB43+AB42</f>
        <v>1.6814814814814814E-2</v>
      </c>
      <c r="AC44" s="73">
        <f t="shared" ref="AC44" si="197">AC43+AC42</f>
        <v>1.8814814814814815E-2</v>
      </c>
      <c r="AD44" s="73">
        <f t="shared" ref="AD44" si="198">AD43+AD42</f>
        <v>2.1977777777777777E-2</v>
      </c>
      <c r="AF44" s="73">
        <f>AF43+AF42</f>
        <v>1.7407407407407406E-2</v>
      </c>
      <c r="AG44" s="73">
        <f>AG43+AG42</f>
        <v>1.3086419753086418E-2</v>
      </c>
      <c r="AH44" s="73">
        <f t="shared" ref="AH44" si="199">AH43+AH42</f>
        <v>1.4086419753086422E-2</v>
      </c>
      <c r="AI44" s="73">
        <f t="shared" ref="AI44" si="200">AI43+AI42</f>
        <v>1.5970370370370371E-2</v>
      </c>
      <c r="AK44" s="73">
        <f>AK43+AK42</f>
        <v>1.1543209876543208E-2</v>
      </c>
      <c r="AL44" s="73">
        <f>AL43+AL42</f>
        <v>8.0041152263374445E-3</v>
      </c>
      <c r="AM44" s="73">
        <f t="shared" ref="AM44" si="201">AM43+AM42</f>
        <v>9.0041152263374488E-3</v>
      </c>
      <c r="AN44" s="73">
        <f t="shared" ref="AN44" si="202">AN43+AN42</f>
        <v>1.172716049382716E-2</v>
      </c>
      <c r="AP44" s="73">
        <f>AP43+AP42</f>
        <v>2.2502057613168723E-2</v>
      </c>
      <c r="AQ44" s="73">
        <f>AQ43+AQ42</f>
        <v>1.7635116598079561E-2</v>
      </c>
      <c r="AR44" s="73">
        <f t="shared" ref="AR44" si="203">AR43+AR42</f>
        <v>1.8968449931412893E-2</v>
      </c>
      <c r="AS44" s="73">
        <f t="shared" ref="AS44" si="204">AS43+AS42</f>
        <v>2.1558436213991769E-2</v>
      </c>
      <c r="AT44" s="69"/>
    </row>
    <row r="45" spans="1:55" x14ac:dyDescent="0.25">
      <c r="A45" s="17"/>
      <c r="B45" s="40"/>
      <c r="C45" s="40"/>
      <c r="D45" s="40"/>
      <c r="E45" s="40"/>
      <c r="F45" s="32"/>
      <c r="G45" s="40"/>
      <c r="H45" s="40"/>
      <c r="I45" s="40"/>
      <c r="J45" s="40"/>
      <c r="K45" s="32"/>
      <c r="L45" s="40"/>
      <c r="M45" s="40"/>
      <c r="N45" s="40"/>
      <c r="O45" s="40"/>
      <c r="P45" s="32"/>
      <c r="Q45" s="421"/>
      <c r="R45" s="14"/>
      <c r="AT45" s="69"/>
    </row>
    <row r="46" spans="1:55" s="1" customFormat="1" x14ac:dyDescent="0.25">
      <c r="A46" s="53" t="s">
        <v>5</v>
      </c>
      <c r="B46" s="49"/>
      <c r="C46" s="49"/>
      <c r="D46" s="49"/>
      <c r="E46" s="49"/>
      <c r="F46" s="50"/>
      <c r="G46" s="49"/>
      <c r="H46" s="49"/>
      <c r="I46" s="49"/>
      <c r="J46" s="49"/>
      <c r="K46" s="50"/>
      <c r="L46" s="49"/>
      <c r="M46" s="49"/>
      <c r="N46" s="49"/>
      <c r="O46" s="49"/>
      <c r="P46" s="50"/>
      <c r="Q46" s="422"/>
      <c r="R46" s="12"/>
      <c r="S46" s="70"/>
      <c r="T46" s="70"/>
      <c r="U46" s="71"/>
      <c r="V46" s="70"/>
      <c r="W46" s="70"/>
      <c r="X46" s="70"/>
      <c r="Y46" s="70"/>
      <c r="Z46" s="71"/>
      <c r="AA46" s="70"/>
      <c r="AB46" s="70"/>
      <c r="AC46" s="70"/>
      <c r="AD46" s="70"/>
      <c r="AE46" s="71"/>
      <c r="AF46" s="70"/>
      <c r="AG46" s="70"/>
      <c r="AH46" s="70"/>
      <c r="AI46" s="70"/>
      <c r="AJ46" s="71"/>
      <c r="AK46" s="70"/>
      <c r="AL46" s="70"/>
      <c r="AM46" s="70"/>
      <c r="AN46" s="70"/>
      <c r="AO46" s="71"/>
      <c r="AP46" s="70"/>
      <c r="AQ46" s="70"/>
      <c r="AR46" s="70"/>
      <c r="AS46" s="70"/>
      <c r="AT46" s="71"/>
    </row>
    <row r="47" spans="1:55" x14ac:dyDescent="0.25">
      <c r="A47" s="17" t="s">
        <v>0</v>
      </c>
      <c r="B47" s="40">
        <v>1083</v>
      </c>
      <c r="C47" s="40">
        <v>1153</v>
      </c>
      <c r="D47" s="40">
        <v>1233</v>
      </c>
      <c r="E47" s="40">
        <v>1254</v>
      </c>
      <c r="F47" s="32">
        <f>SUM(B47:E47)</f>
        <v>4723</v>
      </c>
      <c r="G47" s="40">
        <v>1058</v>
      </c>
      <c r="H47" s="40">
        <v>1166</v>
      </c>
      <c r="I47" s="40">
        <v>1247</v>
      </c>
      <c r="J47" s="40">
        <v>1257</v>
      </c>
      <c r="K47" s="32">
        <f>SUM(G47:J47)</f>
        <v>4728</v>
      </c>
      <c r="L47" s="40">
        <v>1090</v>
      </c>
      <c r="M47" s="40">
        <v>1174</v>
      </c>
      <c r="N47" s="40">
        <v>1256</v>
      </c>
      <c r="O47" s="40">
        <v>1243</v>
      </c>
      <c r="P47" s="32">
        <f>SUM(L47:O47)</f>
        <v>4763</v>
      </c>
      <c r="Q47" s="414">
        <v>1054</v>
      </c>
      <c r="R47" s="30">
        <f>M47*(1+R49)</f>
        <v>1164.021</v>
      </c>
      <c r="S47" s="67">
        <f>N47*(1+S49)</f>
        <v>1268.1413333333335</v>
      </c>
      <c r="T47" s="67">
        <f>O47*(1+T49)</f>
        <v>1261.2306666666666</v>
      </c>
      <c r="U47" s="274">
        <f>SUM(Q47:T47)</f>
        <v>4747.393</v>
      </c>
      <c r="V47" s="67">
        <f>Q47*(1+V49)</f>
        <v>1034.1496666666667</v>
      </c>
      <c r="W47" s="67">
        <f>R47*(1+W49)</f>
        <v>1152.3807899999999</v>
      </c>
      <c r="X47" s="67">
        <f t="shared" ref="X47" si="205">S47*(1+X49)</f>
        <v>1257.4325842962965</v>
      </c>
      <c r="Y47" s="67">
        <f t="shared" ref="Y47" si="206">T47*(1+Y49)</f>
        <v>1264.4538117037036</v>
      </c>
      <c r="Z47" s="274">
        <f>SUM(V47:Y47)</f>
        <v>4708.4168526666663</v>
      </c>
      <c r="AA47" s="67">
        <f>V47*(1+AA49)</f>
        <v>1006.1127201481482</v>
      </c>
      <c r="AB47" s="67">
        <f>W47*(1+AB49)</f>
        <v>1126.26015876</v>
      </c>
      <c r="AC47" s="67">
        <f t="shared" ref="AC47" si="207">X47*(1+AC49)</f>
        <v>1235.7302293228863</v>
      </c>
      <c r="AD47" s="67">
        <f t="shared" ref="AD47" si="208">Y47*(1+AD49)</f>
        <v>1254.8533290592866</v>
      </c>
      <c r="AE47" s="274">
        <f>SUM(AA47:AD47)</f>
        <v>4622.9564372903214</v>
      </c>
      <c r="AF47" s="67">
        <f>AA47*(1+AF49)</f>
        <v>976.61871207417573</v>
      </c>
      <c r="AG47" s="67">
        <f>AB47*(1+AG49)</f>
        <v>1102.35841539076</v>
      </c>
      <c r="AH47" s="67">
        <f t="shared" ref="AH47" si="209">AC47*(1+AH49)</f>
        <v>1213.4718292663174</v>
      </c>
      <c r="AI47" s="67">
        <f t="shared" ref="AI47" si="210">AD47*(1+AI49)</f>
        <v>1245.0778667057507</v>
      </c>
      <c r="AJ47" s="274">
        <f>SUM(AF47:AI47)</f>
        <v>4537.5268234370033</v>
      </c>
      <c r="AK47" s="67">
        <f>AF47*(1+AK49)</f>
        <v>939.09726229670866</v>
      </c>
      <c r="AL47" s="67">
        <f>AG47*(1+AL49)</f>
        <v>1067.8586797979751</v>
      </c>
      <c r="AM47" s="67">
        <f t="shared" ref="AM47" si="211">AH47*(1+AM49)</f>
        <v>1179.6094734051862</v>
      </c>
      <c r="AN47" s="67">
        <f t="shared" ref="AN47" si="212">AI47*(1+AN49)</f>
        <v>1223.1532239418252</v>
      </c>
      <c r="AO47" s="274">
        <f>SUM(AK47:AN47)</f>
        <v>4409.7186394416949</v>
      </c>
      <c r="AP47" s="67">
        <f>AK47*(1+AP49)</f>
        <v>921.92878662694272</v>
      </c>
      <c r="AQ47" s="67">
        <f>AL47*(1+AQ49)</f>
        <v>1055.3344113312087</v>
      </c>
      <c r="AR47" s="67">
        <f t="shared" ref="AR47" si="213">AM47*(1+AR49)</f>
        <v>1170.4962216161355</v>
      </c>
      <c r="AS47" s="67">
        <f t="shared" ref="AS47" si="214">AN47*(1+AS49)</f>
        <v>1226.0106038325973</v>
      </c>
      <c r="AT47" s="274">
        <f>SUM(AP47:AS47)</f>
        <v>4373.7700234068843</v>
      </c>
    </row>
    <row r="48" spans="1:55" s="38" customFormat="1" ht="15" hidden="1" customHeight="1" x14ac:dyDescent="0.25">
      <c r="A48" s="38" t="s">
        <v>15</v>
      </c>
      <c r="B48" s="42" t="s">
        <v>49</v>
      </c>
      <c r="C48" s="42" t="s">
        <v>49</v>
      </c>
      <c r="D48" s="42" t="s">
        <v>49</v>
      </c>
      <c r="E48" s="42" t="s">
        <v>49</v>
      </c>
      <c r="F48" s="35" t="s">
        <v>49</v>
      </c>
      <c r="G48" s="42">
        <f t="shared" ref="G48:P48" si="215">B47*(1+G49)</f>
        <v>1058.0909999999999</v>
      </c>
      <c r="H48" s="42">
        <f t="shared" si="215"/>
        <v>1165.683</v>
      </c>
      <c r="I48" s="42">
        <f>D47*(1+I49)</f>
        <v>1247.796</v>
      </c>
      <c r="J48" s="42">
        <f>E47*(1+J49)</f>
        <v>1257.7619999999999</v>
      </c>
      <c r="K48" s="35">
        <f>F47*(1+K49)</f>
        <v>4723</v>
      </c>
      <c r="L48" s="42">
        <f>G47*(1+L49)</f>
        <v>1105.6099999999999</v>
      </c>
      <c r="M48" s="42">
        <f>H47*(1+M49)</f>
        <v>1200.98</v>
      </c>
      <c r="N48" s="42">
        <f t="shared" si="215"/>
        <v>1274.434</v>
      </c>
      <c r="O48" s="42">
        <f t="shared" si="215"/>
        <v>1262.028</v>
      </c>
      <c r="P48" s="35">
        <f t="shared" si="215"/>
        <v>4728</v>
      </c>
      <c r="Q48" s="414">
        <f>L47*(1+Q49)</f>
        <v>1054.03</v>
      </c>
      <c r="R48" s="30"/>
      <c r="S48" s="67"/>
      <c r="T48" s="67"/>
      <c r="U48" s="69"/>
      <c r="V48" s="67"/>
      <c r="W48" s="67"/>
      <c r="X48" s="67"/>
      <c r="Y48" s="67"/>
      <c r="Z48" s="69"/>
      <c r="AA48" s="67"/>
      <c r="AB48" s="67"/>
      <c r="AC48" s="67"/>
      <c r="AD48" s="67"/>
      <c r="AE48" s="69"/>
      <c r="AF48" s="67"/>
      <c r="AG48" s="67"/>
      <c r="AH48" s="67"/>
      <c r="AI48" s="67"/>
      <c r="AJ48" s="69"/>
      <c r="AK48" s="67"/>
      <c r="AL48" s="67"/>
      <c r="AM48" s="67"/>
      <c r="AN48" s="67"/>
      <c r="AO48" s="69"/>
      <c r="AP48" s="67"/>
      <c r="AQ48" s="67"/>
      <c r="AR48" s="67"/>
      <c r="AS48" s="67"/>
      <c r="AT48" s="69"/>
    </row>
    <row r="49" spans="1:54" s="116" customFormat="1" x14ac:dyDescent="0.25">
      <c r="A49" s="116" t="s">
        <v>7</v>
      </c>
      <c r="B49" s="121">
        <f>B56+B50</f>
        <v>2.9000000000000001E-2</v>
      </c>
      <c r="C49" s="121">
        <f t="shared" ref="C49:Q49" si="216">C56+C50</f>
        <v>-2.1000000000000001E-2</v>
      </c>
      <c r="D49" s="121">
        <f t="shared" si="216"/>
        <v>-1.8000000000000002E-2</v>
      </c>
      <c r="E49" s="121">
        <f>E56+E50</f>
        <v>-2.9999999999999992E-3</v>
      </c>
      <c r="F49" s="122">
        <f t="shared" si="216"/>
        <v>0</v>
      </c>
      <c r="G49" s="121">
        <f t="shared" si="216"/>
        <v>-2.3000000000000003E-2</v>
      </c>
      <c r="H49" s="121">
        <f t="shared" si="216"/>
        <v>1.0999999999999999E-2</v>
      </c>
      <c r="I49" s="121">
        <f t="shared" si="216"/>
        <v>1.2E-2</v>
      </c>
      <c r="J49" s="121">
        <f t="shared" si="216"/>
        <v>2.9999999999999983E-3</v>
      </c>
      <c r="K49" s="122">
        <f t="shared" si="216"/>
        <v>0</v>
      </c>
      <c r="L49" s="121">
        <f t="shared" si="216"/>
        <v>4.4999999999999998E-2</v>
      </c>
      <c r="M49" s="121">
        <f t="shared" si="216"/>
        <v>0.03</v>
      </c>
      <c r="N49" s="121">
        <f t="shared" si="216"/>
        <v>2.1999999999999999E-2</v>
      </c>
      <c r="O49" s="121">
        <f t="shared" si="216"/>
        <v>3.9999999999999992E-3</v>
      </c>
      <c r="P49" s="122">
        <f t="shared" si="216"/>
        <v>0</v>
      </c>
      <c r="Q49" s="415">
        <f t="shared" si="216"/>
        <v>-3.3000000000000002E-2</v>
      </c>
      <c r="R49" s="423">
        <f>R50+R56</f>
        <v>-8.4999999999999971E-3</v>
      </c>
      <c r="S49" s="124">
        <f t="shared" ref="S49:T49" si="217">S50+S56</f>
        <v>9.6666666666666654E-3</v>
      </c>
      <c r="T49" s="124">
        <f t="shared" si="217"/>
        <v>1.466666666666667E-2</v>
      </c>
      <c r="U49" s="120"/>
      <c r="V49" s="124">
        <f>V50+V56</f>
        <v>-1.8833333333333334E-2</v>
      </c>
      <c r="W49" s="124">
        <f>W50+W56</f>
        <v>-9.999999999999995E-3</v>
      </c>
      <c r="X49" s="124">
        <f t="shared" ref="X49:Y49" si="218">X50+X56</f>
        <v>-8.4444444444444454E-3</v>
      </c>
      <c r="Y49" s="124">
        <f t="shared" si="218"/>
        <v>2.5555555555555609E-3</v>
      </c>
      <c r="Z49" s="120"/>
      <c r="AA49" s="124">
        <f>AA50+AA56</f>
        <v>-2.711111111111111E-2</v>
      </c>
      <c r="AB49" s="124">
        <f>AB50+AB56</f>
        <v>-2.2666666666666661E-2</v>
      </c>
      <c r="AC49" s="124">
        <f t="shared" ref="AC49" si="219">AC50+AC56</f>
        <v>-1.7259259259259259E-2</v>
      </c>
      <c r="AD49" s="124">
        <f t="shared" ref="AD49" si="220">AD50+AD56</f>
        <v>-7.5925925925925883E-3</v>
      </c>
      <c r="AE49" s="120"/>
      <c r="AF49" s="124">
        <f>AF50+AF56</f>
        <v>-2.9314814814814814E-2</v>
      </c>
      <c r="AG49" s="124">
        <f>AG50+AG56</f>
        <v>-2.1222222222222219E-2</v>
      </c>
      <c r="AH49" s="124">
        <f t="shared" ref="AH49" si="221">AH50+AH56</f>
        <v>-1.8012345679012345E-2</v>
      </c>
      <c r="AI49" s="124">
        <f t="shared" ref="AI49" si="222">AI50+AI56</f>
        <v>-7.7901234567901226E-3</v>
      </c>
      <c r="AJ49" s="120"/>
      <c r="AK49" s="124">
        <f>AK50+AK56</f>
        <v>-3.8419753086419747E-2</v>
      </c>
      <c r="AL49" s="124">
        <f>AL50+AL56</f>
        <v>-3.1296296296296294E-2</v>
      </c>
      <c r="AM49" s="124">
        <f t="shared" ref="AM49" si="223">AM50+AM56</f>
        <v>-2.7905349794238685E-2</v>
      </c>
      <c r="AN49" s="124">
        <f t="shared" ref="AN49" si="224">AN50+AN56</f>
        <v>-1.7609053497942381E-2</v>
      </c>
      <c r="AO49" s="120"/>
      <c r="AP49" s="124">
        <f>AP50+AP56</f>
        <v>-1.8281893004115223E-2</v>
      </c>
      <c r="AQ49" s="124">
        <f>AQ50+AQ56</f>
        <v>-1.1728395061728392E-2</v>
      </c>
      <c r="AR49" s="124">
        <f t="shared" ref="AR49" si="225">AR50+AR56</f>
        <v>-7.7256515775034305E-3</v>
      </c>
      <c r="AS49" s="124">
        <f t="shared" ref="AS49" si="226">AS50+AS56</f>
        <v>2.3360768175583052E-3</v>
      </c>
      <c r="AT49" s="120"/>
    </row>
    <row r="50" spans="1:54" x14ac:dyDescent="0.25">
      <c r="A50" s="17" t="s">
        <v>14</v>
      </c>
      <c r="B50" s="36">
        <v>-5.0000000000000001E-3</v>
      </c>
      <c r="C50" s="36">
        <v>-2.9000000000000001E-2</v>
      </c>
      <c r="D50" s="36">
        <v>-1.6E-2</v>
      </c>
      <c r="E50" s="36">
        <v>-0.02</v>
      </c>
      <c r="F50" s="32"/>
      <c r="G50" s="36">
        <v>1.0999999999999999E-2</v>
      </c>
      <c r="H50" s="36">
        <v>7.0000000000000001E-3</v>
      </c>
      <c r="I50" s="36">
        <v>8.9999999999999993E-3</v>
      </c>
      <c r="J50" s="36">
        <v>-7.0000000000000001E-3</v>
      </c>
      <c r="K50" s="32"/>
      <c r="L50" s="36">
        <v>2.5000000000000001E-2</v>
      </c>
      <c r="M50" s="43">
        <v>1.2999999999999999E-2</v>
      </c>
      <c r="N50" s="36">
        <v>8.9999999999999993E-3</v>
      </c>
      <c r="O50" s="36">
        <v>1E-3</v>
      </c>
      <c r="P50" s="32"/>
      <c r="Q50" s="415">
        <v>-3.1E-2</v>
      </c>
      <c r="R50" s="44">
        <v>-2.75E-2</v>
      </c>
      <c r="S50" s="73">
        <v>-0.01</v>
      </c>
      <c r="T50" s="73">
        <v>-0.01</v>
      </c>
      <c r="V50" s="73">
        <v>-0.03</v>
      </c>
      <c r="W50" s="73">
        <v>-0.03</v>
      </c>
      <c r="X50" s="73">
        <v>-0.03</v>
      </c>
      <c r="Y50" s="73">
        <v>-0.03</v>
      </c>
      <c r="AA50" s="73">
        <v>-0.03</v>
      </c>
      <c r="AB50" s="73">
        <v>-0.03</v>
      </c>
      <c r="AC50" s="73">
        <v>-0.03</v>
      </c>
      <c r="AD50" s="73">
        <v>-0.03</v>
      </c>
      <c r="AF50" s="73">
        <v>-0.03</v>
      </c>
      <c r="AG50" s="73">
        <v>-0.03</v>
      </c>
      <c r="AH50" s="73">
        <v>-0.03</v>
      </c>
      <c r="AI50" s="73">
        <v>-0.03</v>
      </c>
      <c r="AK50" s="73">
        <v>-0.03</v>
      </c>
      <c r="AL50" s="73">
        <v>-0.03</v>
      </c>
      <c r="AM50" s="73">
        <v>-0.03</v>
      </c>
      <c r="AN50" s="73">
        <v>-0.03</v>
      </c>
      <c r="AP50" s="73">
        <v>-0.03</v>
      </c>
      <c r="AQ50" s="73">
        <v>-0.03</v>
      </c>
      <c r="AR50" s="73">
        <v>-0.03</v>
      </c>
      <c r="AS50" s="73">
        <v>-0.03</v>
      </c>
      <c r="AT50" s="69"/>
      <c r="AY50" s="361"/>
      <c r="AZ50" s="361"/>
      <c r="BA50" s="361"/>
      <c r="BB50" s="361"/>
    </row>
    <row r="51" spans="1:54" hidden="1" x14ac:dyDescent="0.25">
      <c r="A51" s="17" t="s">
        <v>8</v>
      </c>
      <c r="B51" s="36">
        <v>3.7999999999999999E-2</v>
      </c>
      <c r="C51" s="36">
        <v>2.5000000000000001E-2</v>
      </c>
      <c r="D51" s="36">
        <v>4.0000000000000001E-3</v>
      </c>
      <c r="E51" s="36">
        <v>7.0000000000000001E-3</v>
      </c>
      <c r="F51" s="32"/>
      <c r="G51" s="36">
        <v>-2.5999999999999999E-2</v>
      </c>
      <c r="H51" s="36">
        <v>5.0000000000000001E-3</v>
      </c>
      <c r="I51" s="36">
        <v>8.0000000000000002E-3</v>
      </c>
      <c r="J51" s="36">
        <v>2E-3</v>
      </c>
      <c r="K51" s="32"/>
      <c r="L51" s="36">
        <v>2.9000000000000001E-2</v>
      </c>
      <c r="M51" s="36">
        <v>2.8000000000000001E-2</v>
      </c>
      <c r="N51" s="36">
        <v>2.1999999999999999E-2</v>
      </c>
      <c r="O51" s="36">
        <v>-4.0000000000000001E-3</v>
      </c>
      <c r="P51" s="32"/>
      <c r="Q51" s="415">
        <v>5.0000000000000001E-3</v>
      </c>
      <c r="R51" s="44"/>
      <c r="S51" s="73"/>
      <c r="T51" s="73"/>
      <c r="V51" s="73"/>
      <c r="W51" s="73"/>
      <c r="X51" s="73"/>
      <c r="Y51" s="73"/>
      <c r="AA51" s="73"/>
      <c r="AB51" s="73"/>
      <c r="AC51" s="73"/>
      <c r="AD51" s="73"/>
      <c r="AF51" s="73"/>
      <c r="AG51" s="73"/>
      <c r="AH51" s="73"/>
      <c r="AI51" s="73"/>
      <c r="AK51" s="73"/>
      <c r="AL51" s="73"/>
      <c r="AM51" s="73"/>
      <c r="AN51" s="73"/>
      <c r="AP51" s="73"/>
      <c r="AQ51" s="73"/>
      <c r="AR51" s="73"/>
      <c r="AS51" s="73"/>
      <c r="AT51" s="69"/>
    </row>
    <row r="52" spans="1:54" x14ac:dyDescent="0.25">
      <c r="A52" s="17" t="s">
        <v>11</v>
      </c>
      <c r="B52" s="36">
        <v>3.7999999999999999E-2</v>
      </c>
      <c r="C52" s="36">
        <v>2.1999999999999999E-2</v>
      </c>
      <c r="D52" s="36">
        <v>2E-3</v>
      </c>
      <c r="E52" s="36">
        <v>7.0000000000000001E-3</v>
      </c>
      <c r="F52" s="32"/>
      <c r="G52" s="36">
        <v>-1.9E-2</v>
      </c>
      <c r="H52" s="36">
        <v>4.0000000000000001E-3</v>
      </c>
      <c r="I52" s="36">
        <v>5.0000000000000001E-3</v>
      </c>
      <c r="J52" s="43">
        <v>0</v>
      </c>
      <c r="K52" s="32"/>
      <c r="L52" s="36">
        <v>1.6E-2</v>
      </c>
      <c r="M52" s="36">
        <v>2.5000000000000001E-2</v>
      </c>
      <c r="N52" s="36">
        <v>1.7999999999999999E-2</v>
      </c>
      <c r="O52" s="36">
        <v>-5.0000000000000001E-3</v>
      </c>
      <c r="P52" s="32"/>
      <c r="Q52" s="418">
        <v>0</v>
      </c>
      <c r="R52" s="45">
        <v>0.02</v>
      </c>
      <c r="S52" s="75">
        <v>1.7999999999999999E-2</v>
      </c>
      <c r="T52" s="75">
        <v>1.2999999999999999E-2</v>
      </c>
      <c r="V52" s="75">
        <v>0.02</v>
      </c>
      <c r="W52" s="75">
        <v>0.02</v>
      </c>
      <c r="X52" s="75">
        <v>0.02</v>
      </c>
      <c r="Y52" s="75">
        <v>0.02</v>
      </c>
      <c r="AA52" s="75">
        <v>0.01</v>
      </c>
      <c r="AB52" s="75">
        <v>0.01</v>
      </c>
      <c r="AC52" s="75">
        <v>0.01</v>
      </c>
      <c r="AD52" s="75">
        <v>0.01</v>
      </c>
      <c r="AF52" s="75">
        <v>0.01</v>
      </c>
      <c r="AG52" s="75">
        <v>0.01</v>
      </c>
      <c r="AH52" s="75">
        <v>0.01</v>
      </c>
      <c r="AI52" s="75">
        <v>0.01</v>
      </c>
      <c r="AK52" s="75">
        <v>0</v>
      </c>
      <c r="AL52" s="75">
        <v>0</v>
      </c>
      <c r="AM52" s="75">
        <v>0</v>
      </c>
      <c r="AN52" s="75">
        <v>0</v>
      </c>
      <c r="AP52" s="75">
        <v>0.02</v>
      </c>
      <c r="AQ52" s="75">
        <v>0.02</v>
      </c>
      <c r="AR52" s="75">
        <v>0.02</v>
      </c>
      <c r="AS52" s="75">
        <v>0.02</v>
      </c>
      <c r="AT52" s="69"/>
    </row>
    <row r="53" spans="1:54" x14ac:dyDescent="0.25">
      <c r="A53" s="17" t="s">
        <v>9</v>
      </c>
      <c r="B53" s="36">
        <v>7.0000000000000001E-3</v>
      </c>
      <c r="C53" s="36">
        <v>5.0000000000000001E-3</v>
      </c>
      <c r="D53" s="36">
        <v>0.01</v>
      </c>
      <c r="E53" s="36">
        <v>1.7000000000000001E-2</v>
      </c>
      <c r="F53" s="34">
        <f t="shared" ref="F53" si="227">F17</f>
        <v>0</v>
      </c>
      <c r="G53" s="36">
        <v>4.0000000000000001E-3</v>
      </c>
      <c r="H53" s="36">
        <v>8.9999999999999993E-3</v>
      </c>
      <c r="I53" s="36">
        <v>2E-3</v>
      </c>
      <c r="J53" s="36">
        <v>2.5999999999999999E-2</v>
      </c>
      <c r="K53" s="34"/>
      <c r="L53" s="36">
        <v>5.4999999999999997E-3</v>
      </c>
      <c r="M53" s="36">
        <v>8.0000000000000002E-3</v>
      </c>
      <c r="N53" s="36">
        <v>1.2999999999999999E-2</v>
      </c>
      <c r="O53" s="36">
        <v>2.3E-2</v>
      </c>
      <c r="P53" s="34"/>
      <c r="Q53" s="415">
        <v>1E-3</v>
      </c>
      <c r="R53" s="44">
        <f>AVERAGE(C53,H53,M53)</f>
        <v>7.3333333333333332E-3</v>
      </c>
      <c r="S53" s="73">
        <f t="shared" ref="S53:T53" si="228">AVERAGE(D53,I53,N53)</f>
        <v>8.3333333333333332E-3</v>
      </c>
      <c r="T53" s="73">
        <f t="shared" si="228"/>
        <v>2.2000000000000002E-2</v>
      </c>
      <c r="V53" s="73">
        <f>AVERAGE(G53,L53,Q53)</f>
        <v>3.4999999999999996E-3</v>
      </c>
      <c r="W53" s="73">
        <f>AVERAGE(H53,M53,R53)</f>
        <v>8.1111111111111123E-3</v>
      </c>
      <c r="X53" s="73">
        <f t="shared" ref="X53" si="229">AVERAGE(I53,N53,S53)</f>
        <v>7.7777777777777767E-3</v>
      </c>
      <c r="Y53" s="73">
        <f t="shared" ref="Y53" si="230">AVERAGE(J53,O53,T53)</f>
        <v>2.3666666666666669E-2</v>
      </c>
      <c r="AA53" s="73">
        <f>AVERAGE(L53,Q53,V53)</f>
        <v>3.3333333333333327E-3</v>
      </c>
      <c r="AB53" s="73">
        <f>AVERAGE(M53,R53,W53)</f>
        <v>7.8148148148148161E-3</v>
      </c>
      <c r="AC53" s="73">
        <f t="shared" ref="AC53" si="231">AVERAGE(N53,S53,X53)</f>
        <v>9.7037037037037022E-3</v>
      </c>
      <c r="AD53" s="73">
        <f t="shared" ref="AD53" si="232">AVERAGE(O53,T53,Y53)</f>
        <v>2.2888888888888889E-2</v>
      </c>
      <c r="AF53" s="73">
        <f>AVERAGE(Q53,V53,AA53)</f>
        <v>2.6111111111111109E-3</v>
      </c>
      <c r="AG53" s="73">
        <f>AVERAGE(R53,W53,AB53)</f>
        <v>7.7530864197530866E-3</v>
      </c>
      <c r="AH53" s="73">
        <f t="shared" ref="AH53" si="233">AVERAGE(S53,X53,AC53)</f>
        <v>8.6049382716049377E-3</v>
      </c>
      <c r="AI53" s="73">
        <f t="shared" ref="AI53" si="234">AVERAGE(T53,Y53,AD53)</f>
        <v>2.2851851851851856E-2</v>
      </c>
      <c r="AK53" s="73">
        <f>AVERAGE(V53,AA53,AF53)</f>
        <v>3.1481481481481477E-3</v>
      </c>
      <c r="AL53" s="73">
        <f>AVERAGE(W53,AB53,AG53)</f>
        <v>7.8930041152263375E-3</v>
      </c>
      <c r="AM53" s="73">
        <f t="shared" ref="AM53" si="235">AVERAGE(X53,AC53,AH53)</f>
        <v>8.6954732510288058E-3</v>
      </c>
      <c r="AN53" s="73">
        <f t="shared" ref="AN53" si="236">AVERAGE(Y53,AD53,AI53)</f>
        <v>2.3135802469135807E-2</v>
      </c>
      <c r="AP53" s="73">
        <f>AVERAGE(AA53,AF53,AK53)</f>
        <v>3.0308641975308639E-3</v>
      </c>
      <c r="AQ53" s="73">
        <f>AVERAGE(AB53,AG53,AL53)</f>
        <v>7.8203017832647465E-3</v>
      </c>
      <c r="AR53" s="73">
        <f t="shared" ref="AR53" si="237">AVERAGE(AC53,AH53,AM53)</f>
        <v>9.0013717421124819E-3</v>
      </c>
      <c r="AS53" s="73">
        <f t="shared" ref="AS53" si="238">AVERAGE(AD53,AI53,AN53)</f>
        <v>2.2958847736625519E-2</v>
      </c>
      <c r="AT53" s="69"/>
    </row>
    <row r="54" spans="1:54" x14ac:dyDescent="0.25">
      <c r="A54" s="17" t="s">
        <v>12</v>
      </c>
      <c r="B54" s="39">
        <f>B52+B53</f>
        <v>4.4999999999999998E-2</v>
      </c>
      <c r="C54" s="39">
        <f t="shared" ref="C54:P54" si="239">C52+C53</f>
        <v>2.7E-2</v>
      </c>
      <c r="D54" s="39">
        <f t="shared" si="239"/>
        <v>1.2E-2</v>
      </c>
      <c r="E54" s="39">
        <f t="shared" si="239"/>
        <v>2.4E-2</v>
      </c>
      <c r="F54" s="33">
        <f t="shared" si="239"/>
        <v>0</v>
      </c>
      <c r="G54" s="39">
        <f t="shared" si="239"/>
        <v>-1.4999999999999999E-2</v>
      </c>
      <c r="H54" s="39">
        <f t="shared" si="239"/>
        <v>1.2999999999999999E-2</v>
      </c>
      <c r="I54" s="39">
        <f t="shared" si="239"/>
        <v>7.0000000000000001E-3</v>
      </c>
      <c r="J54" s="39">
        <f t="shared" si="239"/>
        <v>2.5999999999999999E-2</v>
      </c>
      <c r="K54" s="33">
        <f t="shared" si="239"/>
        <v>0</v>
      </c>
      <c r="L54" s="39">
        <f t="shared" si="239"/>
        <v>2.1499999999999998E-2</v>
      </c>
      <c r="M54" s="39">
        <f t="shared" si="239"/>
        <v>3.3000000000000002E-2</v>
      </c>
      <c r="N54" s="39">
        <f t="shared" si="239"/>
        <v>3.1E-2</v>
      </c>
      <c r="O54" s="39">
        <f t="shared" si="239"/>
        <v>1.7999999999999999E-2</v>
      </c>
      <c r="P54" s="33">
        <f t="shared" si="239"/>
        <v>0</v>
      </c>
      <c r="Q54" s="416">
        <f>Q52+Q53</f>
        <v>1E-3</v>
      </c>
      <c r="R54" s="45">
        <f>R53+R52</f>
        <v>2.7333333333333334E-2</v>
      </c>
      <c r="S54" s="75">
        <f t="shared" ref="S54:T54" si="240">S53+S52</f>
        <v>2.6333333333333334E-2</v>
      </c>
      <c r="T54" s="75">
        <f t="shared" si="240"/>
        <v>3.5000000000000003E-2</v>
      </c>
      <c r="V54" s="75">
        <f>V53+V52</f>
        <v>2.35E-2</v>
      </c>
      <c r="W54" s="75">
        <f>W53+W52</f>
        <v>2.8111111111111114E-2</v>
      </c>
      <c r="X54" s="75">
        <f t="shared" ref="X54:Y54" si="241">X53+X52</f>
        <v>2.7777777777777776E-2</v>
      </c>
      <c r="Y54" s="75">
        <f t="shared" si="241"/>
        <v>4.3666666666666673E-2</v>
      </c>
      <c r="AA54" s="75">
        <f>AA53+AA52</f>
        <v>1.3333333333333332E-2</v>
      </c>
      <c r="AB54" s="75">
        <f>AB53+AB52</f>
        <v>1.7814814814814818E-2</v>
      </c>
      <c r="AC54" s="75">
        <f t="shared" ref="AC54" si="242">AC53+AC52</f>
        <v>1.9703703703703702E-2</v>
      </c>
      <c r="AD54" s="75">
        <f t="shared" ref="AD54" si="243">AD53+AD52</f>
        <v>3.2888888888888891E-2</v>
      </c>
      <c r="AF54" s="75">
        <f>AF53+AF52</f>
        <v>1.2611111111111111E-2</v>
      </c>
      <c r="AG54" s="75">
        <f>AG53+AG52</f>
        <v>1.7753086419753088E-2</v>
      </c>
      <c r="AH54" s="75">
        <f t="shared" ref="AH54" si="244">AH53+AH52</f>
        <v>1.8604938271604938E-2</v>
      </c>
      <c r="AI54" s="75">
        <f t="shared" ref="AI54" si="245">AI53+AI52</f>
        <v>3.2851851851851854E-2</v>
      </c>
      <c r="AK54" s="75">
        <f>AK53+AK52</f>
        <v>3.1481481481481477E-3</v>
      </c>
      <c r="AL54" s="75">
        <f>AL53+AL52</f>
        <v>7.8930041152263375E-3</v>
      </c>
      <c r="AM54" s="75">
        <f t="shared" ref="AM54" si="246">AM53+AM52</f>
        <v>8.6954732510288058E-3</v>
      </c>
      <c r="AN54" s="75">
        <f t="shared" ref="AN54" si="247">AN53+AN52</f>
        <v>2.3135802469135807E-2</v>
      </c>
      <c r="AP54" s="75">
        <f>AP53+AP52</f>
        <v>2.3030864197530865E-2</v>
      </c>
      <c r="AQ54" s="75">
        <f>AQ53+AQ52</f>
        <v>2.7820301783264747E-2</v>
      </c>
      <c r="AR54" s="75">
        <f t="shared" ref="AR54" si="248">AR53+AR52</f>
        <v>2.9001371742112481E-2</v>
      </c>
      <c r="AS54" s="75">
        <f t="shared" ref="AS54" si="249">AS53+AS52</f>
        <v>4.2958847736625519E-2</v>
      </c>
      <c r="AT54" s="69"/>
    </row>
    <row r="55" spans="1:54" x14ac:dyDescent="0.25">
      <c r="A55" s="17" t="s">
        <v>10</v>
      </c>
      <c r="B55" s="36">
        <v>-1.0999999999999999E-2</v>
      </c>
      <c r="C55" s="36">
        <v>-1.9E-2</v>
      </c>
      <c r="D55" s="36">
        <v>-1.4E-2</v>
      </c>
      <c r="E55" s="36">
        <v>-7.0000000000000001E-3</v>
      </c>
      <c r="F55" s="34">
        <f t="shared" ref="F55" si="250">F19</f>
        <v>0</v>
      </c>
      <c r="G55" s="36">
        <v>-1.9E-2</v>
      </c>
      <c r="H55" s="36">
        <v>-8.9999999999999993E-3</v>
      </c>
      <c r="I55" s="36">
        <v>-4.0000000000000001E-3</v>
      </c>
      <c r="J55" s="36">
        <v>-1.6E-2</v>
      </c>
      <c r="K55" s="34">
        <v>0</v>
      </c>
      <c r="L55" s="36">
        <v>-1.5E-3</v>
      </c>
      <c r="M55" s="36">
        <v>-1.6E-2</v>
      </c>
      <c r="N55" s="36">
        <v>-1.7999999999999999E-2</v>
      </c>
      <c r="O55" s="36">
        <v>-1.4999999999999999E-2</v>
      </c>
      <c r="P55" s="34">
        <v>0</v>
      </c>
      <c r="Q55" s="415">
        <v>-3.0000000000000001E-3</v>
      </c>
      <c r="R55" s="44">
        <f>R31</f>
        <v>-8.3333333333333332E-3</v>
      </c>
      <c r="S55" s="73">
        <f t="shared" ref="S55:T55" si="251">S31</f>
        <v>-6.6666666666666671E-3</v>
      </c>
      <c r="T55" s="73">
        <f t="shared" si="251"/>
        <v>-1.0333333333333333E-2</v>
      </c>
      <c r="V55" s="73">
        <f>V31</f>
        <v>-1.2333333333333333E-2</v>
      </c>
      <c r="W55" s="73">
        <f>W31</f>
        <v>-8.1111111111111106E-3</v>
      </c>
      <c r="X55" s="73">
        <f t="shared" ref="X55:Y55" si="252">X31</f>
        <v>-6.2222222222222227E-3</v>
      </c>
      <c r="Y55" s="73">
        <f t="shared" si="252"/>
        <v>-1.1111111111111112E-2</v>
      </c>
      <c r="AA55" s="73">
        <f>AA31</f>
        <v>-1.0444444444444444E-2</v>
      </c>
      <c r="AB55" s="73">
        <f>AB31</f>
        <v>-1.0481481481481481E-2</v>
      </c>
      <c r="AC55" s="73">
        <f t="shared" ref="AC55:AD55" si="253">AC31</f>
        <v>-6.9629629629629633E-3</v>
      </c>
      <c r="AD55" s="73">
        <f t="shared" si="253"/>
        <v>-1.0481481481481482E-2</v>
      </c>
      <c r="AF55" s="73">
        <f>AF31</f>
        <v>-1.1925925925925925E-2</v>
      </c>
      <c r="AG55" s="73">
        <f>AG31</f>
        <v>-8.9753086419753075E-3</v>
      </c>
      <c r="AH55" s="73">
        <f t="shared" ref="AH55:AI55" si="254">AH31</f>
        <v>-6.6172839506172844E-3</v>
      </c>
      <c r="AI55" s="73">
        <f t="shared" si="254"/>
        <v>-1.0641975308641976E-2</v>
      </c>
      <c r="AK55" s="73">
        <f>AK31</f>
        <v>-1.15679012345679E-2</v>
      </c>
      <c r="AL55" s="73">
        <f>AL31</f>
        <v>-9.1893004115226329E-3</v>
      </c>
      <c r="AM55" s="73">
        <f t="shared" ref="AM55:AN55" si="255">AM31</f>
        <v>-6.6008230452674899E-3</v>
      </c>
      <c r="AN55" s="73">
        <f t="shared" si="255"/>
        <v>-1.0744855967078191E-2</v>
      </c>
      <c r="AP55" s="73">
        <f>AP31</f>
        <v>-1.131275720164609E-2</v>
      </c>
      <c r="AQ55" s="73">
        <f>AQ31</f>
        <v>-9.5486968449931403E-3</v>
      </c>
      <c r="AR55" s="73">
        <f t="shared" ref="AR55:AS55" si="256">AR31</f>
        <v>-6.7270233196159122E-3</v>
      </c>
      <c r="AS55" s="73">
        <f t="shared" si="256"/>
        <v>-1.0622770919067217E-2</v>
      </c>
      <c r="AT55" s="69"/>
    </row>
    <row r="56" spans="1:54" x14ac:dyDescent="0.25">
      <c r="A56" s="17" t="s">
        <v>13</v>
      </c>
      <c r="B56" s="36">
        <f t="shared" ref="B56:P56" si="257">B55+B54</f>
        <v>3.4000000000000002E-2</v>
      </c>
      <c r="C56" s="36">
        <f t="shared" si="257"/>
        <v>8.0000000000000002E-3</v>
      </c>
      <c r="D56" s="36">
        <f t="shared" si="257"/>
        <v>-2E-3</v>
      </c>
      <c r="E56" s="36">
        <f t="shared" si="257"/>
        <v>1.7000000000000001E-2</v>
      </c>
      <c r="F56" s="34">
        <f t="shared" si="257"/>
        <v>0</v>
      </c>
      <c r="G56" s="36">
        <f t="shared" si="257"/>
        <v>-3.4000000000000002E-2</v>
      </c>
      <c r="H56" s="36">
        <f t="shared" si="257"/>
        <v>4.0000000000000001E-3</v>
      </c>
      <c r="I56" s="36">
        <f t="shared" si="257"/>
        <v>3.0000000000000001E-3</v>
      </c>
      <c r="J56" s="36">
        <f t="shared" si="257"/>
        <v>9.9999999999999985E-3</v>
      </c>
      <c r="K56" s="34">
        <f t="shared" si="257"/>
        <v>0</v>
      </c>
      <c r="L56" s="36">
        <f t="shared" si="257"/>
        <v>1.9999999999999997E-2</v>
      </c>
      <c r="M56" s="36">
        <f t="shared" si="257"/>
        <v>1.7000000000000001E-2</v>
      </c>
      <c r="N56" s="36">
        <f t="shared" si="257"/>
        <v>1.3000000000000001E-2</v>
      </c>
      <c r="O56" s="36">
        <f t="shared" si="257"/>
        <v>2.9999999999999992E-3</v>
      </c>
      <c r="P56" s="34">
        <f t="shared" si="257"/>
        <v>0</v>
      </c>
      <c r="Q56" s="415">
        <f>Q55+Q54</f>
        <v>-2E-3</v>
      </c>
      <c r="R56" s="44">
        <f>R55+R54</f>
        <v>1.9000000000000003E-2</v>
      </c>
      <c r="S56" s="73">
        <f t="shared" ref="S56:T56" si="258">S55+S54</f>
        <v>1.9666666666666666E-2</v>
      </c>
      <c r="T56" s="73">
        <f t="shared" si="258"/>
        <v>2.466666666666667E-2</v>
      </c>
      <c r="V56" s="73">
        <f>V55+V54</f>
        <v>1.1166666666666667E-2</v>
      </c>
      <c r="W56" s="73">
        <f>W55+W54</f>
        <v>2.0000000000000004E-2</v>
      </c>
      <c r="X56" s="73">
        <f t="shared" ref="X56:Y56" si="259">X55+X54</f>
        <v>2.1555555555555553E-2</v>
      </c>
      <c r="Y56" s="73">
        <f t="shared" si="259"/>
        <v>3.255555555555556E-2</v>
      </c>
      <c r="AA56" s="73">
        <f>AA55+AA54</f>
        <v>2.8888888888888888E-3</v>
      </c>
      <c r="AB56" s="73">
        <f>AB55+AB54</f>
        <v>7.3333333333333375E-3</v>
      </c>
      <c r="AC56" s="73">
        <f t="shared" ref="AC56" si="260">AC55+AC54</f>
        <v>1.274074074074074E-2</v>
      </c>
      <c r="AD56" s="73">
        <f t="shared" ref="AD56" si="261">AD55+AD54</f>
        <v>2.2407407407407411E-2</v>
      </c>
      <c r="AF56" s="73">
        <f>AF55+AF54</f>
        <v>6.8518518518518624E-4</v>
      </c>
      <c r="AG56" s="73">
        <f>AG55+AG54</f>
        <v>8.7777777777777802E-3</v>
      </c>
      <c r="AH56" s="73">
        <f t="shared" ref="AH56" si="262">AH55+AH54</f>
        <v>1.1987654320987653E-2</v>
      </c>
      <c r="AI56" s="73">
        <f t="shared" ref="AI56" si="263">AI55+AI54</f>
        <v>2.2209876543209876E-2</v>
      </c>
      <c r="AK56" s="73">
        <f>AK55+AK54</f>
        <v>-8.4197530864197519E-3</v>
      </c>
      <c r="AL56" s="73">
        <f>AL55+AL54</f>
        <v>-1.2962962962962954E-3</v>
      </c>
      <c r="AM56" s="73">
        <f t="shared" ref="AM56" si="264">AM55+AM54</f>
        <v>2.094650205761316E-3</v>
      </c>
      <c r="AN56" s="73">
        <f t="shared" ref="AN56" si="265">AN55+AN54</f>
        <v>1.2390946502057616E-2</v>
      </c>
      <c r="AP56" s="73">
        <f>AP55+AP54</f>
        <v>1.1718106995884775E-2</v>
      </c>
      <c r="AQ56" s="73">
        <f>AQ55+AQ54</f>
        <v>1.8271604938271607E-2</v>
      </c>
      <c r="AR56" s="73">
        <f t="shared" ref="AR56" si="266">AR55+AR54</f>
        <v>2.2274348422496568E-2</v>
      </c>
      <c r="AS56" s="73">
        <f t="shared" ref="AS56" si="267">AS55+AS54</f>
        <v>3.2336076817558304E-2</v>
      </c>
      <c r="AT56" s="69"/>
    </row>
    <row r="57" spans="1:54" x14ac:dyDescent="0.25">
      <c r="A57" s="17"/>
      <c r="B57" s="40"/>
      <c r="C57" s="40"/>
      <c r="D57" s="40"/>
      <c r="E57" s="40"/>
      <c r="F57" s="32"/>
      <c r="G57" s="40"/>
      <c r="H57" s="40"/>
      <c r="I57" s="40"/>
      <c r="J57" s="40"/>
      <c r="K57" s="32"/>
      <c r="L57" s="40"/>
      <c r="M57" s="40"/>
      <c r="N57" s="40"/>
      <c r="O57" s="40"/>
      <c r="P57" s="32"/>
      <c r="Q57" s="421"/>
      <c r="R57" s="14"/>
      <c r="AT57" s="69"/>
    </row>
    <row r="58" spans="1:54" x14ac:dyDescent="0.25">
      <c r="A58" s="17"/>
      <c r="B58" s="40"/>
      <c r="C58" s="40"/>
      <c r="D58" s="40"/>
      <c r="E58" s="40"/>
      <c r="F58" s="32"/>
      <c r="G58" s="40"/>
      <c r="H58" s="40"/>
      <c r="I58" s="40"/>
      <c r="J58" s="40"/>
      <c r="K58" s="32"/>
      <c r="L58" s="40"/>
      <c r="M58" s="40"/>
      <c r="N58" s="40"/>
      <c r="O58" s="40"/>
      <c r="P58" s="32"/>
      <c r="Q58" s="421"/>
      <c r="R58" s="14"/>
      <c r="AT58" s="69"/>
    </row>
    <row r="59" spans="1:54" s="1" customFormat="1" x14ac:dyDescent="0.25">
      <c r="A59" s="53" t="s">
        <v>45</v>
      </c>
      <c r="B59" s="49"/>
      <c r="C59" s="49"/>
      <c r="D59" s="49"/>
      <c r="E59" s="49"/>
      <c r="F59" s="50"/>
      <c r="G59" s="49"/>
      <c r="H59" s="49"/>
      <c r="I59" s="49"/>
      <c r="J59" s="49"/>
      <c r="K59" s="50"/>
      <c r="L59" s="49"/>
      <c r="M59" s="49"/>
      <c r="N59" s="49"/>
      <c r="O59" s="49"/>
      <c r="P59" s="50"/>
      <c r="Q59" s="422"/>
      <c r="R59" s="12"/>
      <c r="S59" s="70"/>
      <c r="T59" s="70"/>
      <c r="U59" s="71"/>
      <c r="V59" s="70"/>
      <c r="W59" s="70"/>
      <c r="X59" s="70"/>
      <c r="Y59" s="70"/>
      <c r="Z59" s="71"/>
      <c r="AA59" s="70"/>
      <c r="AB59" s="70"/>
      <c r="AC59" s="70"/>
      <c r="AD59" s="70"/>
      <c r="AE59" s="71"/>
      <c r="AF59" s="70"/>
      <c r="AG59" s="70"/>
      <c r="AH59" s="70"/>
      <c r="AI59" s="70"/>
      <c r="AJ59" s="71"/>
      <c r="AK59" s="70"/>
      <c r="AL59" s="70"/>
      <c r="AM59" s="70"/>
      <c r="AN59" s="70"/>
      <c r="AO59" s="71"/>
      <c r="AP59" s="70"/>
      <c r="AQ59" s="70"/>
      <c r="AR59" s="70"/>
      <c r="AS59" s="70"/>
      <c r="AT59" s="71"/>
    </row>
    <row r="60" spans="1:54" x14ac:dyDescent="0.25">
      <c r="A60" s="17" t="s">
        <v>0</v>
      </c>
      <c r="B60" s="40">
        <v>628</v>
      </c>
      <c r="C60" s="40">
        <v>639</v>
      </c>
      <c r="D60" s="40">
        <v>686</v>
      </c>
      <c r="E60" s="40">
        <v>621</v>
      </c>
      <c r="F60" s="32">
        <f>SUM(B60:E60)</f>
        <v>2574</v>
      </c>
      <c r="G60" s="40">
        <v>593</v>
      </c>
      <c r="H60" s="40">
        <v>613</v>
      </c>
      <c r="I60" s="40">
        <v>656</v>
      </c>
      <c r="J60" s="40">
        <v>611</v>
      </c>
      <c r="K60" s="32">
        <f>SUM(G60:J60)</f>
        <v>2473</v>
      </c>
      <c r="L60" s="40">
        <v>588</v>
      </c>
      <c r="M60" s="40">
        <v>593</v>
      </c>
      <c r="N60" s="40">
        <v>667</v>
      </c>
      <c r="O60" s="40">
        <v>616</v>
      </c>
      <c r="P60" s="32">
        <f>SUM(L60:O60)</f>
        <v>2464</v>
      </c>
      <c r="Q60" s="421">
        <v>582</v>
      </c>
      <c r="R60" s="30">
        <f>M60*(1+R62)</f>
        <v>594.87783333333334</v>
      </c>
      <c r="S60" s="67">
        <f t="shared" ref="S60" si="268">N60*(1+S62)</f>
        <v>691.01200000000006</v>
      </c>
      <c r="T60" s="67">
        <f>O60*(1+T62)</f>
        <v>637.76533333333339</v>
      </c>
      <c r="U60" s="274">
        <f>SUM(Q60:T60)</f>
        <v>2505.6551666666669</v>
      </c>
      <c r="V60" s="67">
        <f>Q60*(1+V62)</f>
        <v>600.62400000000002</v>
      </c>
      <c r="W60" s="67">
        <f>R60*(1+W62)</f>
        <v>611.56746143518512</v>
      </c>
      <c r="X60" s="67">
        <f t="shared" ref="X60" si="269">S60*(1+X62)</f>
        <v>710.36033600000007</v>
      </c>
      <c r="Y60" s="67">
        <f t="shared" ref="Y60" si="270">T60*(1+Y62)</f>
        <v>661.85869037037037</v>
      </c>
      <c r="Z60" s="274">
        <f>SUM(V60:Y60)</f>
        <v>2584.4104878055555</v>
      </c>
      <c r="AA60" s="67">
        <f>V60*(1+AA62)</f>
        <v>621.24542400000007</v>
      </c>
      <c r="AB60" s="67">
        <f>W60*(1+AB62)</f>
        <v>627.92122836689634</v>
      </c>
      <c r="AC60" s="67">
        <f t="shared" ref="AC60" si="271">X60*(1+AC62)</f>
        <v>730.0136386293334</v>
      </c>
      <c r="AD60" s="67">
        <f t="shared" ref="AD60" si="272">Y60*(1+AD62)</f>
        <v>687.91631214310007</v>
      </c>
      <c r="AE60" s="274">
        <f>SUM(AA60:AD60)</f>
        <v>2667.09660313933</v>
      </c>
      <c r="AF60" s="67">
        <f>AA60*(1+AF62)</f>
        <v>634.77476878933339</v>
      </c>
      <c r="AG60" s="67">
        <f>AB60*(1+AG62)</f>
        <v>639.21605836357003</v>
      </c>
      <c r="AH60" s="67">
        <f t="shared" ref="AH60" si="273">AC60*(1+AH62)</f>
        <v>743.31610937769005</v>
      </c>
      <c r="AI60" s="67">
        <f t="shared" ref="AI60" si="274">AD60*(1+AI62)</f>
        <v>707.28837520480886</v>
      </c>
      <c r="AJ60" s="274">
        <f>SUM(AF60:AI60)</f>
        <v>2724.5953117354024</v>
      </c>
      <c r="AK60" s="67">
        <f>AF60*(1+AK62)</f>
        <v>655.32266315681034</v>
      </c>
      <c r="AL60" s="67">
        <f>AG60*(1+AL62)</f>
        <v>656.64192988056379</v>
      </c>
      <c r="AM60" s="67">
        <f t="shared" ref="AM60" si="275">AH60*(1+AM62)</f>
        <v>763.85365817753291</v>
      </c>
      <c r="AN60" s="67">
        <f t="shared" ref="AN60" si="276">AI60*(1+AN62)</f>
        <v>734.23809975633696</v>
      </c>
      <c r="AO60" s="274">
        <f>SUM(AK60:AN60)</f>
        <v>2810.0563509712438</v>
      </c>
      <c r="AP60" s="67">
        <f>AK60*(1+AP62)</f>
        <v>676.6166045077822</v>
      </c>
      <c r="AQ60" s="67">
        <f>AL60*(1+AQ62)</f>
        <v>674.36901012886892</v>
      </c>
      <c r="AR60" s="67">
        <f t="shared" ref="AR60" si="277">AM60*(1+AR62)</f>
        <v>784.86434892345312</v>
      </c>
      <c r="AS60" s="67">
        <f t="shared" ref="AS60" si="278">AN60*(1+AS62)</f>
        <v>762.29425408666964</v>
      </c>
      <c r="AT60" s="274">
        <f>SUM(AP60:AS60)</f>
        <v>2898.144217646774</v>
      </c>
    </row>
    <row r="61" spans="1:54" s="38" customFormat="1" hidden="1" x14ac:dyDescent="0.25">
      <c r="A61" s="38" t="s">
        <v>15</v>
      </c>
      <c r="B61" s="42" t="s">
        <v>49</v>
      </c>
      <c r="C61" s="42" t="s">
        <v>49</v>
      </c>
      <c r="D61" s="42" t="s">
        <v>49</v>
      </c>
      <c r="E61" s="42" t="s">
        <v>49</v>
      </c>
      <c r="F61" s="35" t="s">
        <v>49</v>
      </c>
      <c r="G61" s="42">
        <f t="shared" ref="G61:P61" si="279">B60*(1+G62)</f>
        <v>593.45999999999992</v>
      </c>
      <c r="H61" s="42">
        <f t="shared" si="279"/>
        <v>612.16199999999992</v>
      </c>
      <c r="I61" s="42">
        <f>D60*(1+I62)</f>
        <v>656.50199999999995</v>
      </c>
      <c r="J61" s="42">
        <f>E60*(1+J62)</f>
        <v>610.44299999999998</v>
      </c>
      <c r="K61" s="35">
        <f>F60*(1+K62)</f>
        <v>2574</v>
      </c>
      <c r="L61" s="42">
        <f>G60*(1+L62)</f>
        <v>591.81399999999996</v>
      </c>
      <c r="M61" s="42">
        <f>H60*(1+M62)</f>
        <v>597.67499999999995</v>
      </c>
      <c r="N61" s="42">
        <f t="shared" si="279"/>
        <v>665.83999999999992</v>
      </c>
      <c r="O61" s="42">
        <f t="shared" si="279"/>
        <v>623.8309999999999</v>
      </c>
      <c r="P61" s="35">
        <f t="shared" si="279"/>
        <v>2473</v>
      </c>
      <c r="Q61" s="414">
        <f>L60*(1+Q62)</f>
        <v>582.12</v>
      </c>
      <c r="R61" s="30"/>
      <c r="S61" s="67"/>
      <c r="T61" s="67"/>
      <c r="U61" s="69"/>
      <c r="V61" s="67"/>
      <c r="W61" s="67"/>
      <c r="X61" s="67"/>
      <c r="Y61" s="67"/>
      <c r="Z61" s="69"/>
      <c r="AA61" s="67"/>
      <c r="AB61" s="67"/>
      <c r="AC61" s="67"/>
      <c r="AD61" s="67"/>
      <c r="AE61" s="69"/>
      <c r="AF61" s="67"/>
      <c r="AG61" s="67"/>
      <c r="AH61" s="67"/>
      <c r="AI61" s="67"/>
      <c r="AJ61" s="69"/>
      <c r="AK61" s="67"/>
      <c r="AL61" s="67"/>
      <c r="AM61" s="67"/>
      <c r="AN61" s="67"/>
      <c r="AO61" s="69"/>
      <c r="AP61" s="67"/>
      <c r="AQ61" s="67"/>
      <c r="AR61" s="67"/>
      <c r="AS61" s="67"/>
      <c r="AT61" s="69"/>
    </row>
    <row r="62" spans="1:54" s="116" customFormat="1" x14ac:dyDescent="0.25">
      <c r="A62" s="116" t="s">
        <v>7</v>
      </c>
      <c r="B62" s="121">
        <f>B63+B69</f>
        <v>4.1999999999999996E-2</v>
      </c>
      <c r="C62" s="121">
        <f t="shared" ref="C62:Q62" si="280">C63+C69</f>
        <v>6.0000000000000001E-3</v>
      </c>
      <c r="D62" s="121">
        <f t="shared" si="280"/>
        <v>-1.6999999999999998E-2</v>
      </c>
      <c r="E62" s="121">
        <f t="shared" si="280"/>
        <v>-6.5000000000000002E-2</v>
      </c>
      <c r="F62" s="122">
        <f t="shared" si="280"/>
        <v>0</v>
      </c>
      <c r="G62" s="121">
        <f t="shared" si="280"/>
        <v>-5.5000000000000007E-2</v>
      </c>
      <c r="H62" s="121">
        <f t="shared" si="280"/>
        <v>-4.2000000000000003E-2</v>
      </c>
      <c r="I62" s="121">
        <f t="shared" si="280"/>
        <v>-4.2999999999999997E-2</v>
      </c>
      <c r="J62" s="121">
        <f t="shared" si="280"/>
        <v>-1.7000000000000008E-2</v>
      </c>
      <c r="K62" s="122">
        <f t="shared" si="280"/>
        <v>0</v>
      </c>
      <c r="L62" s="121">
        <f t="shared" si="280"/>
        <v>-2E-3</v>
      </c>
      <c r="M62" s="121">
        <f t="shared" si="280"/>
        <v>-2.5000000000000001E-2</v>
      </c>
      <c r="N62" s="121">
        <f t="shared" si="280"/>
        <v>1.5000000000000006E-2</v>
      </c>
      <c r="O62" s="121">
        <f t="shared" si="280"/>
        <v>2.0999999999999998E-2</v>
      </c>
      <c r="P62" s="122">
        <f t="shared" si="280"/>
        <v>0</v>
      </c>
      <c r="Q62" s="415">
        <f t="shared" si="280"/>
        <v>-1.0000000000000002E-2</v>
      </c>
      <c r="R62" s="45">
        <f>R63+R69</f>
        <v>3.1666666666666653E-3</v>
      </c>
      <c r="S62" s="125">
        <f>S63+S69</f>
        <v>3.5999999999999997E-2</v>
      </c>
      <c r="T62" s="125">
        <f>T63+T69</f>
        <v>3.5333333333333335E-2</v>
      </c>
      <c r="U62" s="120"/>
      <c r="V62" s="125">
        <f>V63+V69</f>
        <v>3.2000000000000001E-2</v>
      </c>
      <c r="W62" s="125">
        <f>W63+W69</f>
        <v>2.8055555555555552E-2</v>
      </c>
      <c r="X62" s="125">
        <f t="shared" ref="X62:Y62" si="281">X63+X69</f>
        <v>2.8000000000000001E-2</v>
      </c>
      <c r="Y62" s="125">
        <f t="shared" si="281"/>
        <v>3.7777777777777778E-2</v>
      </c>
      <c r="Z62" s="120"/>
      <c r="AA62" s="125">
        <f>AA63+AA69</f>
        <v>3.4333333333333327E-2</v>
      </c>
      <c r="AB62" s="125">
        <f>AB63+AB69</f>
        <v>2.6740740740740742E-2</v>
      </c>
      <c r="AC62" s="125">
        <f t="shared" ref="AC62" si="282">AC63+AC69</f>
        <v>2.7666666666666666E-2</v>
      </c>
      <c r="AD62" s="125">
        <f t="shared" ref="AD62" si="283">AD63+AD69</f>
        <v>3.9370370370370368E-2</v>
      </c>
      <c r="AE62" s="120"/>
      <c r="AF62" s="125">
        <f>AF63+AF69</f>
        <v>2.1777777777777778E-2</v>
      </c>
      <c r="AG62" s="125">
        <f>AG63+AG69</f>
        <v>1.7987654320987655E-2</v>
      </c>
      <c r="AH62" s="125">
        <f t="shared" ref="AH62" si="284">AH63+AH69</f>
        <v>1.8222222222222223E-2</v>
      </c>
      <c r="AI62" s="125">
        <f t="shared" ref="AI62" si="285">AI63+AI69</f>
        <v>2.8160493827160498E-2</v>
      </c>
      <c r="AJ62" s="120"/>
      <c r="AK62" s="125">
        <f>AK63+AK69</f>
        <v>3.2370370370370369E-2</v>
      </c>
      <c r="AL62" s="125">
        <f>AL63+AL69</f>
        <v>2.7261316872427981E-2</v>
      </c>
      <c r="AM62" s="125">
        <f t="shared" ref="AM62" si="286">AM63+AM69</f>
        <v>2.7629629629629629E-2</v>
      </c>
      <c r="AN62" s="125">
        <f t="shared" ref="AN62" si="287">AN63+AN69</f>
        <v>3.8102880658436214E-2</v>
      </c>
      <c r="AO62" s="120"/>
      <c r="AP62" s="125">
        <f>AP63+AP69</f>
        <v>3.2493827160493823E-2</v>
      </c>
      <c r="AQ62" s="125">
        <f>AQ63+AQ69</f>
        <v>2.6996570644718793E-2</v>
      </c>
      <c r="AR62" s="125">
        <f t="shared" ref="AR62" si="288">AR63+AR69</f>
        <v>2.7506172839506172E-2</v>
      </c>
      <c r="AS62" s="125">
        <f t="shared" ref="AS62" si="289">AS63+AS69</f>
        <v>3.8211248285322359E-2</v>
      </c>
      <c r="AT62" s="120"/>
    </row>
    <row r="63" spans="1:54" x14ac:dyDescent="0.25">
      <c r="A63" s="17" t="s">
        <v>14</v>
      </c>
      <c r="B63" s="36">
        <v>2.9000000000000001E-2</v>
      </c>
      <c r="C63" s="36">
        <v>7.4999999999999997E-3</v>
      </c>
      <c r="D63" s="36">
        <v>0.02</v>
      </c>
      <c r="E63" s="36">
        <v>-1.7000000000000001E-2</v>
      </c>
      <c r="F63" s="32"/>
      <c r="G63" s="36">
        <v>-0.04</v>
      </c>
      <c r="H63" s="36">
        <v>-0.04</v>
      </c>
      <c r="I63" s="36">
        <v>-2.7E-2</v>
      </c>
      <c r="J63" s="36">
        <v>-0.05</v>
      </c>
      <c r="K63" s="32"/>
      <c r="L63" s="36">
        <v>-1.2999999999999999E-2</v>
      </c>
      <c r="M63" s="36">
        <v>-2.4E-2</v>
      </c>
      <c r="N63" s="36">
        <v>-1.4999999999999999E-2</v>
      </c>
      <c r="O63" s="36">
        <v>0</v>
      </c>
      <c r="P63" s="32"/>
      <c r="Q63" s="418">
        <v>-1.7000000000000001E-2</v>
      </c>
      <c r="R63" s="44">
        <v>-1.5E-3</v>
      </c>
      <c r="S63" s="73">
        <v>1.7999999999999999E-2</v>
      </c>
      <c r="T63" s="73">
        <v>1.6E-2</v>
      </c>
      <c r="V63" s="73">
        <v>1.4999999999999999E-2</v>
      </c>
      <c r="W63" s="73">
        <v>1.4999999999999999E-2</v>
      </c>
      <c r="X63" s="73">
        <v>1.4999999999999999E-2</v>
      </c>
      <c r="Y63" s="73">
        <v>1.4999999999999999E-2</v>
      </c>
      <c r="AA63" s="73">
        <v>1.4999999999999999E-2</v>
      </c>
      <c r="AB63" s="73">
        <v>1.4999999999999999E-2</v>
      </c>
      <c r="AC63" s="73">
        <v>1.4999999999999999E-2</v>
      </c>
      <c r="AD63" s="73">
        <v>1.4999999999999999E-2</v>
      </c>
      <c r="AF63" s="73">
        <v>5.0000000000000001E-3</v>
      </c>
      <c r="AG63" s="73">
        <v>5.0000000000000001E-3</v>
      </c>
      <c r="AH63" s="73">
        <v>5.0000000000000001E-3</v>
      </c>
      <c r="AI63" s="73">
        <v>5.0000000000000001E-3</v>
      </c>
      <c r="AK63" s="73">
        <v>1.4999999999999999E-2</v>
      </c>
      <c r="AL63" s="73">
        <v>1.4999999999999999E-2</v>
      </c>
      <c r="AM63" s="73">
        <v>1.4999999999999999E-2</v>
      </c>
      <c r="AN63" s="73">
        <v>1.4999999999999999E-2</v>
      </c>
      <c r="AP63" s="73">
        <v>1.4999999999999999E-2</v>
      </c>
      <c r="AQ63" s="73">
        <v>1.4999999999999999E-2</v>
      </c>
      <c r="AR63" s="73">
        <v>1.4999999999999999E-2</v>
      </c>
      <c r="AS63" s="73">
        <v>1.4999999999999999E-2</v>
      </c>
      <c r="AT63" s="69"/>
      <c r="AY63" s="361"/>
      <c r="AZ63" s="361"/>
      <c r="BA63" s="361"/>
      <c r="BB63" s="361"/>
    </row>
    <row r="64" spans="1:54" hidden="1" x14ac:dyDescent="0.25">
      <c r="A64" s="17" t="s">
        <v>8</v>
      </c>
      <c r="B64" s="36">
        <v>3.9E-2</v>
      </c>
      <c r="C64" s="36">
        <v>5.0000000000000001E-3</v>
      </c>
      <c r="D64" s="36">
        <v>-2.1000000000000001E-2</v>
      </c>
      <c r="E64" s="36">
        <v>-6.9000000000000006E-2</v>
      </c>
      <c r="F64" s="32"/>
      <c r="G64" s="36">
        <v>-5.6000000000000001E-2</v>
      </c>
      <c r="H64" s="36">
        <v>-3.3000000000000002E-2</v>
      </c>
      <c r="I64" s="36">
        <v>-4.4999999999999998E-2</v>
      </c>
      <c r="J64" s="36">
        <v>-1E-3</v>
      </c>
      <c r="K64" s="32"/>
      <c r="L64" s="36">
        <v>-5.0000000000000001E-3</v>
      </c>
      <c r="M64" s="43">
        <v>-0.01</v>
      </c>
      <c r="N64" s="36">
        <v>2.5000000000000001E-2</v>
      </c>
      <c r="O64" s="36">
        <v>1.4999999999999999E-2</v>
      </c>
      <c r="P64" s="32"/>
      <c r="Q64" s="415">
        <v>4.0000000000000001E-3</v>
      </c>
      <c r="R64" s="44">
        <v>2.5000000000000001E-2</v>
      </c>
      <c r="S64" s="73">
        <v>0.03</v>
      </c>
      <c r="T64" s="73">
        <v>0.03</v>
      </c>
      <c r="V64" s="73">
        <v>2.5000000000000001E-2</v>
      </c>
      <c r="W64" s="73">
        <v>2.5000000000000001E-2</v>
      </c>
      <c r="X64" s="73">
        <v>2.5000000000000001E-2</v>
      </c>
      <c r="Y64" s="73">
        <v>2.5000000000000001E-2</v>
      </c>
      <c r="AA64" s="73">
        <v>2.5000000000000001E-2</v>
      </c>
      <c r="AB64" s="73">
        <v>2.5000000000000001E-2</v>
      </c>
      <c r="AC64" s="73">
        <v>2.5000000000000001E-2</v>
      </c>
      <c r="AD64" s="73">
        <v>2.5000000000000001E-2</v>
      </c>
      <c r="AF64" s="73">
        <v>2.5000000000000001E-2</v>
      </c>
      <c r="AG64" s="73">
        <v>2.5000000000000001E-2</v>
      </c>
      <c r="AH64" s="73">
        <v>2.5000000000000001E-2</v>
      </c>
      <c r="AI64" s="73">
        <v>2.5000000000000001E-2</v>
      </c>
      <c r="AK64" s="73">
        <v>2.5000000000000001E-2</v>
      </c>
      <c r="AL64" s="73">
        <v>2.5000000000000001E-2</v>
      </c>
      <c r="AM64" s="73">
        <v>2.5000000000000001E-2</v>
      </c>
      <c r="AN64" s="73">
        <v>2.5000000000000001E-2</v>
      </c>
      <c r="AP64" s="73">
        <v>2.5000000000000001E-2</v>
      </c>
      <c r="AQ64" s="73">
        <v>2.5000000000000001E-2</v>
      </c>
      <c r="AR64" s="73">
        <v>2.5000000000000001E-2</v>
      </c>
      <c r="AS64" s="73">
        <v>2.5000000000000001E-2</v>
      </c>
      <c r="AT64" s="69"/>
    </row>
    <row r="65" spans="1:54" x14ac:dyDescent="0.25">
      <c r="A65" s="17" t="s">
        <v>11</v>
      </c>
      <c r="B65" s="36">
        <v>1.0999999999999999E-2</v>
      </c>
      <c r="C65" s="36">
        <v>-1.0999999999999999E-2</v>
      </c>
      <c r="D65" s="36">
        <v>-3.9E-2</v>
      </c>
      <c r="E65" s="36">
        <v>-4.8000000000000001E-2</v>
      </c>
      <c r="F65" s="32"/>
      <c r="G65" s="36">
        <v>-3.3000000000000002E-2</v>
      </c>
      <c r="H65" s="36">
        <v>4.0000000000000001E-3</v>
      </c>
      <c r="I65" s="36">
        <v>-1.4E-2</v>
      </c>
      <c r="J65" s="36">
        <v>2.3E-2</v>
      </c>
      <c r="K65" s="32"/>
      <c r="L65" s="36">
        <v>7.0000000000000001E-3</v>
      </c>
      <c r="M65" s="36">
        <v>7.0000000000000001E-3</v>
      </c>
      <c r="N65" s="36">
        <v>3.5000000000000003E-2</v>
      </c>
      <c r="O65" s="36">
        <v>1.2999999999999999E-2</v>
      </c>
      <c r="P65" s="32"/>
      <c r="Q65" s="415">
        <v>8.9999999999999993E-3</v>
      </c>
      <c r="R65" s="44">
        <v>1.5E-3</v>
      </c>
      <c r="S65" s="73">
        <v>1.4999999999999999E-2</v>
      </c>
      <c r="T65" s="73">
        <v>8.0000000000000002E-3</v>
      </c>
      <c r="V65" s="73">
        <v>1.2E-2</v>
      </c>
      <c r="W65" s="73">
        <v>1.2E-2</v>
      </c>
      <c r="X65" s="73">
        <v>1.2E-2</v>
      </c>
      <c r="Y65" s="73">
        <v>1.2E-2</v>
      </c>
      <c r="AA65" s="73">
        <v>1.2999999999999999E-2</v>
      </c>
      <c r="AB65" s="73">
        <v>1.2999999999999999E-2</v>
      </c>
      <c r="AC65" s="73">
        <v>1.2999999999999999E-2</v>
      </c>
      <c r="AD65" s="73">
        <v>1.2999999999999999E-2</v>
      </c>
      <c r="AF65" s="73">
        <v>1.2E-2</v>
      </c>
      <c r="AG65" s="73">
        <v>1.2E-2</v>
      </c>
      <c r="AH65" s="73">
        <v>1.2E-2</v>
      </c>
      <c r="AI65" s="73">
        <v>1.2E-2</v>
      </c>
      <c r="AK65" s="73">
        <v>1.2E-2</v>
      </c>
      <c r="AL65" s="73">
        <v>1.2E-2</v>
      </c>
      <c r="AM65" s="73">
        <v>1.2E-2</v>
      </c>
      <c r="AN65" s="73">
        <v>1.2E-2</v>
      </c>
      <c r="AP65" s="73">
        <v>1.2E-2</v>
      </c>
      <c r="AQ65" s="73">
        <v>1.2E-2</v>
      </c>
      <c r="AR65" s="73">
        <v>1.2E-2</v>
      </c>
      <c r="AS65" s="73">
        <v>1.2E-2</v>
      </c>
      <c r="AT65" s="69"/>
    </row>
    <row r="66" spans="1:54" x14ac:dyDescent="0.25">
      <c r="A66" s="17" t="s">
        <v>9</v>
      </c>
      <c r="B66" s="39">
        <v>7.0000000000000001E-3</v>
      </c>
      <c r="C66" s="39">
        <v>1.15E-2</v>
      </c>
      <c r="D66" s="39">
        <v>0.01</v>
      </c>
      <c r="E66" s="39">
        <v>0.02</v>
      </c>
      <c r="F66" s="33">
        <f t="shared" ref="F66" si="290">F17</f>
        <v>0</v>
      </c>
      <c r="G66" s="39">
        <v>1.9E-2</v>
      </c>
      <c r="H66" s="39">
        <v>8.9999999999999993E-3</v>
      </c>
      <c r="I66" s="39">
        <v>6.0000000000000001E-3</v>
      </c>
      <c r="J66" s="39">
        <v>0.02</v>
      </c>
      <c r="K66" s="33"/>
      <c r="L66" s="39">
        <v>1.6E-2</v>
      </c>
      <c r="M66" s="39">
        <v>4.0000000000000001E-3</v>
      </c>
      <c r="N66" s="39">
        <v>3.0000000000000001E-3</v>
      </c>
      <c r="O66" s="39">
        <v>1.7000000000000001E-2</v>
      </c>
      <c r="P66" s="33"/>
      <c r="Q66" s="416">
        <v>6.0000000000000001E-3</v>
      </c>
      <c r="R66" s="44">
        <f>AVERAGE(C66,H66,M66)</f>
        <v>8.1666666666666658E-3</v>
      </c>
      <c r="S66" s="73">
        <f t="shared" ref="S66:T66" si="291">AVERAGE(D66,I66,N66)</f>
        <v>6.3333333333333332E-3</v>
      </c>
      <c r="T66" s="73">
        <f t="shared" si="291"/>
        <v>1.9E-2</v>
      </c>
      <c r="V66" s="73">
        <f>AVERAGE(G66,L66,Q66)</f>
        <v>1.3666666666666667E-2</v>
      </c>
      <c r="W66" s="73">
        <f>AVERAGE(H66,M66,R66)</f>
        <v>7.0555555555555554E-3</v>
      </c>
      <c r="X66" s="73">
        <f t="shared" ref="X66" si="292">AVERAGE(I66,N66,S66)</f>
        <v>5.1111111111111114E-3</v>
      </c>
      <c r="Y66" s="73">
        <f t="shared" ref="Y66" si="293">AVERAGE(J66,O66,T66)</f>
        <v>1.8666666666666668E-2</v>
      </c>
      <c r="AA66" s="73">
        <f>AVERAGE(L66,Q66,V66)</f>
        <v>1.1888888888888888E-2</v>
      </c>
      <c r="AB66" s="73">
        <f>AVERAGE(M66,R66,W66)</f>
        <v>6.4074074074074068E-3</v>
      </c>
      <c r="AC66" s="73">
        <f t="shared" ref="AC66" si="294">AVERAGE(N66,S66,X66)</f>
        <v>4.8148148148148143E-3</v>
      </c>
      <c r="AD66" s="73">
        <f t="shared" ref="AD66" si="295">AVERAGE(O66,T66,Y66)</f>
        <v>1.8222222222222223E-2</v>
      </c>
      <c r="AF66" s="73">
        <f>AVERAGE(Q66,V66,AA66)</f>
        <v>1.0518518518518517E-2</v>
      </c>
      <c r="AG66" s="73">
        <f>AVERAGE(R66,W66,AB66)</f>
        <v>7.209876543209876E-3</v>
      </c>
      <c r="AH66" s="73">
        <f t="shared" ref="AH66" si="296">AVERAGE(S66,X66,AC66)</f>
        <v>5.4197530864197527E-3</v>
      </c>
      <c r="AI66" s="73">
        <f t="shared" ref="AI66" si="297">AVERAGE(T66,Y66,AD66)</f>
        <v>1.8629629629629631E-2</v>
      </c>
      <c r="AK66" s="73">
        <f>AVERAGE(V66,AA66,AF66)</f>
        <v>1.202469135802469E-2</v>
      </c>
      <c r="AL66" s="73">
        <f>AVERAGE(W66,AB66,AG66)</f>
        <v>6.8909465020576127E-3</v>
      </c>
      <c r="AM66" s="73">
        <f t="shared" ref="AM66" si="298">AVERAGE(X66,AC66,AH66)</f>
        <v>5.1152263374485592E-3</v>
      </c>
      <c r="AN66" s="73">
        <f t="shared" ref="AN66" si="299">AVERAGE(Y66,AD66,AI66)</f>
        <v>1.8506172839506174E-2</v>
      </c>
      <c r="AP66" s="73">
        <f>AVERAGE(AA66,AF66,AK66)</f>
        <v>1.1477366255144032E-2</v>
      </c>
      <c r="AQ66" s="73">
        <f>AVERAGE(AB66,AG66,AL66)</f>
        <v>6.8360768175582988E-3</v>
      </c>
      <c r="AR66" s="73">
        <f t="shared" ref="AR66" si="300">AVERAGE(AC66,AH66,AM66)</f>
        <v>5.1165980795610418E-3</v>
      </c>
      <c r="AS66" s="73">
        <f t="shared" ref="AS66" si="301">AVERAGE(AD66,AI66,AN66)</f>
        <v>1.8452674897119343E-2</v>
      </c>
      <c r="AT66" s="69"/>
    </row>
    <row r="67" spans="1:54" x14ac:dyDescent="0.25">
      <c r="A67" s="17" t="s">
        <v>12</v>
      </c>
      <c r="B67" s="36">
        <f>B65+B66</f>
        <v>1.7999999999999999E-2</v>
      </c>
      <c r="C67" s="36">
        <f t="shared" ref="C67:P67" si="302">C65+C66</f>
        <v>5.0000000000000044E-4</v>
      </c>
      <c r="D67" s="36">
        <f t="shared" si="302"/>
        <v>-2.8999999999999998E-2</v>
      </c>
      <c r="E67" s="36">
        <f t="shared" si="302"/>
        <v>-2.8000000000000001E-2</v>
      </c>
      <c r="F67" s="34">
        <f t="shared" si="302"/>
        <v>0</v>
      </c>
      <c r="G67" s="36">
        <f t="shared" si="302"/>
        <v>-1.4000000000000002E-2</v>
      </c>
      <c r="H67" s="36">
        <f t="shared" si="302"/>
        <v>1.2999999999999999E-2</v>
      </c>
      <c r="I67" s="36">
        <f t="shared" si="302"/>
        <v>-8.0000000000000002E-3</v>
      </c>
      <c r="J67" s="36">
        <f t="shared" si="302"/>
        <v>4.2999999999999997E-2</v>
      </c>
      <c r="K67" s="34">
        <f t="shared" si="302"/>
        <v>0</v>
      </c>
      <c r="L67" s="36">
        <f t="shared" si="302"/>
        <v>2.3E-2</v>
      </c>
      <c r="M67" s="36">
        <f t="shared" si="302"/>
        <v>1.0999999999999999E-2</v>
      </c>
      <c r="N67" s="36">
        <f t="shared" si="302"/>
        <v>3.8000000000000006E-2</v>
      </c>
      <c r="O67" s="36">
        <f t="shared" si="302"/>
        <v>0.03</v>
      </c>
      <c r="P67" s="34">
        <f t="shared" si="302"/>
        <v>0</v>
      </c>
      <c r="Q67" s="415">
        <f>Q65+Q66</f>
        <v>1.4999999999999999E-2</v>
      </c>
      <c r="R67" s="44">
        <f>R66+R65</f>
        <v>9.6666666666666654E-3</v>
      </c>
      <c r="S67" s="73">
        <f>S66+S65</f>
        <v>2.1333333333333333E-2</v>
      </c>
      <c r="T67" s="73">
        <f>T66+T65</f>
        <v>2.7E-2</v>
      </c>
      <c r="V67" s="73">
        <f>V66+V65</f>
        <v>2.5666666666666667E-2</v>
      </c>
      <c r="W67" s="73">
        <f>W66+W65</f>
        <v>1.9055555555555555E-2</v>
      </c>
      <c r="X67" s="73">
        <f t="shared" ref="X67:Y67" si="303">X66+X65</f>
        <v>1.7111111111111112E-2</v>
      </c>
      <c r="Y67" s="73">
        <f t="shared" si="303"/>
        <v>3.0666666666666668E-2</v>
      </c>
      <c r="AA67" s="73">
        <f>AA66+AA65</f>
        <v>2.4888888888888887E-2</v>
      </c>
      <c r="AB67" s="73">
        <f>AB66+AB65</f>
        <v>1.9407407407407408E-2</v>
      </c>
      <c r="AC67" s="73">
        <f t="shared" ref="AC67" si="304">AC66+AC65</f>
        <v>1.7814814814814815E-2</v>
      </c>
      <c r="AD67" s="73">
        <f t="shared" ref="AD67" si="305">AD66+AD65</f>
        <v>3.1222222222222221E-2</v>
      </c>
      <c r="AF67" s="73">
        <f>AF66+AF65</f>
        <v>2.2518518518518518E-2</v>
      </c>
      <c r="AG67" s="73">
        <f>AG66+AG65</f>
        <v>1.9209876543209877E-2</v>
      </c>
      <c r="AH67" s="73">
        <f t="shared" ref="AH67" si="306">AH66+AH65</f>
        <v>1.7419753086419753E-2</v>
      </c>
      <c r="AI67" s="73">
        <f t="shared" ref="AI67" si="307">AI66+AI65</f>
        <v>3.0629629629629632E-2</v>
      </c>
      <c r="AK67" s="73">
        <f>AK66+AK65</f>
        <v>2.4024691358024691E-2</v>
      </c>
      <c r="AL67" s="73">
        <f>AL66+AL65</f>
        <v>1.8890946502057613E-2</v>
      </c>
      <c r="AM67" s="73">
        <f t="shared" ref="AM67" si="308">AM66+AM65</f>
        <v>1.7115226337448559E-2</v>
      </c>
      <c r="AN67" s="73">
        <f t="shared" ref="AN67" si="309">AN66+AN65</f>
        <v>3.0506172839506174E-2</v>
      </c>
      <c r="AP67" s="73">
        <f>AP66+AP65</f>
        <v>2.347736625514403E-2</v>
      </c>
      <c r="AQ67" s="73">
        <f>AQ66+AQ65</f>
        <v>1.8836076817558299E-2</v>
      </c>
      <c r="AR67" s="73">
        <f t="shared" ref="AR67" si="310">AR66+AR65</f>
        <v>1.7116598079561042E-2</v>
      </c>
      <c r="AS67" s="73">
        <f t="shared" ref="AS67" si="311">AS66+AS65</f>
        <v>3.0452674897119343E-2</v>
      </c>
      <c r="AT67" s="69"/>
    </row>
    <row r="68" spans="1:54" x14ac:dyDescent="0.25">
      <c r="A68" s="17" t="s">
        <v>10</v>
      </c>
      <c r="B68" s="39">
        <v>-5.0000000000000001E-3</v>
      </c>
      <c r="C68" s="39">
        <v>-2E-3</v>
      </c>
      <c r="D68" s="39">
        <v>-8.0000000000000002E-3</v>
      </c>
      <c r="E68" s="39">
        <v>-0.02</v>
      </c>
      <c r="F68" s="33">
        <f t="shared" ref="F68:P68" si="312">F19</f>
        <v>0</v>
      </c>
      <c r="G68" s="36">
        <v>-1E-3</v>
      </c>
      <c r="H68" s="36">
        <v>-1.4999999999999999E-2</v>
      </c>
      <c r="I68" s="36">
        <v>-8.0000000000000002E-3</v>
      </c>
      <c r="J68" s="36">
        <v>-0.01</v>
      </c>
      <c r="K68" s="33">
        <f t="shared" si="312"/>
        <v>0</v>
      </c>
      <c r="L68" s="36">
        <v>-1.2E-2</v>
      </c>
      <c r="M68" s="36">
        <v>-1.2E-2</v>
      </c>
      <c r="N68" s="36">
        <v>-8.0000000000000002E-3</v>
      </c>
      <c r="O68" s="36">
        <v>-8.9999999999999993E-3</v>
      </c>
      <c r="P68" s="33">
        <f t="shared" si="312"/>
        <v>0</v>
      </c>
      <c r="Q68" s="416">
        <v>-8.0000000000000002E-3</v>
      </c>
      <c r="R68" s="419">
        <f>R19</f>
        <v>-5.0000000000000001E-3</v>
      </c>
      <c r="S68" s="77">
        <f t="shared" ref="S68" si="313">S19</f>
        <v>-3.333333333333334E-3</v>
      </c>
      <c r="T68" s="77">
        <f>T19</f>
        <v>-7.6666666666666662E-3</v>
      </c>
      <c r="V68" s="77">
        <f>V19</f>
        <v>-8.6666666666666663E-3</v>
      </c>
      <c r="W68" s="77">
        <f>W19</f>
        <v>-6.000000000000001E-3</v>
      </c>
      <c r="X68" s="77">
        <f t="shared" ref="X68:Y68" si="314">X19</f>
        <v>-4.1111111111111114E-3</v>
      </c>
      <c r="Y68" s="77">
        <f t="shared" si="314"/>
        <v>-7.888888888888888E-3</v>
      </c>
      <c r="AA68" s="77">
        <f>AA19</f>
        <v>-5.5555555555555558E-3</v>
      </c>
      <c r="AB68" s="77">
        <f>AB19</f>
        <v>-7.6666666666666662E-3</v>
      </c>
      <c r="AC68" s="77">
        <f t="shared" ref="AC68:AD68" si="315">AC19</f>
        <v>-5.1481481481481482E-3</v>
      </c>
      <c r="AD68" s="77">
        <f t="shared" si="315"/>
        <v>-6.851851851851852E-3</v>
      </c>
      <c r="AF68" s="77">
        <f>AF19</f>
        <v>-5.7407407407407407E-3</v>
      </c>
      <c r="AG68" s="77">
        <f>AG19</f>
        <v>-6.2222222222222227E-3</v>
      </c>
      <c r="AH68" s="77">
        <f t="shared" ref="AH68:AI68" si="316">AH19</f>
        <v>-4.1975308641975309E-3</v>
      </c>
      <c r="AI68" s="77">
        <f t="shared" si="316"/>
        <v>-7.4691358024691354E-3</v>
      </c>
      <c r="AK68" s="77">
        <f>AK19</f>
        <v>-6.6543209876543212E-3</v>
      </c>
      <c r="AL68" s="77">
        <f>AL19</f>
        <v>-6.6296296296296303E-3</v>
      </c>
      <c r="AM68" s="77">
        <f t="shared" ref="AM68:AN68" si="317">AM19</f>
        <v>-4.4855967078189299E-3</v>
      </c>
      <c r="AN68" s="77">
        <f t="shared" si="317"/>
        <v>-7.4032921810699591E-3</v>
      </c>
      <c r="AP68" s="77">
        <f>AP19</f>
        <v>-5.9835390946502065E-3</v>
      </c>
      <c r="AQ68" s="77">
        <f>AQ19</f>
        <v>-6.8395061728395061E-3</v>
      </c>
      <c r="AR68" s="77">
        <f t="shared" ref="AR68:AS68" si="318">AR19</f>
        <v>-4.6104252400548697E-3</v>
      </c>
      <c r="AS68" s="77">
        <f t="shared" si="318"/>
        <v>-7.2414266117969825E-3</v>
      </c>
      <c r="AT68" s="69"/>
    </row>
    <row r="69" spans="1:54" x14ac:dyDescent="0.25">
      <c r="A69" s="17" t="s">
        <v>13</v>
      </c>
      <c r="B69" s="36">
        <f>B68+B67</f>
        <v>1.2999999999999998E-2</v>
      </c>
      <c r="C69" s="36">
        <f t="shared" ref="C69:P69" si="319">C68+C67</f>
        <v>-1.4999999999999996E-3</v>
      </c>
      <c r="D69" s="36">
        <f t="shared" si="319"/>
        <v>-3.6999999999999998E-2</v>
      </c>
      <c r="E69" s="36">
        <f t="shared" si="319"/>
        <v>-4.8000000000000001E-2</v>
      </c>
      <c r="F69" s="34">
        <f t="shared" si="319"/>
        <v>0</v>
      </c>
      <c r="G69" s="36">
        <f t="shared" si="319"/>
        <v>-1.5000000000000003E-2</v>
      </c>
      <c r="H69" s="36">
        <f t="shared" si="319"/>
        <v>-2E-3</v>
      </c>
      <c r="I69" s="36">
        <f t="shared" si="319"/>
        <v>-1.6E-2</v>
      </c>
      <c r="J69" s="36">
        <f t="shared" si="319"/>
        <v>3.2999999999999995E-2</v>
      </c>
      <c r="K69" s="34">
        <f t="shared" si="319"/>
        <v>0</v>
      </c>
      <c r="L69" s="36">
        <f t="shared" si="319"/>
        <v>1.0999999999999999E-2</v>
      </c>
      <c r="M69" s="36">
        <f t="shared" si="319"/>
        <v>-1.0000000000000009E-3</v>
      </c>
      <c r="N69" s="36">
        <f t="shared" si="319"/>
        <v>3.0000000000000006E-2</v>
      </c>
      <c r="O69" s="36">
        <f t="shared" si="319"/>
        <v>2.0999999999999998E-2</v>
      </c>
      <c r="P69" s="34">
        <f t="shared" si="319"/>
        <v>0</v>
      </c>
      <c r="Q69" s="415">
        <f>Q68+Q67</f>
        <v>6.9999999999999993E-3</v>
      </c>
      <c r="R69" s="44">
        <f>R68+R67</f>
        <v>4.6666666666666653E-3</v>
      </c>
      <c r="S69" s="73">
        <f t="shared" ref="S69" si="320">S68+S67</f>
        <v>1.7999999999999999E-2</v>
      </c>
      <c r="T69" s="73">
        <f>T68+T67</f>
        <v>1.9333333333333334E-2</v>
      </c>
      <c r="V69" s="73">
        <f>V68+V67</f>
        <v>1.7000000000000001E-2</v>
      </c>
      <c r="W69" s="73">
        <f>W68+W67</f>
        <v>1.3055555555555553E-2</v>
      </c>
      <c r="X69" s="73">
        <f t="shared" ref="X69:Y69" si="321">X68+X67</f>
        <v>1.3000000000000001E-2</v>
      </c>
      <c r="Y69" s="73">
        <f t="shared" si="321"/>
        <v>2.2777777777777779E-2</v>
      </c>
      <c r="AA69" s="73">
        <f>AA68+AA67</f>
        <v>1.9333333333333331E-2</v>
      </c>
      <c r="AB69" s="73">
        <f>AB68+AB67</f>
        <v>1.1740740740740743E-2</v>
      </c>
      <c r="AC69" s="73">
        <f t="shared" ref="AC69" si="322">AC68+AC67</f>
        <v>1.2666666666666666E-2</v>
      </c>
      <c r="AD69" s="73">
        <f t="shared" ref="AD69" si="323">AD68+AD67</f>
        <v>2.4370370370370369E-2</v>
      </c>
      <c r="AF69" s="73">
        <f>AF68+AF67</f>
        <v>1.6777777777777777E-2</v>
      </c>
      <c r="AG69" s="73">
        <f>AG68+AG67</f>
        <v>1.2987654320987654E-2</v>
      </c>
      <c r="AH69" s="73">
        <f t="shared" ref="AH69" si="324">AH68+AH67</f>
        <v>1.3222222222222222E-2</v>
      </c>
      <c r="AI69" s="73">
        <f t="shared" ref="AI69" si="325">AI68+AI67</f>
        <v>2.3160493827160497E-2</v>
      </c>
      <c r="AK69" s="73">
        <f>AK68+AK67</f>
        <v>1.7370370370370369E-2</v>
      </c>
      <c r="AL69" s="73">
        <f>AL68+AL67</f>
        <v>1.2261316872427982E-2</v>
      </c>
      <c r="AM69" s="73">
        <f t="shared" ref="AM69" si="326">AM68+AM67</f>
        <v>1.262962962962963E-2</v>
      </c>
      <c r="AN69" s="73">
        <f t="shared" ref="AN69" si="327">AN68+AN67</f>
        <v>2.3102880658436215E-2</v>
      </c>
      <c r="AP69" s="73">
        <f>AP68+AP67</f>
        <v>1.7493827160493823E-2</v>
      </c>
      <c r="AQ69" s="73">
        <f>AQ68+AQ67</f>
        <v>1.1996570644718794E-2</v>
      </c>
      <c r="AR69" s="73">
        <f t="shared" ref="AR69" si="328">AR68+AR67</f>
        <v>1.2506172839506172E-2</v>
      </c>
      <c r="AS69" s="73">
        <f t="shared" ref="AS69" si="329">AS68+AS67</f>
        <v>2.321124828532236E-2</v>
      </c>
      <c r="AT69" s="69"/>
    </row>
    <row r="70" spans="1:54" x14ac:dyDescent="0.25">
      <c r="A70" s="17"/>
      <c r="B70" s="40"/>
      <c r="C70" s="40"/>
      <c r="D70" s="40"/>
      <c r="E70" s="40"/>
      <c r="F70" s="32"/>
      <c r="G70" s="40"/>
      <c r="H70" s="40"/>
      <c r="I70" s="40"/>
      <c r="J70" s="40"/>
      <c r="K70" s="32"/>
      <c r="L70" s="40"/>
      <c r="M70" s="40"/>
      <c r="N70" s="40"/>
      <c r="O70" s="40"/>
      <c r="P70" s="32"/>
      <c r="Q70" s="421"/>
      <c r="R70" s="14"/>
      <c r="AT70" s="69"/>
    </row>
    <row r="71" spans="1:54" s="1" customFormat="1" x14ac:dyDescent="0.25">
      <c r="A71" s="53" t="s">
        <v>6</v>
      </c>
      <c r="B71" s="49"/>
      <c r="C71" s="49"/>
      <c r="D71" s="49"/>
      <c r="E71" s="49"/>
      <c r="F71" s="50"/>
      <c r="G71" s="49"/>
      <c r="H71" s="49"/>
      <c r="I71" s="49"/>
      <c r="J71" s="49"/>
      <c r="K71" s="50"/>
      <c r="L71" s="49"/>
      <c r="M71" s="49"/>
      <c r="N71" s="49"/>
      <c r="O71" s="49"/>
      <c r="P71" s="50"/>
      <c r="Q71" s="422"/>
      <c r="R71" s="12"/>
      <c r="S71" s="70"/>
      <c r="T71" s="70"/>
      <c r="U71" s="71"/>
      <c r="V71" s="70"/>
      <c r="W71" s="70"/>
      <c r="X71" s="70"/>
      <c r="Y71" s="70"/>
      <c r="Z71" s="71"/>
      <c r="AA71" s="70"/>
      <c r="AB71" s="70"/>
      <c r="AC71" s="70"/>
      <c r="AD71" s="70"/>
      <c r="AE71" s="71"/>
      <c r="AF71" s="70"/>
      <c r="AG71" s="70"/>
      <c r="AH71" s="70"/>
      <c r="AI71" s="70"/>
      <c r="AJ71" s="71"/>
      <c r="AK71" s="70"/>
      <c r="AL71" s="70"/>
      <c r="AM71" s="70"/>
      <c r="AN71" s="70"/>
      <c r="AO71" s="71"/>
      <c r="AP71" s="70"/>
      <c r="AQ71" s="70"/>
      <c r="AR71" s="70"/>
      <c r="AS71" s="70"/>
      <c r="AT71" s="71"/>
    </row>
    <row r="72" spans="1:54" x14ac:dyDescent="0.25">
      <c r="A72" s="17" t="s">
        <v>0</v>
      </c>
      <c r="B72" s="40">
        <v>632</v>
      </c>
      <c r="C72" s="40">
        <v>641</v>
      </c>
      <c r="D72" s="40">
        <v>597</v>
      </c>
      <c r="E72" s="40">
        <v>655</v>
      </c>
      <c r="F72" s="32">
        <f>SUM(B72:E72)</f>
        <v>2525</v>
      </c>
      <c r="G72" s="40">
        <v>626</v>
      </c>
      <c r="H72" s="40">
        <v>663</v>
      </c>
      <c r="I72" s="40">
        <v>610</v>
      </c>
      <c r="J72" s="40">
        <v>637</v>
      </c>
      <c r="K72" s="32">
        <f>SUM(G72:J72)</f>
        <v>2536</v>
      </c>
      <c r="L72" s="40">
        <v>618</v>
      </c>
      <c r="M72" s="40">
        <v>642</v>
      </c>
      <c r="N72" s="40">
        <v>602</v>
      </c>
      <c r="O72" s="40">
        <v>624</v>
      </c>
      <c r="P72" s="32">
        <f>SUM(L72:O72)</f>
        <v>2486</v>
      </c>
      <c r="Q72" s="421">
        <v>543</v>
      </c>
      <c r="R72" s="30">
        <f>M72*(1+R74)</f>
        <v>550.72900000000004</v>
      </c>
      <c r="S72" s="67">
        <f t="shared" ref="S72" si="330">N72*(1+S74)</f>
        <v>594.27433333333329</v>
      </c>
      <c r="T72" s="67">
        <f>O72*(1+T74)</f>
        <v>618.59199999999998</v>
      </c>
      <c r="U72" s="274">
        <f>SUM(Q72:T72)</f>
        <v>2306.5953333333332</v>
      </c>
      <c r="V72" s="67">
        <f>Q72*(1+V74)</f>
        <v>529.96799999999996</v>
      </c>
      <c r="W72" s="67">
        <f>R72*(1+W74)</f>
        <v>535.73693277777784</v>
      </c>
      <c r="X72" s="67">
        <f t="shared" ref="X72" si="331">S72*(1+X74)</f>
        <v>579.74762740740732</v>
      </c>
      <c r="Y72" s="67">
        <f t="shared" ref="Y72" si="332">T72*(1+Y74)</f>
        <v>608.76326044444443</v>
      </c>
      <c r="Z72" s="274">
        <f>SUM(V72:Y72)</f>
        <v>2254.2158206296294</v>
      </c>
      <c r="AA72" s="67">
        <f>V72*(1+AA74)</f>
        <v>519.54529599999989</v>
      </c>
      <c r="AB72" s="67">
        <f>W72*(1+AB74)</f>
        <v>519.8632458806585</v>
      </c>
      <c r="AC72" s="67">
        <f t="shared" ref="AC72" si="333">X72*(1+AC74)</f>
        <v>564.71713336351161</v>
      </c>
      <c r="AD72" s="67">
        <f t="shared" ref="AD72" si="334">Y72*(1+AD74)</f>
        <v>599.31615651384368</v>
      </c>
      <c r="AE72" s="274">
        <f>SUM(AA72:AD72)</f>
        <v>2203.4418317580139</v>
      </c>
      <c r="AF72" s="67">
        <f>AA72*(1+AF74)</f>
        <v>508.17302674311105</v>
      </c>
      <c r="AG72" s="67">
        <f>AB72*(1+AG74)</f>
        <v>505.56379758655839</v>
      </c>
      <c r="AH72" s="67">
        <f t="shared" ref="AH72" si="335">AC72*(1+AH74)</f>
        <v>550.65497956111403</v>
      </c>
      <c r="AI72" s="67">
        <f t="shared" ref="AI72" si="336">AD72*(1+AI74)</f>
        <v>589.11298392331787</v>
      </c>
      <c r="AJ72" s="274">
        <f>SUM(AF72:AI72)</f>
        <v>2153.5047878141013</v>
      </c>
      <c r="AK72" s="67">
        <f>AF72*(1+AK74)</f>
        <v>502.15023531504454</v>
      </c>
      <c r="AL72" s="67">
        <f>AG72*(1+AL74)</f>
        <v>496.40331445580279</v>
      </c>
      <c r="AM72" s="67">
        <f t="shared" ref="AM72" si="337">AH72*(1+AM74)</f>
        <v>542.34530133045303</v>
      </c>
      <c r="AN72" s="67">
        <f t="shared" ref="AN72" si="338">AI72*(1+AN74)</f>
        <v>585.49345435542693</v>
      </c>
      <c r="AO72" s="274">
        <f>SUM(AK72:AN72)</f>
        <v>2126.3923054567272</v>
      </c>
      <c r="AP72" s="67">
        <f>AK72*(1+AP74)</f>
        <v>491.53688713159568</v>
      </c>
      <c r="AQ72" s="67">
        <f>AL72*(1+AQ74)</f>
        <v>482.29633576501971</v>
      </c>
      <c r="AR72" s="67">
        <f t="shared" ref="AR72" si="339">AM72*(1+AR74)</f>
        <v>528.62076618786841</v>
      </c>
      <c r="AS72" s="67">
        <f t="shared" ref="AS72" si="340">AN72*(1+AS74)</f>
        <v>575.99143369907711</v>
      </c>
      <c r="AT72" s="274">
        <f>SUM(AP72:AS72)</f>
        <v>2078.4454227835608</v>
      </c>
    </row>
    <row r="73" spans="1:54" s="38" customFormat="1" hidden="1" x14ac:dyDescent="0.25">
      <c r="A73" s="38" t="s">
        <v>15</v>
      </c>
      <c r="B73" s="42" t="s">
        <v>49</v>
      </c>
      <c r="C73" s="42" t="s">
        <v>49</v>
      </c>
      <c r="D73" s="42" t="s">
        <v>49</v>
      </c>
      <c r="E73" s="42" t="s">
        <v>49</v>
      </c>
      <c r="F73" s="35" t="s">
        <v>49</v>
      </c>
      <c r="G73" s="42">
        <f t="shared" ref="G73:N73" si="341">B72*(1+G74)</f>
        <v>621.88800000000003</v>
      </c>
      <c r="H73" s="42">
        <f t="shared" si="341"/>
        <v>663.43499999999995</v>
      </c>
      <c r="I73" s="42">
        <f>D72*(1+I74)</f>
        <v>609.53699999999992</v>
      </c>
      <c r="J73" s="42">
        <f>E72*(1+J74)</f>
        <v>636.005</v>
      </c>
      <c r="K73" s="35">
        <f>F72*(1+K74)</f>
        <v>2525</v>
      </c>
      <c r="L73" s="42">
        <f>G72*(1+L74)</f>
        <v>617.86199999999997</v>
      </c>
      <c r="M73" s="42">
        <f>H72*(1+M74)</f>
        <v>641.78399999999999</v>
      </c>
      <c r="N73" s="42">
        <f t="shared" si="341"/>
        <v>602.67999999999995</v>
      </c>
      <c r="O73" s="42">
        <f>J72*(1+O74)</f>
        <v>624.89699999999993</v>
      </c>
      <c r="P73" s="35">
        <f t="shared" ref="P73" si="342">K72*(1+P74)</f>
        <v>2536</v>
      </c>
      <c r="Q73" s="414">
        <f>L72*(1+Q74)</f>
        <v>542.60400000000004</v>
      </c>
      <c r="R73" s="30"/>
      <c r="S73" s="67"/>
      <c r="T73" s="67"/>
      <c r="U73" s="69"/>
      <c r="V73" s="67"/>
      <c r="W73" s="67"/>
      <c r="X73" s="67"/>
      <c r="Y73" s="67"/>
      <c r="Z73" s="69"/>
      <c r="AA73" s="67"/>
      <c r="AB73" s="67"/>
      <c r="AC73" s="67"/>
      <c r="AD73" s="67"/>
      <c r="AE73" s="69"/>
      <c r="AF73" s="67"/>
      <c r="AG73" s="67"/>
      <c r="AH73" s="67"/>
      <c r="AI73" s="67"/>
      <c r="AJ73" s="69"/>
      <c r="AK73" s="67"/>
      <c r="AL73" s="67"/>
      <c r="AM73" s="67"/>
      <c r="AN73" s="67"/>
      <c r="AO73" s="69"/>
      <c r="AP73" s="67"/>
      <c r="AQ73" s="67"/>
      <c r="AR73" s="67"/>
      <c r="AS73" s="67"/>
      <c r="AT73" s="69"/>
    </row>
    <row r="74" spans="1:54" s="116" customFormat="1" x14ac:dyDescent="0.25">
      <c r="A74" s="116" t="s">
        <v>7</v>
      </c>
      <c r="B74" s="121">
        <f>B75+B81</f>
        <v>6.2E-2</v>
      </c>
      <c r="C74" s="121">
        <f>C75+C81</f>
        <v>-3.2000000000000001E-2</v>
      </c>
      <c r="D74" s="121">
        <f>D75+D81</f>
        <v>-7.5000000000000011E-2</v>
      </c>
      <c r="E74" s="121">
        <f>E75+E81</f>
        <v>-2.6000000000000002E-2</v>
      </c>
      <c r="F74" s="122">
        <f t="shared" ref="F74:Q74" si="343">F75+F81</f>
        <v>0</v>
      </c>
      <c r="G74" s="121">
        <f t="shared" si="343"/>
        <v>-1.6E-2</v>
      </c>
      <c r="H74" s="121">
        <f t="shared" si="343"/>
        <v>3.4999999999999996E-2</v>
      </c>
      <c r="I74" s="121">
        <f t="shared" si="343"/>
        <v>2.1000000000000001E-2</v>
      </c>
      <c r="J74" s="121">
        <f t="shared" si="343"/>
        <v>-2.9000000000000005E-2</v>
      </c>
      <c r="K74" s="122">
        <f t="shared" si="343"/>
        <v>0</v>
      </c>
      <c r="L74" s="121">
        <f t="shared" si="343"/>
        <v>-1.2999999999999996E-2</v>
      </c>
      <c r="M74" s="121">
        <f t="shared" si="343"/>
        <v>-3.2000000000000001E-2</v>
      </c>
      <c r="N74" s="121">
        <f t="shared" si="343"/>
        <v>-1.1999999999999999E-2</v>
      </c>
      <c r="O74" s="121">
        <f t="shared" si="343"/>
        <v>-1.9E-2</v>
      </c>
      <c r="P74" s="122">
        <f t="shared" si="343"/>
        <v>0</v>
      </c>
      <c r="Q74" s="415">
        <f t="shared" si="343"/>
        <v>-0.122</v>
      </c>
      <c r="R74" s="44">
        <f>R75+R81</f>
        <v>-0.14216666666666666</v>
      </c>
      <c r="S74" s="123">
        <f t="shared" ref="S74:T74" si="344">S75+S81</f>
        <v>-1.2833333333333332E-2</v>
      </c>
      <c r="T74" s="123">
        <f t="shared" si="344"/>
        <v>-8.6666666666666663E-3</v>
      </c>
      <c r="U74" s="120"/>
      <c r="V74" s="123">
        <f>V75+V81</f>
        <v>-2.4000000000000004E-2</v>
      </c>
      <c r="W74" s="123">
        <f>W75+W81</f>
        <v>-2.7222222222222224E-2</v>
      </c>
      <c r="X74" s="123">
        <f t="shared" ref="X74:Y74" si="345">X75+X81</f>
        <v>-2.4444444444444446E-2</v>
      </c>
      <c r="Y74" s="123">
        <f t="shared" si="345"/>
        <v>-1.588888888888889E-2</v>
      </c>
      <c r="Z74" s="120"/>
      <c r="AA74" s="123">
        <f>AA75+AA81</f>
        <v>-1.9666666666666673E-2</v>
      </c>
      <c r="AB74" s="123">
        <f>AB75+AB81</f>
        <v>-2.9629629629629631E-2</v>
      </c>
      <c r="AC74" s="123">
        <f t="shared" ref="AC74" si="346">AC75+AC81</f>
        <v>-2.5925925925925929E-2</v>
      </c>
      <c r="AD74" s="123">
        <f t="shared" ref="AD74" si="347">AD75+AD81</f>
        <v>-1.5518518518518515E-2</v>
      </c>
      <c r="AE74" s="120"/>
      <c r="AF74" s="123">
        <f>AF75+AF81</f>
        <v>-2.1888888888888888E-2</v>
      </c>
      <c r="AG74" s="123">
        <f>AG75+AG81</f>
        <v>-2.7506172839506175E-2</v>
      </c>
      <c r="AH74" s="123">
        <f t="shared" ref="AH74" si="348">AH75+AH81</f>
        <v>-2.4901234567901238E-2</v>
      </c>
      <c r="AI74" s="123">
        <f t="shared" ref="AI74" si="349">AI75+AI81</f>
        <v>-1.7024691358024688E-2</v>
      </c>
      <c r="AJ74" s="120"/>
      <c r="AK74" s="123">
        <f>AK75+AK81</f>
        <v>-1.1851851851851853E-2</v>
      </c>
      <c r="AL74" s="123">
        <f>AL75+AL81</f>
        <v>-1.8119341563786008E-2</v>
      </c>
      <c r="AM74" s="123">
        <f t="shared" ref="AM74" si="350">AM75+AM81</f>
        <v>-1.5090534979423868E-2</v>
      </c>
      <c r="AN74" s="123">
        <f t="shared" ref="AN74" si="351">AN75+AN81</f>
        <v>-6.1440329218106944E-3</v>
      </c>
      <c r="AO74" s="120"/>
      <c r="AP74" s="123">
        <f>AP75+AP81</f>
        <v>-2.1135802469135809E-2</v>
      </c>
      <c r="AQ74" s="123">
        <f>AQ75+AQ81</f>
        <v>-2.841838134430727E-2</v>
      </c>
      <c r="AR74" s="123">
        <f t="shared" ref="AR74" si="352">AR75+AR81</f>
        <v>-2.5305898491083677E-2</v>
      </c>
      <c r="AS74" s="123">
        <f t="shared" ref="AS74" si="353">AS75+AS81</f>
        <v>-1.6229080932784638E-2</v>
      </c>
      <c r="AT74" s="120"/>
    </row>
    <row r="75" spans="1:54" x14ac:dyDescent="0.25">
      <c r="A75" s="17" t="s">
        <v>14</v>
      </c>
      <c r="B75" s="36">
        <v>0.03</v>
      </c>
      <c r="C75" s="36">
        <v>-2.4E-2</v>
      </c>
      <c r="D75" s="36">
        <v>-0.04</v>
      </c>
      <c r="E75" s="36">
        <v>-0.01</v>
      </c>
      <c r="F75" s="32"/>
      <c r="G75" s="36">
        <v>-6.0000000000000001E-3</v>
      </c>
      <c r="H75" s="36">
        <v>0.03</v>
      </c>
      <c r="I75" s="36">
        <v>2.5000000000000001E-2</v>
      </c>
      <c r="J75" s="36">
        <v>-4.2000000000000003E-2</v>
      </c>
      <c r="K75" s="32"/>
      <c r="L75" s="36">
        <v>-2.5999999999999999E-2</v>
      </c>
      <c r="M75" s="36">
        <v>-4.5999999999999999E-2</v>
      </c>
      <c r="N75" s="36">
        <v>-2.5999999999999999E-2</v>
      </c>
      <c r="O75" s="36">
        <v>-4.8000000000000001E-2</v>
      </c>
      <c r="P75" s="32"/>
      <c r="Q75" s="415">
        <v>-0.10100000000000001</v>
      </c>
      <c r="R75" s="44">
        <v>-0.1265</v>
      </c>
      <c r="S75" s="73">
        <v>-0.03</v>
      </c>
      <c r="T75" s="73">
        <v>-0.03</v>
      </c>
      <c r="V75" s="73">
        <v>-0.04</v>
      </c>
      <c r="W75" s="73">
        <v>-0.04</v>
      </c>
      <c r="X75" s="73">
        <v>-0.04</v>
      </c>
      <c r="Y75" s="73">
        <v>-0.04</v>
      </c>
      <c r="AA75" s="73">
        <v>-0.04</v>
      </c>
      <c r="AB75" s="73">
        <v>-0.04</v>
      </c>
      <c r="AC75" s="73">
        <v>-0.04</v>
      </c>
      <c r="AD75" s="73">
        <v>-0.04</v>
      </c>
      <c r="AF75" s="73">
        <v>-0.04</v>
      </c>
      <c r="AG75" s="73">
        <v>-0.04</v>
      </c>
      <c r="AH75" s="73">
        <v>-0.04</v>
      </c>
      <c r="AI75" s="73">
        <v>-0.04</v>
      </c>
      <c r="AK75" s="73">
        <v>-0.03</v>
      </c>
      <c r="AL75" s="73">
        <v>-0.03</v>
      </c>
      <c r="AM75" s="73">
        <v>-0.03</v>
      </c>
      <c r="AN75" s="73">
        <v>-0.03</v>
      </c>
      <c r="AP75" s="73">
        <v>-0.04</v>
      </c>
      <c r="AQ75" s="73">
        <v>-0.04</v>
      </c>
      <c r="AR75" s="73">
        <v>-0.04</v>
      </c>
      <c r="AS75" s="73">
        <v>-0.04</v>
      </c>
      <c r="AT75" s="69"/>
      <c r="AY75" s="361"/>
      <c r="AZ75" s="361"/>
      <c r="BA75" s="361"/>
      <c r="BB75" s="361"/>
    </row>
    <row r="76" spans="1:54" hidden="1" x14ac:dyDescent="0.25">
      <c r="A76" s="17" t="s">
        <v>8</v>
      </c>
      <c r="B76" s="36">
        <v>7.1999999999999995E-2</v>
      </c>
      <c r="C76" s="36">
        <v>1.7000000000000001E-2</v>
      </c>
      <c r="D76" s="36">
        <v>-4.5999999999999999E-2</v>
      </c>
      <c r="E76" s="36">
        <v>-5.8999999999999997E-2</v>
      </c>
      <c r="F76" s="32"/>
      <c r="G76" s="36">
        <v>-2.7E-2</v>
      </c>
      <c r="H76" s="36">
        <v>-3.3000000000000002E-2</v>
      </c>
      <c r="I76" s="36">
        <v>-3.2000000000000001E-2</v>
      </c>
      <c r="J76" s="36">
        <v>-1.9E-2</v>
      </c>
      <c r="K76" s="32"/>
      <c r="L76" s="43">
        <v>-0.01</v>
      </c>
      <c r="M76" s="36">
        <v>-7.0000000000000001E-3</v>
      </c>
      <c r="N76" s="43">
        <v>0</v>
      </c>
      <c r="O76" s="36">
        <v>-7.0000000000000001E-3</v>
      </c>
      <c r="P76" s="32"/>
      <c r="Q76" s="415">
        <v>-0.10199999999999999</v>
      </c>
      <c r="R76" s="44"/>
      <c r="S76" s="73"/>
      <c r="T76" s="73"/>
      <c r="V76" s="73"/>
      <c r="W76" s="73"/>
      <c r="X76" s="73"/>
      <c r="Y76" s="73"/>
      <c r="AA76" s="73"/>
      <c r="AB76" s="73"/>
      <c r="AC76" s="73"/>
      <c r="AD76" s="73"/>
      <c r="AF76" s="73"/>
      <c r="AG76" s="73"/>
      <c r="AH76" s="73"/>
      <c r="AI76" s="73"/>
      <c r="AK76" s="73"/>
      <c r="AL76" s="73"/>
      <c r="AM76" s="73"/>
      <c r="AN76" s="73"/>
      <c r="AP76" s="73"/>
      <c r="AQ76" s="73"/>
      <c r="AR76" s="73"/>
      <c r="AS76" s="73"/>
      <c r="AT76" s="69"/>
    </row>
    <row r="77" spans="1:54" x14ac:dyDescent="0.25">
      <c r="A77" s="17" t="s">
        <v>11</v>
      </c>
      <c r="B77" s="36">
        <v>4.4999999999999998E-2</v>
      </c>
      <c r="C77" s="36">
        <v>1.0999999999999999E-2</v>
      </c>
      <c r="D77" s="36">
        <v>-2.7E-2</v>
      </c>
      <c r="E77" s="36">
        <v>1E-3</v>
      </c>
      <c r="F77" s="32"/>
      <c r="G77" s="36">
        <v>2E-3</v>
      </c>
      <c r="H77" s="36">
        <v>5.0000000000000001E-3</v>
      </c>
      <c r="I77" s="36">
        <v>-2E-3</v>
      </c>
      <c r="J77" s="36">
        <v>3.0000000000000001E-3</v>
      </c>
      <c r="K77" s="32"/>
      <c r="L77" s="36">
        <v>8.9999999999999993E-3</v>
      </c>
      <c r="M77" s="36">
        <v>2.1999999999999999E-2</v>
      </c>
      <c r="N77" s="36">
        <v>1.9E-2</v>
      </c>
      <c r="O77" s="36">
        <v>2.1000000000000001E-2</v>
      </c>
      <c r="P77" s="32"/>
      <c r="Q77" s="415">
        <v>-1.9E-2</v>
      </c>
      <c r="R77" s="44">
        <v>-1.4999999999999999E-2</v>
      </c>
      <c r="S77" s="73">
        <v>1.6500000000000001E-2</v>
      </c>
      <c r="T77" s="73">
        <v>1.6E-2</v>
      </c>
      <c r="V77" s="73">
        <v>1.4999999999999999E-2</v>
      </c>
      <c r="W77" s="73">
        <v>1.4999999999999999E-2</v>
      </c>
      <c r="X77" s="73">
        <v>1.4999999999999999E-2</v>
      </c>
      <c r="Y77" s="73">
        <v>1.4999999999999999E-2</v>
      </c>
      <c r="AA77" s="73">
        <v>1.4999999999999999E-2</v>
      </c>
      <c r="AB77" s="73">
        <v>1.4999999999999999E-2</v>
      </c>
      <c r="AC77" s="73">
        <v>1.4999999999999999E-2</v>
      </c>
      <c r="AD77" s="73">
        <v>1.4999999999999999E-2</v>
      </c>
      <c r="AF77" s="73">
        <v>1.4999999999999999E-2</v>
      </c>
      <c r="AG77" s="73">
        <v>1.4999999999999999E-2</v>
      </c>
      <c r="AH77" s="73">
        <v>1.4999999999999999E-2</v>
      </c>
      <c r="AI77" s="73">
        <v>1.4999999999999999E-2</v>
      </c>
      <c r="AK77" s="73">
        <v>1.4999999999999999E-2</v>
      </c>
      <c r="AL77" s="73">
        <v>1.4999999999999999E-2</v>
      </c>
      <c r="AM77" s="73">
        <v>1.4999999999999999E-2</v>
      </c>
      <c r="AN77" s="73">
        <v>1.4999999999999999E-2</v>
      </c>
      <c r="AP77" s="73">
        <v>1.4999999999999999E-2</v>
      </c>
      <c r="AQ77" s="73">
        <v>1.4999999999999999E-2</v>
      </c>
      <c r="AR77" s="73">
        <v>1.4999999999999999E-2</v>
      </c>
      <c r="AS77" s="73">
        <v>1.4999999999999999E-2</v>
      </c>
      <c r="AT77" s="69"/>
    </row>
    <row r="78" spans="1:54" x14ac:dyDescent="0.25">
      <c r="A78" s="17" t="s">
        <v>9</v>
      </c>
      <c r="B78" s="39">
        <v>4.0000000000000001E-3</v>
      </c>
      <c r="C78" s="39">
        <v>6.0000000000000001E-3</v>
      </c>
      <c r="D78" s="39">
        <v>2E-3</v>
      </c>
      <c r="E78" s="39">
        <v>1E-3</v>
      </c>
      <c r="F78" s="33">
        <f t="shared" ref="F78" si="354">F17</f>
        <v>0</v>
      </c>
      <c r="G78" s="39">
        <v>6.0000000000000001E-3</v>
      </c>
      <c r="H78" s="39">
        <v>6.0000000000000001E-3</v>
      </c>
      <c r="I78" s="39">
        <v>6.0000000000000001E-3</v>
      </c>
      <c r="J78" s="39">
        <v>1.9E-2</v>
      </c>
      <c r="K78" s="33"/>
      <c r="L78" s="39">
        <v>1.7000000000000001E-2</v>
      </c>
      <c r="M78" s="39">
        <v>1E-3</v>
      </c>
      <c r="N78" s="39">
        <v>4.0000000000000001E-3</v>
      </c>
      <c r="O78" s="39">
        <v>1.9E-2</v>
      </c>
      <c r="P78" s="33"/>
      <c r="Q78" s="416">
        <v>6.0000000000000001E-3</v>
      </c>
      <c r="R78" s="44">
        <f>AVERAGE(C78,H78,M78)</f>
        <v>4.333333333333334E-3</v>
      </c>
      <c r="S78" s="73">
        <f t="shared" ref="S78:T78" si="355">AVERAGE(D78,I78,N78)</f>
        <v>4.0000000000000001E-3</v>
      </c>
      <c r="T78" s="73">
        <f t="shared" si="355"/>
        <v>1.2999999999999999E-2</v>
      </c>
      <c r="V78" s="73">
        <f>AVERAGE(G78,L78,Q78)</f>
        <v>9.6666666666666654E-3</v>
      </c>
      <c r="W78" s="73">
        <f>AVERAGE(H78,M78,R78)</f>
        <v>3.7777777777777779E-3</v>
      </c>
      <c r="X78" s="73">
        <f t="shared" ref="X78" si="356">AVERAGE(I78,N78,S78)</f>
        <v>4.6666666666666671E-3</v>
      </c>
      <c r="Y78" s="73">
        <f t="shared" ref="Y78" si="357">AVERAGE(J78,O78,T78)</f>
        <v>1.6999999999999998E-2</v>
      </c>
      <c r="AA78" s="73">
        <f>AVERAGE(L78,Q78,V78)</f>
        <v>1.0888888888888887E-2</v>
      </c>
      <c r="AB78" s="73">
        <f>AVERAGE(M78,R78,W78)</f>
        <v>3.0370370370370373E-3</v>
      </c>
      <c r="AC78" s="73">
        <f t="shared" ref="AC78" si="358">AVERAGE(N78,S78,X78)</f>
        <v>4.2222222222222218E-3</v>
      </c>
      <c r="AD78" s="73">
        <f t="shared" ref="AD78" si="359">AVERAGE(O78,T78,Y78)</f>
        <v>1.6333333333333335E-2</v>
      </c>
      <c r="AF78" s="73">
        <f>AVERAGE(Q78,V78,AA78)</f>
        <v>8.8518518518518521E-3</v>
      </c>
      <c r="AG78" s="73">
        <f>AVERAGE(R78,W78,AB78)</f>
        <v>3.7160493827160502E-3</v>
      </c>
      <c r="AH78" s="73">
        <f t="shared" ref="AH78" si="360">AVERAGE(S78,X78,AC78)</f>
        <v>4.2962962962962955E-3</v>
      </c>
      <c r="AI78" s="73">
        <f t="shared" ref="AI78" si="361">AVERAGE(T78,Y78,AD78)</f>
        <v>1.5444444444444446E-2</v>
      </c>
      <c r="AK78" s="73">
        <f>AVERAGE(V78,AA78,AF78)</f>
        <v>9.8024691358024676E-3</v>
      </c>
      <c r="AL78" s="73">
        <f>AVERAGE(W78,AB78,AG78)</f>
        <v>3.5102880658436221E-3</v>
      </c>
      <c r="AM78" s="73">
        <f t="shared" ref="AM78" si="362">AVERAGE(X78,AC78,AH78)</f>
        <v>4.3950617283950617E-3</v>
      </c>
      <c r="AN78" s="73">
        <f t="shared" ref="AN78" si="363">AVERAGE(Y78,AD78,AI78)</f>
        <v>1.6259259259259261E-2</v>
      </c>
      <c r="AP78" s="73">
        <f>AVERAGE(AA78,AF78,AK78)</f>
        <v>9.8477366255144017E-3</v>
      </c>
      <c r="AQ78" s="73">
        <f>AVERAGE(AB78,AG78,AL78)</f>
        <v>3.4211248285322365E-3</v>
      </c>
      <c r="AR78" s="73">
        <f t="shared" ref="AR78" si="364">AVERAGE(AC78,AH78,AM78)</f>
        <v>4.3045267489711927E-3</v>
      </c>
      <c r="AS78" s="73">
        <f t="shared" ref="AS78" si="365">AVERAGE(AD78,AI78,AN78)</f>
        <v>1.6012345679012347E-2</v>
      </c>
      <c r="AT78" s="69"/>
    </row>
    <row r="79" spans="1:54" x14ac:dyDescent="0.25">
      <c r="A79" s="17" t="s">
        <v>12</v>
      </c>
      <c r="B79" s="36">
        <f>B77+B78</f>
        <v>4.9000000000000002E-2</v>
      </c>
      <c r="C79" s="36">
        <f t="shared" ref="C79:Q79" si="366">C77+C78</f>
        <v>1.7000000000000001E-2</v>
      </c>
      <c r="D79" s="36">
        <f t="shared" si="366"/>
        <v>-2.5000000000000001E-2</v>
      </c>
      <c r="E79" s="36">
        <f t="shared" si="366"/>
        <v>2E-3</v>
      </c>
      <c r="F79" s="34">
        <f t="shared" si="366"/>
        <v>0</v>
      </c>
      <c r="G79" s="36">
        <f t="shared" si="366"/>
        <v>8.0000000000000002E-3</v>
      </c>
      <c r="H79" s="36">
        <f t="shared" si="366"/>
        <v>1.0999999999999999E-2</v>
      </c>
      <c r="I79" s="36">
        <f t="shared" si="366"/>
        <v>4.0000000000000001E-3</v>
      </c>
      <c r="J79" s="36">
        <f t="shared" si="366"/>
        <v>2.1999999999999999E-2</v>
      </c>
      <c r="K79" s="34">
        <f t="shared" si="366"/>
        <v>0</v>
      </c>
      <c r="L79" s="36">
        <f t="shared" si="366"/>
        <v>2.6000000000000002E-2</v>
      </c>
      <c r="M79" s="36">
        <f t="shared" si="366"/>
        <v>2.3E-2</v>
      </c>
      <c r="N79" s="36">
        <f t="shared" si="366"/>
        <v>2.3E-2</v>
      </c>
      <c r="O79" s="36">
        <f t="shared" si="366"/>
        <v>0.04</v>
      </c>
      <c r="P79" s="34">
        <f t="shared" si="366"/>
        <v>0</v>
      </c>
      <c r="Q79" s="415">
        <f t="shared" si="366"/>
        <v>-1.2999999999999999E-2</v>
      </c>
      <c r="R79" s="44">
        <f>R78+R77</f>
        <v>-1.0666666666666665E-2</v>
      </c>
      <c r="S79" s="73">
        <f t="shared" ref="S79:T79" si="367">S78+S77</f>
        <v>2.0500000000000001E-2</v>
      </c>
      <c r="T79" s="73">
        <f t="shared" si="367"/>
        <v>2.8999999999999998E-2</v>
      </c>
      <c r="V79" s="73">
        <f>V78+V77</f>
        <v>2.4666666666666663E-2</v>
      </c>
      <c r="W79" s="73">
        <f>W78+W77</f>
        <v>1.8777777777777779E-2</v>
      </c>
      <c r="X79" s="73">
        <f t="shared" ref="X79:Y79" si="368">X78+X77</f>
        <v>1.9666666666666666E-2</v>
      </c>
      <c r="Y79" s="73">
        <f t="shared" si="368"/>
        <v>3.2000000000000001E-2</v>
      </c>
      <c r="AA79" s="73">
        <f>AA78+AA77</f>
        <v>2.5888888888888885E-2</v>
      </c>
      <c r="AB79" s="73">
        <f>AB78+AB77</f>
        <v>1.8037037037037035E-2</v>
      </c>
      <c r="AC79" s="73">
        <f t="shared" ref="AC79" si="369">AC78+AC77</f>
        <v>1.922222222222222E-2</v>
      </c>
      <c r="AD79" s="73">
        <f t="shared" ref="AD79" si="370">AD78+AD77</f>
        <v>3.1333333333333338E-2</v>
      </c>
      <c r="AF79" s="73">
        <f>AF78+AF77</f>
        <v>2.3851851851851853E-2</v>
      </c>
      <c r="AG79" s="73">
        <f>AG78+AG77</f>
        <v>1.8716049382716048E-2</v>
      </c>
      <c r="AH79" s="73">
        <f t="shared" ref="AH79" si="371">AH78+AH77</f>
        <v>1.9296296296296294E-2</v>
      </c>
      <c r="AI79" s="73">
        <f t="shared" ref="AI79" si="372">AI78+AI77</f>
        <v>3.0444444444444448E-2</v>
      </c>
      <c r="AK79" s="73">
        <f>AK78+AK77</f>
        <v>2.4802469135802467E-2</v>
      </c>
      <c r="AL79" s="73">
        <f>AL78+AL77</f>
        <v>1.8510288065843622E-2</v>
      </c>
      <c r="AM79" s="73">
        <f t="shared" ref="AM79" si="373">AM78+AM77</f>
        <v>1.9395061728395061E-2</v>
      </c>
      <c r="AN79" s="73">
        <f t="shared" ref="AN79" si="374">AN78+AN77</f>
        <v>3.1259259259259264E-2</v>
      </c>
      <c r="AP79" s="73">
        <f>AP78+AP77</f>
        <v>2.4847736625514399E-2</v>
      </c>
      <c r="AQ79" s="73">
        <f>AQ78+AQ77</f>
        <v>1.8421124828532236E-2</v>
      </c>
      <c r="AR79" s="73">
        <f t="shared" ref="AR79" si="375">AR78+AR77</f>
        <v>1.9304526748971193E-2</v>
      </c>
      <c r="AS79" s="73">
        <f t="shared" ref="AS79" si="376">AS78+AS77</f>
        <v>3.1012345679012347E-2</v>
      </c>
      <c r="AT79" s="69"/>
    </row>
    <row r="80" spans="1:54" x14ac:dyDescent="0.25">
      <c r="A80" s="17" t="s">
        <v>10</v>
      </c>
      <c r="B80" s="39">
        <v>-1.7000000000000001E-2</v>
      </c>
      <c r="C80" s="36">
        <v>-2.5000000000000001E-2</v>
      </c>
      <c r="D80" s="36">
        <v>-0.01</v>
      </c>
      <c r="E80" s="36">
        <v>-1.7999999999999999E-2</v>
      </c>
      <c r="F80" s="33">
        <f t="shared" ref="F80" si="377">F19</f>
        <v>0</v>
      </c>
      <c r="G80" s="39">
        <v>-1.7999999999999999E-2</v>
      </c>
      <c r="H80" s="39">
        <v>-6.0000000000000001E-3</v>
      </c>
      <c r="I80" s="39">
        <v>-8.0000000000000002E-3</v>
      </c>
      <c r="J80" s="39">
        <v>-8.9999999999999993E-3</v>
      </c>
      <c r="K80" s="33">
        <v>0</v>
      </c>
      <c r="L80" s="36">
        <v>-1.2999999999999999E-2</v>
      </c>
      <c r="M80" s="36">
        <v>-8.9999999999999993E-3</v>
      </c>
      <c r="N80" s="36">
        <v>-8.9999999999999993E-3</v>
      </c>
      <c r="O80" s="36">
        <v>-1.0999999999999999E-2</v>
      </c>
      <c r="P80" s="33">
        <v>0</v>
      </c>
      <c r="Q80" s="416">
        <v>-8.0000000000000002E-3</v>
      </c>
      <c r="R80" s="419">
        <f>R19</f>
        <v>-5.0000000000000001E-3</v>
      </c>
      <c r="S80" s="77">
        <f t="shared" ref="S80:T80" si="378">S19</f>
        <v>-3.333333333333334E-3</v>
      </c>
      <c r="T80" s="77">
        <f t="shared" si="378"/>
        <v>-7.6666666666666662E-3</v>
      </c>
      <c r="V80" s="77">
        <f>V19</f>
        <v>-8.6666666666666663E-3</v>
      </c>
      <c r="W80" s="77">
        <f>W19</f>
        <v>-6.000000000000001E-3</v>
      </c>
      <c r="X80" s="77">
        <f t="shared" ref="X80:Y80" si="379">X19</f>
        <v>-4.1111111111111114E-3</v>
      </c>
      <c r="Y80" s="77">
        <f t="shared" si="379"/>
        <v>-7.888888888888888E-3</v>
      </c>
      <c r="AA80" s="77">
        <f>AA19</f>
        <v>-5.5555555555555558E-3</v>
      </c>
      <c r="AB80" s="77">
        <f>AB19</f>
        <v>-7.6666666666666662E-3</v>
      </c>
      <c r="AC80" s="77">
        <f t="shared" ref="AC80:AD80" si="380">AC19</f>
        <v>-5.1481481481481482E-3</v>
      </c>
      <c r="AD80" s="77">
        <f t="shared" si="380"/>
        <v>-6.851851851851852E-3</v>
      </c>
      <c r="AF80" s="77">
        <f>AF19</f>
        <v>-5.7407407407407407E-3</v>
      </c>
      <c r="AG80" s="77">
        <f>AG19</f>
        <v>-6.2222222222222227E-3</v>
      </c>
      <c r="AH80" s="77">
        <f t="shared" ref="AH80:AI80" si="381">AH19</f>
        <v>-4.1975308641975309E-3</v>
      </c>
      <c r="AI80" s="77">
        <f t="shared" si="381"/>
        <v>-7.4691358024691354E-3</v>
      </c>
      <c r="AK80" s="77">
        <f>AK19</f>
        <v>-6.6543209876543212E-3</v>
      </c>
      <c r="AL80" s="77">
        <f>AL19</f>
        <v>-6.6296296296296303E-3</v>
      </c>
      <c r="AM80" s="77">
        <f t="shared" ref="AM80:AN80" si="382">AM19</f>
        <v>-4.4855967078189299E-3</v>
      </c>
      <c r="AN80" s="77">
        <f t="shared" si="382"/>
        <v>-7.4032921810699591E-3</v>
      </c>
      <c r="AP80" s="77">
        <f>AP19</f>
        <v>-5.9835390946502065E-3</v>
      </c>
      <c r="AQ80" s="77">
        <f>AQ19</f>
        <v>-6.8395061728395061E-3</v>
      </c>
      <c r="AR80" s="77">
        <f t="shared" ref="AR80:AS80" si="383">AR19</f>
        <v>-4.6104252400548697E-3</v>
      </c>
      <c r="AS80" s="77">
        <f t="shared" si="383"/>
        <v>-7.2414266117969825E-3</v>
      </c>
      <c r="AT80" s="69"/>
    </row>
    <row r="81" spans="1:54" x14ac:dyDescent="0.25">
      <c r="A81" s="17" t="s">
        <v>13</v>
      </c>
      <c r="B81" s="36">
        <f>B80+B79</f>
        <v>3.2000000000000001E-2</v>
      </c>
      <c r="C81" s="36">
        <f t="shared" ref="C81:P81" si="384">C80+C79</f>
        <v>-8.0000000000000002E-3</v>
      </c>
      <c r="D81" s="36">
        <f t="shared" si="384"/>
        <v>-3.5000000000000003E-2</v>
      </c>
      <c r="E81" s="36">
        <f t="shared" si="384"/>
        <v>-1.6E-2</v>
      </c>
      <c r="F81" s="34">
        <f t="shared" si="384"/>
        <v>0</v>
      </c>
      <c r="G81" s="36">
        <f t="shared" si="384"/>
        <v>-9.9999999999999985E-3</v>
      </c>
      <c r="H81" s="36">
        <f t="shared" si="384"/>
        <v>4.9999999999999992E-3</v>
      </c>
      <c r="I81" s="36">
        <f t="shared" si="384"/>
        <v>-4.0000000000000001E-3</v>
      </c>
      <c r="J81" s="36">
        <f t="shared" si="384"/>
        <v>1.2999999999999999E-2</v>
      </c>
      <c r="K81" s="34">
        <f t="shared" si="384"/>
        <v>0</v>
      </c>
      <c r="L81" s="36">
        <f>L80+L79</f>
        <v>1.3000000000000003E-2</v>
      </c>
      <c r="M81" s="36">
        <f t="shared" si="384"/>
        <v>1.4E-2</v>
      </c>
      <c r="N81" s="36">
        <f t="shared" si="384"/>
        <v>1.4E-2</v>
      </c>
      <c r="O81" s="36">
        <f t="shared" si="384"/>
        <v>2.9000000000000001E-2</v>
      </c>
      <c r="P81" s="34">
        <f t="shared" si="384"/>
        <v>0</v>
      </c>
      <c r="Q81" s="415">
        <f>Q80+Q79</f>
        <v>-2.0999999999999998E-2</v>
      </c>
      <c r="R81" s="44">
        <f>R80+R79</f>
        <v>-1.5666666666666666E-2</v>
      </c>
      <c r="S81" s="73">
        <f t="shared" ref="S81:T81" si="385">S80+S79</f>
        <v>1.7166666666666667E-2</v>
      </c>
      <c r="T81" s="73">
        <f t="shared" si="385"/>
        <v>2.1333333333333333E-2</v>
      </c>
      <c r="V81" s="73">
        <f>V80+V79</f>
        <v>1.5999999999999997E-2</v>
      </c>
      <c r="W81" s="73">
        <f>W80+W79</f>
        <v>1.2777777777777777E-2</v>
      </c>
      <c r="X81" s="73">
        <f t="shared" ref="X81:Y81" si="386">X80+X79</f>
        <v>1.5555555555555555E-2</v>
      </c>
      <c r="Y81" s="73">
        <f t="shared" si="386"/>
        <v>2.4111111111111111E-2</v>
      </c>
      <c r="AA81" s="73">
        <f>AA80+AA79</f>
        <v>2.0333333333333328E-2</v>
      </c>
      <c r="AB81" s="73">
        <f>AB80+AB79</f>
        <v>1.037037037037037E-2</v>
      </c>
      <c r="AC81" s="73">
        <f t="shared" ref="AC81" si="387">AC80+AC79</f>
        <v>1.4074074074074072E-2</v>
      </c>
      <c r="AD81" s="73">
        <f t="shared" ref="AD81" si="388">AD80+AD79</f>
        <v>2.4481481481481486E-2</v>
      </c>
      <c r="AF81" s="73">
        <f>AF80+AF79</f>
        <v>1.8111111111111113E-2</v>
      </c>
      <c r="AG81" s="73">
        <f>AG80+AG79</f>
        <v>1.2493827160493826E-2</v>
      </c>
      <c r="AH81" s="73">
        <f t="shared" ref="AH81" si="389">AH80+AH79</f>
        <v>1.5098765432098763E-2</v>
      </c>
      <c r="AI81" s="73">
        <f t="shared" ref="AI81" si="390">AI80+AI79</f>
        <v>2.2975308641975313E-2</v>
      </c>
      <c r="AK81" s="73">
        <f>AK80+AK79</f>
        <v>1.8148148148148146E-2</v>
      </c>
      <c r="AL81" s="73">
        <f>AL80+AL79</f>
        <v>1.1880658436213991E-2</v>
      </c>
      <c r="AM81" s="73">
        <f t="shared" ref="AM81" si="391">AM80+AM79</f>
        <v>1.4909465020576131E-2</v>
      </c>
      <c r="AN81" s="73">
        <f t="shared" ref="AN81" si="392">AN80+AN79</f>
        <v>2.3855967078189304E-2</v>
      </c>
      <c r="AP81" s="73">
        <f>AP80+AP79</f>
        <v>1.8864197530864192E-2</v>
      </c>
      <c r="AQ81" s="73">
        <f>AQ80+AQ79</f>
        <v>1.1581618655692731E-2</v>
      </c>
      <c r="AR81" s="73">
        <f t="shared" ref="AR81" si="393">AR80+AR79</f>
        <v>1.4694101508916323E-2</v>
      </c>
      <c r="AS81" s="73">
        <f t="shared" ref="AS81" si="394">AS80+AS79</f>
        <v>2.3770919067215363E-2</v>
      </c>
      <c r="AT81" s="69"/>
    </row>
    <row r="82" spans="1:54" x14ac:dyDescent="0.25">
      <c r="Q82" s="14"/>
      <c r="R82" s="14"/>
      <c r="AT82" s="69"/>
    </row>
    <row r="83" spans="1:54" x14ac:dyDescent="0.25">
      <c r="Q83" s="14"/>
      <c r="R83" s="14"/>
      <c r="AT83" s="69"/>
    </row>
    <row r="84" spans="1:54" s="1" customFormat="1" ht="18.75" x14ac:dyDescent="0.3">
      <c r="A84" s="54" t="s">
        <v>46</v>
      </c>
      <c r="B84" s="12"/>
      <c r="C84" s="12"/>
      <c r="D84" s="12"/>
      <c r="E84" s="12"/>
      <c r="F84" s="55"/>
      <c r="G84" s="12"/>
      <c r="H84" s="12"/>
      <c r="I84" s="12"/>
      <c r="J84" s="12"/>
      <c r="K84" s="55"/>
      <c r="L84" s="12"/>
      <c r="M84" s="12"/>
      <c r="N84" s="12"/>
      <c r="O84" s="12"/>
      <c r="P84" s="55"/>
      <c r="Q84" s="12"/>
      <c r="R84" s="12"/>
      <c r="S84" s="70"/>
      <c r="T84" s="70"/>
      <c r="U84" s="71"/>
      <c r="V84" s="70"/>
      <c r="W84" s="70"/>
      <c r="X84" s="70"/>
      <c r="Y84" s="70"/>
      <c r="Z84" s="71"/>
      <c r="AA84" s="70"/>
      <c r="AB84" s="70"/>
      <c r="AC84" s="70"/>
      <c r="AD84" s="70"/>
      <c r="AE84" s="71"/>
      <c r="AF84" s="70"/>
      <c r="AG84" s="70"/>
      <c r="AH84" s="70"/>
      <c r="AI84" s="70"/>
      <c r="AJ84" s="71"/>
      <c r="AK84" s="70"/>
      <c r="AL84" s="70"/>
      <c r="AM84" s="70"/>
      <c r="AN84" s="70"/>
      <c r="AO84" s="71"/>
      <c r="AP84" s="70"/>
      <c r="AQ84" s="70"/>
      <c r="AR84" s="70"/>
      <c r="AS84" s="70"/>
      <c r="AT84" s="71"/>
    </row>
    <row r="85" spans="1:54" x14ac:dyDescent="0.25">
      <c r="A85" s="14" t="s">
        <v>0</v>
      </c>
      <c r="B85" s="14">
        <v>731</v>
      </c>
      <c r="C85" s="14">
        <v>660</v>
      </c>
      <c r="D85" s="14">
        <v>671</v>
      </c>
      <c r="E85" s="14">
        <v>584</v>
      </c>
      <c r="F85" s="32">
        <f>SUM(B85:E85)</f>
        <v>2646</v>
      </c>
      <c r="G85" s="14">
        <v>469</v>
      </c>
      <c r="H85" s="14">
        <v>402</v>
      </c>
      <c r="I85" s="14">
        <v>487</v>
      </c>
      <c r="J85" s="14">
        <v>637</v>
      </c>
      <c r="K85" s="8">
        <v>1995</v>
      </c>
      <c r="L85" s="14">
        <v>473</v>
      </c>
      <c r="M85" s="14">
        <v>403</v>
      </c>
      <c r="N85" s="14">
        <v>452</v>
      </c>
      <c r="O85" s="14">
        <v>638</v>
      </c>
      <c r="P85" s="9">
        <v>1965</v>
      </c>
      <c r="Q85" s="14">
        <v>638</v>
      </c>
      <c r="R85" s="30">
        <f>M85*(1+R87)</f>
        <v>412.26899999999995</v>
      </c>
      <c r="S85" s="67">
        <f t="shared" ref="S85" si="395">N85*(1+S87)</f>
        <v>473.84666666666669</v>
      </c>
      <c r="T85" s="67">
        <f>O85*(1+T87)</f>
        <v>669.47466666666662</v>
      </c>
      <c r="U85" s="274">
        <f>SUM(Q85:T85)</f>
        <v>2193.5903333333331</v>
      </c>
      <c r="V85" s="67">
        <f>Q85*(1+V87)</f>
        <v>659.37300000000005</v>
      </c>
      <c r="W85" s="67">
        <f>R85*(1+W87)</f>
        <v>429.03460599999994</v>
      </c>
      <c r="X85" s="67">
        <f t="shared" ref="X85" si="396">S85*(1+X87)</f>
        <v>492.85318296296305</v>
      </c>
      <c r="Y85" s="67">
        <f t="shared" ref="Y85" si="397">T85*(1+Y87)</f>
        <v>700.79120385185183</v>
      </c>
      <c r="Z85" s="274">
        <f>SUM(V85:Y85)</f>
        <v>2282.0519928148151</v>
      </c>
      <c r="AA85" s="67">
        <f>V85*(1+AA87)</f>
        <v>677.17607099999998</v>
      </c>
      <c r="AB85" s="67">
        <f>W85*(1+AB87)</f>
        <v>440.85689292088881</v>
      </c>
      <c r="AC85" s="67">
        <f t="shared" ref="AC85" si="398">X85*(1+AC87)</f>
        <v>507.71179373821678</v>
      </c>
      <c r="AD85" s="67">
        <f t="shared" ref="AD85" si="399">Y85*(1+AD87)</f>
        <v>727.21362776004389</v>
      </c>
      <c r="AE85" s="274">
        <f>SUM(AA85:AD85)</f>
        <v>2352.9583854191496</v>
      </c>
      <c r="AF85" s="67">
        <f>AA85*(1+AF87)</f>
        <v>695.79841295250003</v>
      </c>
      <c r="AG85" s="67">
        <f>AB85*(1+AG87)</f>
        <v>453.96830347701751</v>
      </c>
      <c r="AH85" s="67">
        <f t="shared" ref="AH85" si="400">AC85*(1+AH87)</f>
        <v>523.04343629974369</v>
      </c>
      <c r="AI85" s="67">
        <f t="shared" ref="AI85" si="401">AD85*(1+AI87)</f>
        <v>753.3484286292969</v>
      </c>
      <c r="AJ85" s="274">
        <f>SUM(AF85:AI85)</f>
        <v>2426.158581358558</v>
      </c>
      <c r="AK85" s="67">
        <f>AF85*(1+AK87)</f>
        <v>717.36816375402748</v>
      </c>
      <c r="AL85" s="67">
        <f>AG85*(1+AL87)</f>
        <v>469.54894401610522</v>
      </c>
      <c r="AM85" s="67">
        <f t="shared" ref="AM85" si="402">AH85*(1+AM87)</f>
        <v>541.42959692884824</v>
      </c>
      <c r="AN85" s="67">
        <f t="shared" ref="AN85" si="403">AI85*(1+AN87)</f>
        <v>784.84335326487326</v>
      </c>
      <c r="AO85" s="274">
        <f>SUM(AK85:AN85)</f>
        <v>2513.1900579638541</v>
      </c>
      <c r="AP85" s="67">
        <f>AK85*(1+AP87)</f>
        <v>743.79122445230075</v>
      </c>
      <c r="AQ85" s="67">
        <f>AL85*(1+AQ87)</f>
        <v>487.8014515271181</v>
      </c>
      <c r="AR85" s="67">
        <f t="shared" ref="AR85" si="404">AM85*(1+AR87)</f>
        <v>563.1766477212675</v>
      </c>
      <c r="AS85" s="67">
        <f t="shared" ref="AS85" si="405">AN85*(1+AS87)</f>
        <v>821.58672610928591</v>
      </c>
      <c r="AT85" s="274">
        <f>SUM(AP85:AS85)</f>
        <v>2616.3560498099723</v>
      </c>
    </row>
    <row r="86" spans="1:54" s="38" customFormat="1" hidden="1" x14ac:dyDescent="0.25">
      <c r="A86" s="38" t="s">
        <v>15</v>
      </c>
      <c r="B86" s="30" t="s">
        <v>49</v>
      </c>
      <c r="C86" s="30" t="s">
        <v>49</v>
      </c>
      <c r="D86" s="30" t="s">
        <v>49</v>
      </c>
      <c r="E86" s="30" t="s">
        <v>49</v>
      </c>
      <c r="F86" s="7"/>
      <c r="G86" s="30">
        <f t="shared" ref="G86:P86" si="406">B85*(1+G87)</f>
        <v>741.96499999999992</v>
      </c>
      <c r="H86" s="30">
        <f t="shared" si="406"/>
        <v>684.42</v>
      </c>
      <c r="I86" s="30">
        <f>D85*(1+I87)</f>
        <v>799.16100000000006</v>
      </c>
      <c r="J86" s="30">
        <f>E85*(1+J87)</f>
        <v>637.72800000000007</v>
      </c>
      <c r="K86" s="7">
        <f>F85*(1+K87)</f>
        <v>2865.6179999999999</v>
      </c>
      <c r="L86" s="30">
        <f>G85*(1+L87)</f>
        <v>490.10499999999996</v>
      </c>
      <c r="M86" s="30">
        <f>H85*(1+M87)</f>
        <v>423.70800000000003</v>
      </c>
      <c r="N86" s="30">
        <f t="shared" si="406"/>
        <v>471.90299999999996</v>
      </c>
      <c r="O86" s="30">
        <f t="shared" si="406"/>
        <v>668.85</v>
      </c>
      <c r="P86" s="7">
        <f t="shared" si="406"/>
        <v>2054.85</v>
      </c>
      <c r="Q86" s="30">
        <f>L85*(1+Q87)</f>
        <v>476.31099999999998</v>
      </c>
      <c r="R86" s="30"/>
      <c r="S86" s="67"/>
      <c r="T86" s="67"/>
      <c r="U86" s="69"/>
      <c r="V86" s="67"/>
      <c r="W86" s="67"/>
      <c r="X86" s="67"/>
      <c r="Y86" s="67"/>
      <c r="Z86" s="69"/>
      <c r="AA86" s="67"/>
      <c r="AB86" s="67"/>
      <c r="AC86" s="67"/>
      <c r="AD86" s="67"/>
      <c r="AE86" s="69"/>
      <c r="AF86" s="67"/>
      <c r="AG86" s="67"/>
      <c r="AH86" s="67"/>
      <c r="AI86" s="67"/>
      <c r="AJ86" s="69"/>
      <c r="AK86" s="67"/>
      <c r="AL86" s="67"/>
      <c r="AM86" s="67"/>
      <c r="AN86" s="67"/>
      <c r="AO86" s="69"/>
      <c r="AP86" s="67"/>
      <c r="AQ86" s="67"/>
      <c r="AR86" s="67"/>
      <c r="AS86" s="67"/>
      <c r="AT86" s="69"/>
    </row>
    <row r="87" spans="1:54" s="116" customFormat="1" x14ac:dyDescent="0.25">
      <c r="A87" s="116" t="s">
        <v>7</v>
      </c>
      <c r="B87" s="123">
        <f>B88+B94</f>
        <v>-0.188</v>
      </c>
      <c r="C87" s="123">
        <f>C88+C94</f>
        <v>-0.19400000000000001</v>
      </c>
      <c r="D87" s="123">
        <f>D88+D94</f>
        <v>-0.129</v>
      </c>
      <c r="E87" s="123">
        <f>E88+E94</f>
        <v>5.9000000000000011E-2</v>
      </c>
      <c r="F87" s="126"/>
      <c r="G87" s="123">
        <f t="shared" ref="G87:O87" si="407">G88+G94</f>
        <v>1.4999999999999998E-2</v>
      </c>
      <c r="H87" s="123">
        <f t="shared" si="407"/>
        <v>3.7000000000000005E-2</v>
      </c>
      <c r="I87" s="123">
        <f t="shared" si="407"/>
        <v>0.191</v>
      </c>
      <c r="J87" s="123">
        <f t="shared" si="407"/>
        <v>9.2000000000000012E-2</v>
      </c>
      <c r="K87" s="126">
        <f t="shared" si="407"/>
        <v>8.3000000000000004E-2</v>
      </c>
      <c r="L87" s="123">
        <f t="shared" si="407"/>
        <v>4.4999999999999998E-2</v>
      </c>
      <c r="M87" s="123">
        <f t="shared" si="407"/>
        <v>5.3999999999999992E-2</v>
      </c>
      <c r="N87" s="123">
        <f t="shared" si="407"/>
        <v>-3.1000000000000003E-2</v>
      </c>
      <c r="O87" s="123">
        <f t="shared" si="407"/>
        <v>0.05</v>
      </c>
      <c r="P87" s="126">
        <f t="shared" ref="P87:Q87" si="408">P88+P94</f>
        <v>0.03</v>
      </c>
      <c r="Q87" s="44">
        <f t="shared" si="408"/>
        <v>6.9999999999999993E-3</v>
      </c>
      <c r="R87" s="44">
        <f>R88+R94</f>
        <v>2.3E-2</v>
      </c>
      <c r="S87" s="123">
        <f>S88+S94</f>
        <v>4.8333333333333332E-2</v>
      </c>
      <c r="T87" s="123">
        <f>T88+T94</f>
        <v>4.933333333333334E-2</v>
      </c>
      <c r="U87" s="120"/>
      <c r="V87" s="123">
        <f>V88+V94</f>
        <v>3.3500000000000002E-2</v>
      </c>
      <c r="W87" s="123">
        <f>W88+W94</f>
        <v>4.0666666666666663E-2</v>
      </c>
      <c r="X87" s="123">
        <f t="shared" ref="X87:Y87" si="409">X88+X94</f>
        <v>4.0111111111111111E-2</v>
      </c>
      <c r="Y87" s="123">
        <f t="shared" si="409"/>
        <v>4.6777777777777779E-2</v>
      </c>
      <c r="Z87" s="120"/>
      <c r="AA87" s="123">
        <f>AA88+AA94</f>
        <v>2.6999999999999996E-2</v>
      </c>
      <c r="AB87" s="123">
        <f>AB88+AB94</f>
        <v>2.7555555555555555E-2</v>
      </c>
      <c r="AC87" s="123">
        <f t="shared" ref="AC87" si="410">AC88+AC94</f>
        <v>3.0148148148148146E-2</v>
      </c>
      <c r="AD87" s="123">
        <f t="shared" ref="AD87" si="411">AD88+AD94</f>
        <v>3.7703703703703705E-2</v>
      </c>
      <c r="AE87" s="120"/>
      <c r="AF87" s="123">
        <f>AF88+AF94</f>
        <v>2.7500000000000004E-2</v>
      </c>
      <c r="AG87" s="123">
        <f>AG88+AG94</f>
        <v>2.9740740740740741E-2</v>
      </c>
      <c r="AH87" s="123">
        <f t="shared" ref="AH87" si="412">AH88+AH94</f>
        <v>3.0197530864197533E-2</v>
      </c>
      <c r="AI87" s="123">
        <f t="shared" ref="AI87" si="413">AI88+AI94</f>
        <v>3.5938271604938274E-2</v>
      </c>
      <c r="AJ87" s="120"/>
      <c r="AK87" s="123">
        <f>AK88+AK94</f>
        <v>3.1E-2</v>
      </c>
      <c r="AL87" s="123">
        <f>AL88+AL94</f>
        <v>3.4320987654320984E-2</v>
      </c>
      <c r="AM87" s="123">
        <f t="shared" ref="AM87" si="414">AM88+AM94</f>
        <v>3.5152263374485598E-2</v>
      </c>
      <c r="AN87" s="123">
        <f t="shared" ref="AN87" si="415">AN88+AN94</f>
        <v>4.1806584362139923E-2</v>
      </c>
      <c r="AO87" s="120"/>
      <c r="AP87" s="123">
        <f>AP88+AP94</f>
        <v>3.6833333333333329E-2</v>
      </c>
      <c r="AQ87" s="123">
        <f>AQ88+AQ94</f>
        <v>3.8872427983539098E-2</v>
      </c>
      <c r="AR87" s="123">
        <f t="shared" ref="AR87" si="416">AR88+AR94</f>
        <v>4.0165980795610429E-2</v>
      </c>
      <c r="AS87" s="123">
        <f t="shared" ref="AS87" si="417">AS88+AS94</f>
        <v>4.6816186556927306E-2</v>
      </c>
      <c r="AT87" s="120"/>
    </row>
    <row r="88" spans="1:54" x14ac:dyDescent="0.25">
      <c r="A88" s="14" t="s">
        <v>14</v>
      </c>
      <c r="B88" s="44">
        <v>-0.105</v>
      </c>
      <c r="C88" s="44">
        <v>-5.8999999999999997E-2</v>
      </c>
      <c r="D88" s="44">
        <v>3.5000000000000003E-2</v>
      </c>
      <c r="E88" s="44">
        <v>-1.4E-2</v>
      </c>
      <c r="F88" s="10"/>
      <c r="G88" s="44">
        <v>-0.01</v>
      </c>
      <c r="H88" s="44">
        <v>-3.1E-2</v>
      </c>
      <c r="I88" s="44">
        <v>0.19500000000000001</v>
      </c>
      <c r="J88" s="44">
        <v>-0.01</v>
      </c>
      <c r="K88" s="10">
        <v>-1.2E-2</v>
      </c>
      <c r="L88" s="44">
        <v>-6.0000000000000001E-3</v>
      </c>
      <c r="M88" s="44">
        <v>1.0999999999999999E-2</v>
      </c>
      <c r="N88" s="44">
        <v>5.0000000000000001E-3</v>
      </c>
      <c r="O88" s="45">
        <v>2E-3</v>
      </c>
      <c r="P88" s="11">
        <v>4.0000000000000001E-3</v>
      </c>
      <c r="Q88" s="44">
        <v>1.9E-2</v>
      </c>
      <c r="R88" s="44">
        <v>0.01</v>
      </c>
      <c r="S88" s="73">
        <v>2.5000000000000001E-2</v>
      </c>
      <c r="T88" s="73">
        <v>2.5000000000000001E-2</v>
      </c>
      <c r="V88" s="73">
        <v>0.02</v>
      </c>
      <c r="W88" s="73">
        <v>0.02</v>
      </c>
      <c r="X88" s="73">
        <v>0.02</v>
      </c>
      <c r="Y88" s="73">
        <v>0.02</v>
      </c>
      <c r="AA88" s="73">
        <v>0.01</v>
      </c>
      <c r="AB88" s="73">
        <v>0.01</v>
      </c>
      <c r="AC88" s="73">
        <v>0.01</v>
      </c>
      <c r="AD88" s="73">
        <v>0.01</v>
      </c>
      <c r="AF88" s="73">
        <v>0.01</v>
      </c>
      <c r="AG88" s="73">
        <v>0.01</v>
      </c>
      <c r="AH88" s="73">
        <v>0.01</v>
      </c>
      <c r="AI88" s="73">
        <v>0.01</v>
      </c>
      <c r="AK88" s="73">
        <v>1.4999999999999999E-2</v>
      </c>
      <c r="AL88" s="73">
        <v>1.4999999999999999E-2</v>
      </c>
      <c r="AM88" s="73">
        <v>1.4999999999999999E-2</v>
      </c>
      <c r="AN88" s="73">
        <v>1.4999999999999999E-2</v>
      </c>
      <c r="AP88" s="73">
        <v>0.02</v>
      </c>
      <c r="AQ88" s="73">
        <v>0.02</v>
      </c>
      <c r="AR88" s="73">
        <v>0.02</v>
      </c>
      <c r="AS88" s="73">
        <v>0.02</v>
      </c>
      <c r="AT88" s="69"/>
      <c r="AY88" s="361"/>
      <c r="AZ88" s="361"/>
      <c r="BA88" s="361"/>
      <c r="BB88" s="361"/>
    </row>
    <row r="89" spans="1:54" hidden="1" x14ac:dyDescent="0.25">
      <c r="A89" s="14" t="s">
        <v>8</v>
      </c>
      <c r="B89" s="44">
        <v>-8.3000000000000004E-2</v>
      </c>
      <c r="C89" s="44">
        <v>-0.13500000000000001</v>
      </c>
      <c r="D89" s="44">
        <v>-0.16400000000000001</v>
      </c>
      <c r="E89" s="44">
        <v>5.8999999999999997E-2</v>
      </c>
      <c r="F89" s="10"/>
      <c r="G89" s="44">
        <v>2.8000000000000001E-2</v>
      </c>
      <c r="H89" s="44">
        <v>5.6000000000000001E-2</v>
      </c>
      <c r="I89" s="45">
        <v>1.7999999999999999E-2</v>
      </c>
      <c r="J89" s="44">
        <v>9.0999999999999998E-2</v>
      </c>
      <c r="K89" s="10">
        <v>8.6999999999999994E-2</v>
      </c>
      <c r="L89" s="44">
        <v>4.3999999999999997E-2</v>
      </c>
      <c r="M89" s="44">
        <v>5.2999999999999999E-2</v>
      </c>
      <c r="N89" s="44">
        <v>-3.1E-2</v>
      </c>
      <c r="O89" s="45">
        <v>0.04</v>
      </c>
      <c r="P89" s="10">
        <v>2.5999999999999999E-2</v>
      </c>
      <c r="Q89" s="44">
        <v>-0.01</v>
      </c>
      <c r="R89" s="44"/>
      <c r="S89" s="73"/>
      <c r="T89" s="73"/>
      <c r="V89" s="73"/>
      <c r="W89" s="73"/>
      <c r="X89" s="73"/>
      <c r="Y89" s="73"/>
      <c r="AA89" s="73"/>
      <c r="AB89" s="73"/>
      <c r="AC89" s="73"/>
      <c r="AD89" s="73"/>
      <c r="AF89" s="73"/>
      <c r="AG89" s="73"/>
      <c r="AH89" s="73"/>
      <c r="AI89" s="73"/>
      <c r="AK89" s="73"/>
      <c r="AL89" s="73"/>
      <c r="AM89" s="73"/>
      <c r="AN89" s="73"/>
      <c r="AP89" s="73"/>
      <c r="AQ89" s="73"/>
      <c r="AR89" s="73"/>
      <c r="AS89" s="73"/>
      <c r="AT89" s="69"/>
    </row>
    <row r="90" spans="1:54" x14ac:dyDescent="0.25">
      <c r="A90" s="14" t="s">
        <v>11</v>
      </c>
      <c r="B90" s="44">
        <v>-8.3000000000000004E-2</v>
      </c>
      <c r="C90" s="44">
        <v>-0.13500000000000001</v>
      </c>
      <c r="D90" s="44">
        <v>-0.16400000000000001</v>
      </c>
      <c r="E90" s="44">
        <v>7.8E-2</v>
      </c>
      <c r="F90" s="10"/>
      <c r="G90" s="45">
        <v>0.04</v>
      </c>
      <c r="H90" s="44">
        <v>6.7000000000000004E-2</v>
      </c>
      <c r="I90" s="44">
        <v>1.7999999999999999E-2</v>
      </c>
      <c r="J90" s="44">
        <v>9.1999999999999998E-2</v>
      </c>
      <c r="K90" s="10">
        <v>9.5000000000000001E-2</v>
      </c>
      <c r="L90" s="44">
        <v>4.7E-2</v>
      </c>
      <c r="M90" s="44">
        <v>5.0999999999999997E-2</v>
      </c>
      <c r="N90" s="44">
        <v>-3.1E-2</v>
      </c>
      <c r="O90" s="45">
        <v>0.04</v>
      </c>
      <c r="P90" s="10">
        <v>2.5999999999999999E-2</v>
      </c>
      <c r="Q90" s="44">
        <v>-0.01</v>
      </c>
      <c r="R90" s="44">
        <v>7.0000000000000001E-3</v>
      </c>
      <c r="S90" s="73">
        <v>1.7999999999999999E-2</v>
      </c>
      <c r="T90" s="73">
        <v>1.6E-2</v>
      </c>
      <c r="V90" s="73">
        <v>1.4999999999999999E-2</v>
      </c>
      <c r="W90" s="73">
        <v>1.4999999999999999E-2</v>
      </c>
      <c r="X90" s="73">
        <v>1.4999999999999999E-2</v>
      </c>
      <c r="Y90" s="73">
        <v>1.4999999999999999E-2</v>
      </c>
      <c r="AA90" s="73">
        <v>1.4999999999999999E-2</v>
      </c>
      <c r="AB90" s="73">
        <v>1.4999999999999999E-2</v>
      </c>
      <c r="AC90" s="73">
        <v>1.4999999999999999E-2</v>
      </c>
      <c r="AD90" s="73">
        <v>1.4999999999999999E-2</v>
      </c>
      <c r="AF90" s="73">
        <v>1.4999999999999999E-2</v>
      </c>
      <c r="AG90" s="73">
        <v>1.4999999999999999E-2</v>
      </c>
      <c r="AH90" s="73">
        <v>1.4999999999999999E-2</v>
      </c>
      <c r="AI90" s="73">
        <v>1.4999999999999999E-2</v>
      </c>
      <c r="AK90" s="73">
        <v>1.4999999999999999E-2</v>
      </c>
      <c r="AL90" s="73">
        <v>1.4999999999999999E-2</v>
      </c>
      <c r="AM90" s="73">
        <v>1.4999999999999999E-2</v>
      </c>
      <c r="AN90" s="73">
        <v>1.4999999999999999E-2</v>
      </c>
      <c r="AP90" s="73">
        <v>1.4999999999999999E-2</v>
      </c>
      <c r="AQ90" s="73">
        <v>1.4999999999999999E-2</v>
      </c>
      <c r="AR90" s="73">
        <v>1.4999999999999999E-2</v>
      </c>
      <c r="AS90" s="73">
        <v>1.4999999999999999E-2</v>
      </c>
      <c r="AT90" s="69"/>
    </row>
    <row r="91" spans="1:54" x14ac:dyDescent="0.25">
      <c r="A91" s="14" t="s">
        <v>9</v>
      </c>
      <c r="B91" s="44">
        <v>6.0000000000000001E-3</v>
      </c>
      <c r="C91" s="44">
        <v>8.9999999999999993E-3</v>
      </c>
      <c r="D91" s="44">
        <v>7.0000000000000001E-3</v>
      </c>
      <c r="E91" s="44">
        <v>5.0000000000000001E-3</v>
      </c>
      <c r="F91" s="10"/>
      <c r="G91" s="44">
        <v>6.0000000000000001E-3</v>
      </c>
      <c r="H91" s="44">
        <v>1.6E-2</v>
      </c>
      <c r="I91" s="44">
        <v>6.0000000000000001E-3</v>
      </c>
      <c r="J91" s="44">
        <v>0.02</v>
      </c>
      <c r="K91" s="10"/>
      <c r="L91" s="44">
        <v>5.4999999999999997E-3</v>
      </c>
      <c r="M91" s="44">
        <v>8.0000000000000002E-3</v>
      </c>
      <c r="N91" s="44">
        <v>1.2999999999999999E-2</v>
      </c>
      <c r="O91" s="44">
        <v>2.3E-2</v>
      </c>
      <c r="P91" s="10"/>
      <c r="Q91" s="44">
        <v>0.01</v>
      </c>
      <c r="R91" s="44">
        <f>AVERAGE(C91,H91,M91)</f>
        <v>1.1000000000000001E-2</v>
      </c>
      <c r="S91" s="73">
        <f t="shared" ref="S91:T91" si="418">AVERAGE(D91,I91,N91)</f>
        <v>8.666666666666668E-3</v>
      </c>
      <c r="T91" s="73">
        <f t="shared" si="418"/>
        <v>1.6E-2</v>
      </c>
      <c r="V91" s="73">
        <f>AVERAGE(G91,L91,Q91)</f>
        <v>7.1666666666666658E-3</v>
      </c>
      <c r="W91" s="73">
        <f>AVERAGE(H91,M91,R91)</f>
        <v>1.1666666666666667E-2</v>
      </c>
      <c r="X91" s="73">
        <f t="shared" ref="X91" si="419">AVERAGE(I91,N91,S91)</f>
        <v>9.2222222222222219E-3</v>
      </c>
      <c r="Y91" s="73">
        <f t="shared" ref="Y91" si="420">AVERAGE(J91,O91,T91)</f>
        <v>1.9666666666666666E-2</v>
      </c>
      <c r="AA91" s="73">
        <f>AVERAGE(L91,Q91,V91)</f>
        <v>7.5555555555555549E-3</v>
      </c>
      <c r="AB91" s="73">
        <f>AVERAGE(M91,R91,W91)</f>
        <v>1.0222222222222223E-2</v>
      </c>
      <c r="AC91" s="73">
        <f t="shared" ref="AC91" si="421">AVERAGE(N91,S91,X91)</f>
        <v>1.0296296296296296E-2</v>
      </c>
      <c r="AD91" s="73">
        <f t="shared" ref="AD91" si="422">AVERAGE(O91,T91,Y91)</f>
        <v>1.9555555555555555E-2</v>
      </c>
      <c r="AF91" s="73">
        <f>AVERAGE(Q91,V91,AA91)</f>
        <v>8.2407407407407412E-3</v>
      </c>
      <c r="AG91" s="73">
        <f>AVERAGE(R91,W91,AB91)</f>
        <v>1.0962962962962964E-2</v>
      </c>
      <c r="AH91" s="73">
        <f t="shared" ref="AH91" si="423">AVERAGE(S91,X91,AC91)</f>
        <v>9.3950617283950627E-3</v>
      </c>
      <c r="AI91" s="73">
        <f t="shared" ref="AI91" si="424">AVERAGE(T91,Y91,AD91)</f>
        <v>1.8407407407407407E-2</v>
      </c>
      <c r="AK91" s="73">
        <f>AVERAGE(V91,AA91,AF91)</f>
        <v>7.6543209876543212E-3</v>
      </c>
      <c r="AL91" s="73">
        <f>AVERAGE(W91,AB91,AG91)</f>
        <v>1.0950617283950618E-2</v>
      </c>
      <c r="AM91" s="73">
        <f t="shared" ref="AM91" si="425">AVERAGE(X91,AC91,AH91)</f>
        <v>9.6378600823045276E-3</v>
      </c>
      <c r="AN91" s="73">
        <f t="shared" ref="AN91" si="426">AVERAGE(Y91,AD91,AI91)</f>
        <v>1.9209876543209877E-2</v>
      </c>
      <c r="AP91" s="73">
        <f>AVERAGE(AA91,AF91,AK91)</f>
        <v>7.8168724279835382E-3</v>
      </c>
      <c r="AQ91" s="73">
        <f>AVERAGE(AB91,AG91,AL91)</f>
        <v>1.0711934156378602E-2</v>
      </c>
      <c r="AR91" s="73">
        <f t="shared" ref="AR91" si="427">AVERAGE(AC91,AH91,AM91)</f>
        <v>9.7764060356652967E-3</v>
      </c>
      <c r="AS91" s="73">
        <f t="shared" ref="AS91" si="428">AVERAGE(AD91,AI91,AN91)</f>
        <v>1.9057613168724282E-2</v>
      </c>
      <c r="AT91" s="69"/>
    </row>
    <row r="92" spans="1:54" x14ac:dyDescent="0.25">
      <c r="A92" s="14" t="s">
        <v>12</v>
      </c>
      <c r="B92" s="44">
        <f t="shared" ref="B92:P92" si="429">B90+B91</f>
        <v>-7.6999999999999999E-2</v>
      </c>
      <c r="C92" s="44">
        <f t="shared" si="429"/>
        <v>-0.126</v>
      </c>
      <c r="D92" s="44">
        <f t="shared" si="429"/>
        <v>-0.157</v>
      </c>
      <c r="E92" s="44">
        <f t="shared" si="429"/>
        <v>8.3000000000000004E-2</v>
      </c>
      <c r="F92" s="10"/>
      <c r="G92" s="44">
        <f t="shared" si="429"/>
        <v>4.5999999999999999E-2</v>
      </c>
      <c r="H92" s="44">
        <f t="shared" si="429"/>
        <v>8.3000000000000004E-2</v>
      </c>
      <c r="I92" s="44">
        <f>I90+I91</f>
        <v>2.4E-2</v>
      </c>
      <c r="J92" s="44">
        <f t="shared" si="429"/>
        <v>0.112</v>
      </c>
      <c r="K92" s="10">
        <f t="shared" si="429"/>
        <v>9.5000000000000001E-2</v>
      </c>
      <c r="L92" s="44">
        <f t="shared" si="429"/>
        <v>5.2499999999999998E-2</v>
      </c>
      <c r="M92" s="44">
        <f t="shared" si="429"/>
        <v>5.8999999999999997E-2</v>
      </c>
      <c r="N92" s="44">
        <f t="shared" si="429"/>
        <v>-1.8000000000000002E-2</v>
      </c>
      <c r="O92" s="44">
        <f t="shared" si="429"/>
        <v>6.3E-2</v>
      </c>
      <c r="P92" s="10">
        <f t="shared" si="429"/>
        <v>2.5999999999999999E-2</v>
      </c>
      <c r="Q92" s="44">
        <f>Q90+Q91</f>
        <v>0</v>
      </c>
      <c r="R92" s="44">
        <f>R90+R91</f>
        <v>1.8000000000000002E-2</v>
      </c>
      <c r="S92" s="73">
        <f>S90+S91</f>
        <v>2.6666666666666665E-2</v>
      </c>
      <c r="T92" s="73">
        <f>T90+T91</f>
        <v>3.2000000000000001E-2</v>
      </c>
      <c r="V92" s="73">
        <f>V90+V91</f>
        <v>2.2166666666666664E-2</v>
      </c>
      <c r="W92" s="73">
        <f>W90+W91</f>
        <v>2.6666666666666665E-2</v>
      </c>
      <c r="X92" s="73">
        <f t="shared" ref="X92:Y92" si="430">X90+X91</f>
        <v>2.4222222222222221E-2</v>
      </c>
      <c r="Y92" s="73">
        <f t="shared" si="430"/>
        <v>3.4666666666666665E-2</v>
      </c>
      <c r="AA92" s="73">
        <f>AA90+AA91</f>
        <v>2.2555555555555554E-2</v>
      </c>
      <c r="AB92" s="73">
        <f>AB90+AB91</f>
        <v>2.5222222222222222E-2</v>
      </c>
      <c r="AC92" s="73">
        <f t="shared" ref="AC92" si="431">AC90+AC91</f>
        <v>2.5296296296296296E-2</v>
      </c>
      <c r="AD92" s="73">
        <f t="shared" ref="AD92" si="432">AD90+AD91</f>
        <v>3.4555555555555555E-2</v>
      </c>
      <c r="AF92" s="73">
        <f>AF90+AF91</f>
        <v>2.3240740740740742E-2</v>
      </c>
      <c r="AG92" s="73">
        <f>AG90+AG91</f>
        <v>2.5962962962962965E-2</v>
      </c>
      <c r="AH92" s="73">
        <f t="shared" ref="AH92" si="433">AH90+AH91</f>
        <v>2.4395061728395062E-2</v>
      </c>
      <c r="AI92" s="73">
        <f t="shared" ref="AI92" si="434">AI90+AI91</f>
        <v>3.3407407407407406E-2</v>
      </c>
      <c r="AK92" s="73">
        <f>AK90+AK91</f>
        <v>2.2654320987654322E-2</v>
      </c>
      <c r="AL92" s="73">
        <f>AL90+AL91</f>
        <v>2.5950617283950615E-2</v>
      </c>
      <c r="AM92" s="73">
        <f t="shared" ref="AM92" si="435">AM90+AM91</f>
        <v>2.4637860082304529E-2</v>
      </c>
      <c r="AN92" s="73">
        <f t="shared" ref="AN92" si="436">AN90+AN91</f>
        <v>3.420987654320988E-2</v>
      </c>
      <c r="AP92" s="73">
        <f>AP90+AP91</f>
        <v>2.2816872427983539E-2</v>
      </c>
      <c r="AQ92" s="73">
        <f>AQ90+AQ91</f>
        <v>2.5711934156378603E-2</v>
      </c>
      <c r="AR92" s="73">
        <f t="shared" ref="AR92" si="437">AR90+AR91</f>
        <v>2.4776406035665298E-2</v>
      </c>
      <c r="AS92" s="73">
        <f t="shared" ref="AS92" si="438">AS90+AS91</f>
        <v>3.4057613168724285E-2</v>
      </c>
      <c r="AT92" s="69"/>
    </row>
    <row r="93" spans="1:54" x14ac:dyDescent="0.25">
      <c r="A93" s="14" t="s">
        <v>10</v>
      </c>
      <c r="B93" s="44">
        <v>-6.0000000000000001E-3</v>
      </c>
      <c r="C93" s="44">
        <v>-8.9999999999999993E-3</v>
      </c>
      <c r="D93" s="44">
        <v>-7.0000000000000001E-3</v>
      </c>
      <c r="E93" s="44">
        <v>-0.01</v>
      </c>
      <c r="F93" s="10"/>
      <c r="G93" s="44">
        <v>-2.1000000000000001E-2</v>
      </c>
      <c r="H93" s="44">
        <v>-1.4999999999999999E-2</v>
      </c>
      <c r="I93" s="44">
        <v>-2.8000000000000001E-2</v>
      </c>
      <c r="J93" s="44">
        <v>-0.01</v>
      </c>
      <c r="K93" s="10">
        <f t="shared" ref="K93:P93" si="439">K80</f>
        <v>0</v>
      </c>
      <c r="L93" s="44">
        <v>-1.5E-3</v>
      </c>
      <c r="M93" s="44">
        <v>-1.6E-2</v>
      </c>
      <c r="N93" s="44">
        <v>-1.7999999999999999E-2</v>
      </c>
      <c r="O93" s="44">
        <v>-1.4999999999999999E-2</v>
      </c>
      <c r="P93" s="10">
        <f t="shared" si="439"/>
        <v>0</v>
      </c>
      <c r="Q93" s="44">
        <v>-1.2E-2</v>
      </c>
      <c r="R93" s="44">
        <f>R19</f>
        <v>-5.0000000000000001E-3</v>
      </c>
      <c r="S93" s="73">
        <f t="shared" ref="S93:T93" si="440">S19</f>
        <v>-3.333333333333334E-3</v>
      </c>
      <c r="T93" s="73">
        <f t="shared" si="440"/>
        <v>-7.6666666666666662E-3</v>
      </c>
      <c r="V93" s="73">
        <f>V19</f>
        <v>-8.6666666666666663E-3</v>
      </c>
      <c r="W93" s="73">
        <f>W19</f>
        <v>-6.000000000000001E-3</v>
      </c>
      <c r="X93" s="73">
        <f t="shared" ref="X93:Y93" si="441">X19</f>
        <v>-4.1111111111111114E-3</v>
      </c>
      <c r="Y93" s="73">
        <f t="shared" si="441"/>
        <v>-7.888888888888888E-3</v>
      </c>
      <c r="AA93" s="73">
        <f>AA19</f>
        <v>-5.5555555555555558E-3</v>
      </c>
      <c r="AB93" s="73">
        <f>AB19</f>
        <v>-7.6666666666666662E-3</v>
      </c>
      <c r="AC93" s="73">
        <f t="shared" ref="AC93:AD93" si="442">AC19</f>
        <v>-5.1481481481481482E-3</v>
      </c>
      <c r="AD93" s="73">
        <f t="shared" si="442"/>
        <v>-6.851851851851852E-3</v>
      </c>
      <c r="AF93" s="73">
        <f>AF19</f>
        <v>-5.7407407407407407E-3</v>
      </c>
      <c r="AG93" s="73">
        <f>AG19</f>
        <v>-6.2222222222222227E-3</v>
      </c>
      <c r="AH93" s="73">
        <f t="shared" ref="AH93:AI93" si="443">AH19</f>
        <v>-4.1975308641975309E-3</v>
      </c>
      <c r="AI93" s="73">
        <f t="shared" si="443"/>
        <v>-7.4691358024691354E-3</v>
      </c>
      <c r="AK93" s="73">
        <f>AK19</f>
        <v>-6.6543209876543212E-3</v>
      </c>
      <c r="AL93" s="73">
        <f>AL19</f>
        <v>-6.6296296296296303E-3</v>
      </c>
      <c r="AM93" s="73">
        <f t="shared" ref="AM93:AN93" si="444">AM19</f>
        <v>-4.4855967078189299E-3</v>
      </c>
      <c r="AN93" s="73">
        <f t="shared" si="444"/>
        <v>-7.4032921810699591E-3</v>
      </c>
      <c r="AP93" s="73">
        <f>AP19</f>
        <v>-5.9835390946502065E-3</v>
      </c>
      <c r="AQ93" s="73">
        <f>AQ19</f>
        <v>-6.8395061728395061E-3</v>
      </c>
      <c r="AR93" s="73">
        <f t="shared" ref="AR93:AS93" si="445">AR19</f>
        <v>-4.6104252400548697E-3</v>
      </c>
      <c r="AS93" s="73">
        <f t="shared" si="445"/>
        <v>-7.2414266117969825E-3</v>
      </c>
      <c r="AT93" s="69"/>
    </row>
    <row r="94" spans="1:54" x14ac:dyDescent="0.25">
      <c r="A94" s="14" t="s">
        <v>13</v>
      </c>
      <c r="B94" s="44">
        <f t="shared" ref="B94:P94" si="446">B93+B92</f>
        <v>-8.3000000000000004E-2</v>
      </c>
      <c r="C94" s="44">
        <f t="shared" si="446"/>
        <v>-0.13500000000000001</v>
      </c>
      <c r="D94" s="44">
        <f t="shared" si="446"/>
        <v>-0.16400000000000001</v>
      </c>
      <c r="E94" s="44">
        <f t="shared" si="446"/>
        <v>7.3000000000000009E-2</v>
      </c>
      <c r="F94" s="10"/>
      <c r="G94" s="44">
        <f t="shared" si="446"/>
        <v>2.4999999999999998E-2</v>
      </c>
      <c r="H94" s="44">
        <f t="shared" si="446"/>
        <v>6.8000000000000005E-2</v>
      </c>
      <c r="I94" s="44">
        <f t="shared" si="446"/>
        <v>-4.0000000000000001E-3</v>
      </c>
      <c r="J94" s="44">
        <f t="shared" si="446"/>
        <v>0.10200000000000001</v>
      </c>
      <c r="K94" s="10">
        <f t="shared" si="446"/>
        <v>9.5000000000000001E-2</v>
      </c>
      <c r="L94" s="44">
        <f t="shared" si="446"/>
        <v>5.0999999999999997E-2</v>
      </c>
      <c r="M94" s="44">
        <f t="shared" si="446"/>
        <v>4.2999999999999997E-2</v>
      </c>
      <c r="N94" s="44">
        <f t="shared" si="446"/>
        <v>-3.6000000000000004E-2</v>
      </c>
      <c r="O94" s="44">
        <f t="shared" si="446"/>
        <v>4.8000000000000001E-2</v>
      </c>
      <c r="P94" s="10">
        <f t="shared" si="446"/>
        <v>2.5999999999999999E-2</v>
      </c>
      <c r="Q94" s="44">
        <f>Q93+Q92</f>
        <v>-1.2E-2</v>
      </c>
      <c r="R94" s="44">
        <f>R93+R92</f>
        <v>1.3000000000000001E-2</v>
      </c>
      <c r="S94" s="73">
        <f t="shared" ref="S94:T94" si="447">S93+S92</f>
        <v>2.3333333333333331E-2</v>
      </c>
      <c r="T94" s="73">
        <f t="shared" si="447"/>
        <v>2.4333333333333335E-2</v>
      </c>
      <c r="V94" s="73">
        <f>V93+V92</f>
        <v>1.3499999999999998E-2</v>
      </c>
      <c r="W94" s="73">
        <f>W93+W92</f>
        <v>2.0666666666666663E-2</v>
      </c>
      <c r="X94" s="73">
        <f t="shared" ref="X94:Y94" si="448">X93+X92</f>
        <v>2.0111111111111111E-2</v>
      </c>
      <c r="Y94" s="73">
        <f t="shared" si="448"/>
        <v>2.6777777777777775E-2</v>
      </c>
      <c r="AA94" s="73">
        <f>AA93+AA92</f>
        <v>1.6999999999999998E-2</v>
      </c>
      <c r="AB94" s="73">
        <f>AB93+AB92</f>
        <v>1.7555555555555557E-2</v>
      </c>
      <c r="AC94" s="73">
        <f t="shared" ref="AC94" si="449">AC93+AC92</f>
        <v>2.0148148148148148E-2</v>
      </c>
      <c r="AD94" s="73">
        <f t="shared" ref="AD94" si="450">AD93+AD92</f>
        <v>2.7703703703703703E-2</v>
      </c>
      <c r="AF94" s="73">
        <f>AF93+AF92</f>
        <v>1.7500000000000002E-2</v>
      </c>
      <c r="AG94" s="73">
        <f>AG93+AG92</f>
        <v>1.9740740740740743E-2</v>
      </c>
      <c r="AH94" s="73">
        <f t="shared" ref="AH94" si="451">AH93+AH92</f>
        <v>2.0197530864197531E-2</v>
      </c>
      <c r="AI94" s="73">
        <f t="shared" ref="AI94" si="452">AI93+AI92</f>
        <v>2.5938271604938272E-2</v>
      </c>
      <c r="AK94" s="73">
        <f>AK93+AK92</f>
        <v>1.6E-2</v>
      </c>
      <c r="AL94" s="73">
        <f>AL93+AL92</f>
        <v>1.9320987654320984E-2</v>
      </c>
      <c r="AM94" s="73">
        <f t="shared" ref="AM94" si="453">AM93+AM92</f>
        <v>2.0152263374485599E-2</v>
      </c>
      <c r="AN94" s="73">
        <f t="shared" ref="AN94" si="454">AN93+AN92</f>
        <v>2.680658436213992E-2</v>
      </c>
      <c r="AP94" s="73">
        <f>AP93+AP92</f>
        <v>1.6833333333333332E-2</v>
      </c>
      <c r="AQ94" s="73">
        <f>AQ93+AQ92</f>
        <v>1.8872427983539098E-2</v>
      </c>
      <c r="AR94" s="73">
        <f t="shared" ref="AR94" si="455">AR93+AR92</f>
        <v>2.0165980795610428E-2</v>
      </c>
      <c r="AS94" s="73">
        <f t="shared" ref="AS94" si="456">AS93+AS92</f>
        <v>2.6816186556927302E-2</v>
      </c>
      <c r="AT94" s="69"/>
    </row>
    <row r="95" spans="1:54" x14ac:dyDescent="0.25">
      <c r="A95" s="14"/>
      <c r="B95" s="14"/>
      <c r="C95" s="14"/>
      <c r="D95" s="14"/>
      <c r="E95" s="14"/>
      <c r="F95" s="8"/>
      <c r="G95" s="14"/>
      <c r="H95" s="14"/>
      <c r="I95" s="14"/>
      <c r="J95" s="14"/>
      <c r="K95" s="8"/>
      <c r="L95" s="14"/>
      <c r="M95" s="14"/>
      <c r="N95" s="14"/>
      <c r="O95" s="14"/>
      <c r="P95" s="8"/>
      <c r="Q95" s="14"/>
      <c r="R95" s="14"/>
      <c r="AT95" s="69"/>
    </row>
    <row r="96" spans="1:54" s="1" customFormat="1" ht="15.75" x14ac:dyDescent="0.25">
      <c r="A96" s="56" t="s">
        <v>1</v>
      </c>
      <c r="B96" s="12"/>
      <c r="C96" s="12"/>
      <c r="D96" s="12"/>
      <c r="E96" s="12"/>
      <c r="F96" s="55"/>
      <c r="G96" s="12"/>
      <c r="H96" s="12"/>
      <c r="I96" s="12"/>
      <c r="J96" s="12"/>
      <c r="K96" s="55"/>
      <c r="L96" s="12"/>
      <c r="M96" s="12"/>
      <c r="N96" s="12"/>
      <c r="O96" s="12"/>
      <c r="P96" s="55"/>
      <c r="Q96" s="12"/>
      <c r="R96" s="12"/>
      <c r="S96" s="70"/>
      <c r="T96" s="70"/>
      <c r="U96" s="71"/>
      <c r="V96" s="70"/>
      <c r="W96" s="70"/>
      <c r="X96" s="70"/>
      <c r="Y96" s="70"/>
      <c r="Z96" s="71"/>
      <c r="AA96" s="70"/>
      <c r="AB96" s="70"/>
      <c r="AC96" s="70"/>
      <c r="AD96" s="70"/>
      <c r="AE96" s="71"/>
      <c r="AF96" s="70"/>
      <c r="AG96" s="70"/>
      <c r="AH96" s="70"/>
      <c r="AI96" s="70"/>
      <c r="AJ96" s="71"/>
      <c r="AK96" s="70"/>
      <c r="AL96" s="70"/>
      <c r="AM96" s="70"/>
      <c r="AN96" s="70"/>
      <c r="AO96" s="71"/>
      <c r="AP96" s="70"/>
      <c r="AQ96" s="70"/>
      <c r="AR96" s="70"/>
      <c r="AS96" s="70"/>
      <c r="AT96" s="274"/>
    </row>
    <row r="97" spans="1:54" x14ac:dyDescent="0.25">
      <c r="A97" s="14" t="s">
        <v>0</v>
      </c>
      <c r="B97" s="14">
        <v>3338</v>
      </c>
      <c r="C97" s="14">
        <v>3498</v>
      </c>
      <c r="D97" s="14">
        <v>3872</v>
      </c>
      <c r="E97" s="14">
        <v>4539</v>
      </c>
      <c r="F97" s="32">
        <f>SUM(B97:E97)</f>
        <v>15247</v>
      </c>
      <c r="G97" s="14">
        <v>4348</v>
      </c>
      <c r="H97" s="14">
        <v>4118</v>
      </c>
      <c r="I97" s="14">
        <v>3965</v>
      </c>
      <c r="J97" s="14">
        <v>4493</v>
      </c>
      <c r="K97" s="8">
        <v>16923</v>
      </c>
      <c r="L97" s="14">
        <v>3876</v>
      </c>
      <c r="M97" s="14">
        <v>3754</v>
      </c>
      <c r="N97" s="14">
        <v>3638</v>
      </c>
      <c r="O97" s="14">
        <v>4371</v>
      </c>
      <c r="P97" s="8">
        <v>15577</v>
      </c>
      <c r="Q97" s="30">
        <v>3975</v>
      </c>
      <c r="R97" s="30">
        <f>M97*(1+R99)</f>
        <v>3985.4966666666669</v>
      </c>
      <c r="S97" s="67">
        <f t="shared" ref="S97:T97" si="457">R97*(1+S99)</f>
        <v>4231.9332105555559</v>
      </c>
      <c r="T97" s="67">
        <f t="shared" si="457"/>
        <v>4522.525957680371</v>
      </c>
      <c r="U97" s="274">
        <f>SUM(Q97:T97)</f>
        <v>16714.955834902594</v>
      </c>
      <c r="V97" s="67">
        <f>Q97*(1+V99)</f>
        <v>4094.9124999999999</v>
      </c>
      <c r="W97" s="67">
        <f>R97*(1+W99)</f>
        <v>4107.2757314814817</v>
      </c>
      <c r="X97" s="67">
        <f t="shared" ref="X97" si="458">S97*(1+X99)</f>
        <v>4373.4678657085806</v>
      </c>
      <c r="Y97" s="67">
        <f t="shared" ref="Y97" si="459">T97*(1+Y99)</f>
        <v>4683.3268806201177</v>
      </c>
      <c r="Z97" s="274">
        <f>SUM(V97:Y97)</f>
        <v>17258.982977810178</v>
      </c>
      <c r="AA97" s="67">
        <f>V97*(1+AA99)</f>
        <v>4248.6992138888891</v>
      </c>
      <c r="AB97" s="67">
        <f>W97*(1+AB99)</f>
        <v>4244.4891651776406</v>
      </c>
      <c r="AC97" s="67">
        <f t="shared" ref="AC97" si="460">X97*(1+AC99)</f>
        <v>4523.2996351819302</v>
      </c>
      <c r="AD97" s="67">
        <f t="shared" ref="AD97" si="461">Y97*(1+AD99)</f>
        <v>4875.6901958278104</v>
      </c>
      <c r="AE97" s="72">
        <f>SUM(AA97:AD97)</f>
        <v>17892.178210076272</v>
      </c>
      <c r="AF97" s="67">
        <f>AA97*(1+AF99)</f>
        <v>4397.0102882996398</v>
      </c>
      <c r="AG97" s="67">
        <f>AB97*(1+AG99)</f>
        <v>4372.7146588466494</v>
      </c>
      <c r="AH97" s="67">
        <f t="shared" ref="AH97" si="462">AC97*(1+AH99)</f>
        <v>4714.8418296100044</v>
      </c>
      <c r="AI97" s="67">
        <f t="shared" ref="AI97" si="463">AD97*(1+AI99)</f>
        <v>5046.8209023307536</v>
      </c>
      <c r="AJ97" s="274">
        <f>SUM(AF97:AI97)</f>
        <v>18531.387679087049</v>
      </c>
      <c r="AK97" s="67">
        <f>AF97*(1+AK99)</f>
        <v>4507.1255397788473</v>
      </c>
      <c r="AL97" s="67">
        <f>AG97*(1+AL99)</f>
        <v>4469.8950930651727</v>
      </c>
      <c r="AM97" s="67">
        <f t="shared" ref="AM97" si="464">AH97*(1+AM99)</f>
        <v>4828.8614510573425</v>
      </c>
      <c r="AN97" s="67">
        <f t="shared" ref="AN97" si="465">AI97*(1+AN99)</f>
        <v>5188.5161105865218</v>
      </c>
      <c r="AO97" s="274">
        <f>SUM(AK97:AN97)</f>
        <v>18994.398194487883</v>
      </c>
      <c r="AP97" s="67">
        <f>AK97*(1+AP99)</f>
        <v>4792.5860978857045</v>
      </c>
      <c r="AQ97" s="67">
        <f>AL97*(1+AQ99)</f>
        <v>4735.6177866840544</v>
      </c>
      <c r="AR97" s="67">
        <f t="shared" ref="AR97" si="466">AM97*(1+AR99)</f>
        <v>5123.8856762543837</v>
      </c>
      <c r="AS97" s="67">
        <f t="shared" ref="AS97" si="467">AN97*(1+AS99)</f>
        <v>5528.7945128459751</v>
      </c>
      <c r="AT97" s="274">
        <f>SUM(AP97:AS97)</f>
        <v>20180.884073670117</v>
      </c>
    </row>
    <row r="98" spans="1:54" s="38" customFormat="1" hidden="1" x14ac:dyDescent="0.25">
      <c r="A98" s="38" t="s">
        <v>15</v>
      </c>
      <c r="B98" s="30"/>
      <c r="C98" s="30"/>
      <c r="D98" s="30"/>
      <c r="E98" s="30" t="e">
        <f>#REF!*(1+E99)</f>
        <v>#REF!</v>
      </c>
      <c r="F98" s="7" t="e">
        <f>#REF!*(1+F99)</f>
        <v>#REF!</v>
      </c>
      <c r="G98" s="30">
        <f t="shared" ref="G98:N98" si="468">B97*(1+G99)</f>
        <v>3444.8160000000003</v>
      </c>
      <c r="H98" s="30">
        <f t="shared" ref="H98:M98" si="469">C97*(1+H99)</f>
        <v>4120.6439999999993</v>
      </c>
      <c r="I98" s="30">
        <f t="shared" si="469"/>
        <v>3964.9279999999999</v>
      </c>
      <c r="J98" s="30">
        <f t="shared" si="469"/>
        <v>4493.6099999999997</v>
      </c>
      <c r="K98" s="7">
        <f t="shared" si="469"/>
        <v>16924.170000000002</v>
      </c>
      <c r="L98" s="30">
        <f t="shared" si="469"/>
        <v>3908.8520000000003</v>
      </c>
      <c r="M98" s="30">
        <f t="shared" si="469"/>
        <v>3780.3240000000001</v>
      </c>
      <c r="N98" s="30">
        <f t="shared" si="468"/>
        <v>3667.625</v>
      </c>
      <c r="O98" s="30">
        <f>J97*(1+O99)</f>
        <v>4412.1260000000002</v>
      </c>
      <c r="P98" s="7">
        <f>K97*(1+P99)</f>
        <v>17159.921999999999</v>
      </c>
      <c r="Q98" s="30">
        <f>L97*(1+Q99)</f>
        <v>3972.8999999999996</v>
      </c>
      <c r="R98" s="30"/>
      <c r="S98" s="67"/>
      <c r="T98" s="67"/>
      <c r="U98" s="69"/>
      <c r="V98" s="67"/>
      <c r="W98" s="67"/>
      <c r="X98" s="67"/>
      <c r="Y98" s="67"/>
      <c r="Z98" s="69"/>
      <c r="AA98" s="67"/>
      <c r="AB98" s="67"/>
      <c r="AC98" s="67"/>
      <c r="AD98" s="67"/>
      <c r="AE98" s="69"/>
      <c r="AF98" s="67"/>
      <c r="AG98" s="67"/>
      <c r="AH98" s="67"/>
      <c r="AI98" s="67"/>
      <c r="AJ98" s="69"/>
      <c r="AK98" s="67"/>
      <c r="AL98" s="67"/>
      <c r="AM98" s="67"/>
      <c r="AN98" s="67"/>
      <c r="AO98" s="69"/>
      <c r="AP98" s="67"/>
      <c r="AQ98" s="67"/>
      <c r="AR98" s="67"/>
      <c r="AS98" s="67"/>
      <c r="AT98" s="69"/>
    </row>
    <row r="99" spans="1:54" s="116" customFormat="1" x14ac:dyDescent="0.25">
      <c r="A99" s="116" t="s">
        <v>7</v>
      </c>
      <c r="B99" s="123">
        <f>B100+B106</f>
        <v>-0.13700000000000001</v>
      </c>
      <c r="C99" s="123">
        <f>C100+C106</f>
        <v>-0.111</v>
      </c>
      <c r="D99" s="123">
        <f>D100+D106</f>
        <v>0.20800000000000002</v>
      </c>
      <c r="E99" s="123">
        <f>E100+E106</f>
        <v>0.22499999999999998</v>
      </c>
      <c r="F99" s="126">
        <v>3.5999999999999997E-2</v>
      </c>
      <c r="G99" s="123">
        <f t="shared" ref="G99:O99" si="470">G100+G106</f>
        <v>3.2000000000000001E-2</v>
      </c>
      <c r="H99" s="123">
        <f t="shared" si="470"/>
        <v>0.17799999999999999</v>
      </c>
      <c r="I99" s="123">
        <f t="shared" si="470"/>
        <v>2.3999999999999994E-2</v>
      </c>
      <c r="J99" s="123">
        <f t="shared" si="470"/>
        <v>-1.0000000000000002E-2</v>
      </c>
      <c r="K99" s="126">
        <f t="shared" si="470"/>
        <v>0.11</v>
      </c>
      <c r="L99" s="123">
        <f t="shared" si="470"/>
        <v>-0.10100000000000001</v>
      </c>
      <c r="M99" s="123">
        <f t="shared" si="470"/>
        <v>-8.2000000000000003E-2</v>
      </c>
      <c r="N99" s="123">
        <f t="shared" si="470"/>
        <v>-7.4999999999999997E-2</v>
      </c>
      <c r="O99" s="123">
        <f t="shared" si="470"/>
        <v>-1.7999999999999988E-2</v>
      </c>
      <c r="P99" s="126">
        <f t="shared" ref="P99:Q99" si="471">P100+P106</f>
        <v>1.3999999999999999E-2</v>
      </c>
      <c r="Q99" s="44">
        <f t="shared" si="471"/>
        <v>2.5000000000000001E-2</v>
      </c>
      <c r="R99" s="44">
        <f>R100+R106</f>
        <v>6.1666666666666675E-2</v>
      </c>
      <c r="S99" s="123">
        <f t="shared" ref="S99:T99" si="472">S100+S106</f>
        <v>6.183333333333333E-2</v>
      </c>
      <c r="T99" s="123">
        <f t="shared" si="472"/>
        <v>6.8666666666666668E-2</v>
      </c>
      <c r="U99" s="120"/>
      <c r="V99" s="123">
        <f>V100+V106</f>
        <v>3.0166666666666661E-2</v>
      </c>
      <c r="W99" s="123">
        <f>W100+W106</f>
        <v>3.0555555555555551E-2</v>
      </c>
      <c r="X99" s="123">
        <f t="shared" ref="X99:Y99" si="473">X100+X106</f>
        <v>3.3444444444444443E-2</v>
      </c>
      <c r="Y99" s="123">
        <f t="shared" si="473"/>
        <v>3.5555555555555556E-2</v>
      </c>
      <c r="Z99" s="120"/>
      <c r="AA99" s="123">
        <f>AA100+AA106</f>
        <v>3.755555555555555E-2</v>
      </c>
      <c r="AB99" s="123">
        <f>AB100+AB106</f>
        <v>3.3407407407407413E-2</v>
      </c>
      <c r="AC99" s="123">
        <f t="shared" ref="AC99" si="474">AC100+AC106</f>
        <v>3.4259259259259253E-2</v>
      </c>
      <c r="AD99" s="123">
        <f t="shared" ref="AD99" si="475">AD100+AD106</f>
        <v>4.1074074074074075E-2</v>
      </c>
      <c r="AE99" s="120"/>
      <c r="AF99" s="123">
        <f>AF100+AF106</f>
        <v>3.4907407407407408E-2</v>
      </c>
      <c r="AG99" s="123">
        <f>AG100+AG106</f>
        <v>3.0209876543209876E-2</v>
      </c>
      <c r="AH99" s="123">
        <f t="shared" ref="AH99" si="476">AH100+AH106</f>
        <v>4.2345679012345684E-2</v>
      </c>
      <c r="AI99" s="123">
        <f t="shared" ref="AI99" si="477">AI100+AI106</f>
        <v>3.509876543209877E-2</v>
      </c>
      <c r="AJ99" s="120"/>
      <c r="AK99" s="123">
        <f>AK100+AK106</f>
        <v>2.5043209876543203E-2</v>
      </c>
      <c r="AL99" s="123">
        <f>AL100+AL106</f>
        <v>2.222427983539095E-2</v>
      </c>
      <c r="AM99" s="123">
        <f t="shared" ref="AM99" si="478">AM100+AM106</f>
        <v>2.4183127572016461E-2</v>
      </c>
      <c r="AN99" s="123">
        <f t="shared" ref="AN99" si="479">AN100+AN106</f>
        <v>2.8076131687242802E-2</v>
      </c>
      <c r="AO99" s="120"/>
      <c r="AP99" s="123">
        <f>AP100+AP106</f>
        <v>6.3335390946502063E-2</v>
      </c>
      <c r="AQ99" s="123">
        <f>AQ100+AQ106</f>
        <v>5.9447187928669418E-2</v>
      </c>
      <c r="AR99" s="123">
        <f t="shared" ref="AR99" si="480">AR100+AR106</f>
        <v>6.1096021947873808E-2</v>
      </c>
      <c r="AS99" s="123">
        <f t="shared" ref="AS99" si="481">AS100+AS106</f>
        <v>6.5582990397805227E-2</v>
      </c>
      <c r="AT99" s="120"/>
    </row>
    <row r="100" spans="1:54" x14ac:dyDescent="0.25">
      <c r="A100" s="14" t="s">
        <v>14</v>
      </c>
      <c r="B100" s="44">
        <v>-0.154</v>
      </c>
      <c r="C100" s="44">
        <v>-0.17899999999999999</v>
      </c>
      <c r="D100" s="44">
        <v>0.13700000000000001</v>
      </c>
      <c r="E100" s="44">
        <v>0.15</v>
      </c>
      <c r="F100" s="10"/>
      <c r="G100" s="44">
        <v>1E-3</v>
      </c>
      <c r="H100" s="44">
        <v>0.14000000000000001</v>
      </c>
      <c r="I100" s="44">
        <v>6.0000000000000001E-3</v>
      </c>
      <c r="J100" s="45">
        <v>-4.3999999999999997E-2</v>
      </c>
      <c r="K100" s="11">
        <v>7.9000000000000001E-2</v>
      </c>
      <c r="L100" s="44">
        <v>-0.124</v>
      </c>
      <c r="M100" s="44">
        <v>-0.11700000000000001</v>
      </c>
      <c r="N100" s="44">
        <v>-0.125</v>
      </c>
      <c r="O100" s="44">
        <v>-8.5999999999999993E-2</v>
      </c>
      <c r="P100" s="10">
        <v>1E-3</v>
      </c>
      <c r="Q100" s="44">
        <v>-3.3000000000000002E-2</v>
      </c>
      <c r="R100" s="44">
        <v>0.02</v>
      </c>
      <c r="S100" s="73">
        <v>1.4999999999999999E-2</v>
      </c>
      <c r="T100" s="73">
        <v>0.02</v>
      </c>
      <c r="V100" s="73">
        <v>0.01</v>
      </c>
      <c r="W100" s="73">
        <v>0.01</v>
      </c>
      <c r="X100" s="73">
        <v>0.01</v>
      </c>
      <c r="Y100" s="73">
        <v>0.01</v>
      </c>
      <c r="AA100" s="73">
        <v>1.4999999999999999E-2</v>
      </c>
      <c r="AB100" s="73">
        <v>1.4999999999999999E-2</v>
      </c>
      <c r="AC100" s="73">
        <v>1.4999999999999999E-2</v>
      </c>
      <c r="AD100" s="73">
        <v>1.4999999999999999E-2</v>
      </c>
      <c r="AF100" s="73">
        <v>0.01</v>
      </c>
      <c r="AG100" s="73">
        <v>0.01</v>
      </c>
      <c r="AH100" s="73">
        <v>0.01</v>
      </c>
      <c r="AI100" s="73">
        <v>0.01</v>
      </c>
      <c r="AK100" s="73">
        <v>0.01</v>
      </c>
      <c r="AL100" s="73">
        <v>0.01</v>
      </c>
      <c r="AM100" s="73">
        <v>0.01</v>
      </c>
      <c r="AN100" s="73">
        <v>0.01</v>
      </c>
      <c r="AP100" s="73">
        <v>0.02</v>
      </c>
      <c r="AQ100" s="73">
        <v>0.02</v>
      </c>
      <c r="AR100" s="73">
        <v>0.02</v>
      </c>
      <c r="AS100" s="73">
        <v>0.02</v>
      </c>
      <c r="AT100" s="69"/>
      <c r="AY100" s="361"/>
      <c r="AZ100" s="361"/>
      <c r="BA100" s="361"/>
      <c r="BB100" s="361"/>
    </row>
    <row r="101" spans="1:54" hidden="1" x14ac:dyDescent="0.25">
      <c r="A101" s="14" t="s">
        <v>8</v>
      </c>
      <c r="B101" s="44">
        <v>8.3000000000000004E-2</v>
      </c>
      <c r="C101" s="44">
        <v>0.11799999999999999</v>
      </c>
      <c r="D101" s="44">
        <v>0.13200000000000001</v>
      </c>
      <c r="E101" s="44">
        <v>0.123</v>
      </c>
      <c r="F101" s="10">
        <v>0.114</v>
      </c>
      <c r="G101" s="44">
        <v>7.6999999999999999E-2</v>
      </c>
      <c r="H101" s="44">
        <v>6.4000000000000001E-2</v>
      </c>
      <c r="I101" s="44">
        <v>6.0999999999999999E-2</v>
      </c>
      <c r="J101" s="44">
        <v>5.5E-2</v>
      </c>
      <c r="K101" s="10">
        <v>6.4000000000000001E-2</v>
      </c>
      <c r="L101" s="44">
        <v>4.9000000000000002E-2</v>
      </c>
      <c r="M101" s="44">
        <v>9.7000000000000003E-2</v>
      </c>
      <c r="N101" s="44">
        <v>0.104</v>
      </c>
      <c r="O101" s="44">
        <v>0.104</v>
      </c>
      <c r="P101" s="10">
        <v>1.2E-2</v>
      </c>
      <c r="Q101" s="44">
        <v>0.114</v>
      </c>
      <c r="R101" s="44"/>
      <c r="S101" s="73"/>
      <c r="T101" s="73"/>
      <c r="V101" s="73"/>
      <c r="W101" s="73"/>
      <c r="X101" s="73"/>
      <c r="Y101" s="73"/>
      <c r="AA101" s="73"/>
      <c r="AB101" s="73"/>
      <c r="AC101" s="73"/>
      <c r="AD101" s="73"/>
      <c r="AF101" s="73"/>
      <c r="AG101" s="73"/>
      <c r="AH101" s="73"/>
      <c r="AI101" s="73"/>
      <c r="AK101" s="73"/>
      <c r="AL101" s="73"/>
      <c r="AM101" s="73"/>
      <c r="AN101" s="73"/>
      <c r="AP101" s="73"/>
      <c r="AQ101" s="73"/>
      <c r="AR101" s="73"/>
      <c r="AS101" s="73"/>
      <c r="AT101" s="69"/>
    </row>
    <row r="102" spans="1:54" x14ac:dyDescent="0.25">
      <c r="A102" s="14" t="s">
        <v>11</v>
      </c>
      <c r="B102" s="44">
        <v>3.6999999999999998E-2</v>
      </c>
      <c r="C102" s="44">
        <v>7.0999999999999994E-2</v>
      </c>
      <c r="D102" s="44">
        <v>8.2000000000000003E-2</v>
      </c>
      <c r="E102" s="44">
        <v>7.4999999999999997E-2</v>
      </c>
      <c r="F102" s="10">
        <v>6.6000000000000003E-2</v>
      </c>
      <c r="G102" s="44">
        <v>4.5999999999999999E-2</v>
      </c>
      <c r="H102" s="44">
        <v>3.6999999999999998E-2</v>
      </c>
      <c r="I102" s="45">
        <v>0.02</v>
      </c>
      <c r="J102" s="44">
        <v>2.4E-2</v>
      </c>
      <c r="K102" s="10">
        <v>3.1E-2</v>
      </c>
      <c r="L102" s="44">
        <v>1.9E-2</v>
      </c>
      <c r="M102" s="44">
        <v>4.3999999999999997E-2</v>
      </c>
      <c r="N102" s="44">
        <v>5.5E-2</v>
      </c>
      <c r="O102" s="45">
        <v>0.06</v>
      </c>
      <c r="P102" s="10">
        <v>1.2999999999999999E-2</v>
      </c>
      <c r="Q102" s="44">
        <v>0.06</v>
      </c>
      <c r="R102" s="44">
        <v>3.5000000000000003E-2</v>
      </c>
      <c r="S102" s="73">
        <v>3.7499999999999999E-2</v>
      </c>
      <c r="T102" s="73">
        <v>0.04</v>
      </c>
      <c r="V102" s="73">
        <v>1.4999999999999999E-2</v>
      </c>
      <c r="W102" s="73">
        <v>1.4999999999999999E-2</v>
      </c>
      <c r="X102" s="73">
        <v>1.4999999999999999E-2</v>
      </c>
      <c r="Y102" s="73">
        <v>1.4999999999999999E-2</v>
      </c>
      <c r="AA102" s="73">
        <v>1.4999999999999999E-2</v>
      </c>
      <c r="AB102" s="73">
        <v>1.4999999999999999E-2</v>
      </c>
      <c r="AC102" s="73">
        <v>1.4999999999999999E-2</v>
      </c>
      <c r="AD102" s="73">
        <v>1.4999999999999999E-2</v>
      </c>
      <c r="AF102" s="73">
        <v>1.4999999999999999E-2</v>
      </c>
      <c r="AG102" s="73">
        <v>1.4999999999999999E-2</v>
      </c>
      <c r="AH102" s="73">
        <v>2.5000000000000001E-2</v>
      </c>
      <c r="AI102" s="73">
        <v>1.4999999999999999E-2</v>
      </c>
      <c r="AK102" s="73">
        <v>7.4999999999999997E-3</v>
      </c>
      <c r="AL102" s="73">
        <v>7.4999999999999997E-3</v>
      </c>
      <c r="AM102" s="73">
        <v>7.4999999999999997E-3</v>
      </c>
      <c r="AN102" s="73">
        <v>7.4999999999999997E-3</v>
      </c>
      <c r="AP102" s="73">
        <v>3.5000000000000003E-2</v>
      </c>
      <c r="AQ102" s="73">
        <v>3.5000000000000003E-2</v>
      </c>
      <c r="AR102" s="73">
        <v>3.5000000000000003E-2</v>
      </c>
      <c r="AS102" s="73">
        <v>3.5000000000000003E-2</v>
      </c>
      <c r="AT102" s="69"/>
    </row>
    <row r="103" spans="1:54" x14ac:dyDescent="0.25">
      <c r="A103" s="14" t="s">
        <v>9</v>
      </c>
      <c r="B103" s="44">
        <v>1E-3</v>
      </c>
      <c r="C103" s="44">
        <v>1.2E-2</v>
      </c>
      <c r="D103" s="44">
        <v>1.2999999999999999E-2</v>
      </c>
      <c r="E103" s="44">
        <v>0.01</v>
      </c>
      <c r="F103" s="10">
        <f t="shared" ref="F103" si="482">F91</f>
        <v>0</v>
      </c>
      <c r="G103" s="44">
        <v>1.6E-2</v>
      </c>
      <c r="H103" s="44">
        <v>1.2999999999999999E-2</v>
      </c>
      <c r="I103" s="44">
        <v>2.1999999999999999E-2</v>
      </c>
      <c r="J103" s="44">
        <v>0.02</v>
      </c>
      <c r="K103" s="10">
        <v>0</v>
      </c>
      <c r="L103" s="44">
        <v>5.4999999999999997E-3</v>
      </c>
      <c r="M103" s="44">
        <v>0.01</v>
      </c>
      <c r="N103" s="44">
        <v>3.0000000000000001E-3</v>
      </c>
      <c r="O103" s="44">
        <v>1.9E-2</v>
      </c>
      <c r="P103" s="10">
        <v>0</v>
      </c>
      <c r="Q103" s="44">
        <v>0.02</v>
      </c>
      <c r="R103" s="44">
        <f>AVERAGE(C103,H103,M103)</f>
        <v>1.1666666666666667E-2</v>
      </c>
      <c r="S103" s="73">
        <f t="shared" ref="S103" si="483">AVERAGE(D103,I103,N103)</f>
        <v>1.2666666666666666E-2</v>
      </c>
      <c r="T103" s="73">
        <f>AVERAGE(E103,J103,O103)</f>
        <v>1.6333333333333335E-2</v>
      </c>
      <c r="V103" s="73">
        <f>AVERAGE(G103,L103,Q103)</f>
        <v>1.3833333333333331E-2</v>
      </c>
      <c r="W103" s="73">
        <f>AVERAGE(H103,M103,R103)</f>
        <v>1.1555555555555555E-2</v>
      </c>
      <c r="X103" s="73">
        <f t="shared" ref="X103" si="484">AVERAGE(I103,N103,S103)</f>
        <v>1.2555555555555556E-2</v>
      </c>
      <c r="Y103" s="73">
        <f t="shared" ref="Y103" si="485">AVERAGE(J103,O103,T103)</f>
        <v>1.8444444444444444E-2</v>
      </c>
      <c r="AA103" s="73">
        <f>AVERAGE(L103,Q103,V103)</f>
        <v>1.311111111111111E-2</v>
      </c>
      <c r="AB103" s="73">
        <f>AVERAGE(M103,R103,W103)</f>
        <v>1.1074074074074075E-2</v>
      </c>
      <c r="AC103" s="73">
        <f t="shared" ref="AC103" si="486">AVERAGE(N103,S103,X103)</f>
        <v>9.4074074074074077E-3</v>
      </c>
      <c r="AD103" s="73">
        <f t="shared" ref="AD103" si="487">AVERAGE(O103,T103,Y103)</f>
        <v>1.7925925925925925E-2</v>
      </c>
      <c r="AF103" s="73">
        <f>AVERAGE(Q103,V103,AA103)</f>
        <v>1.5648148148148147E-2</v>
      </c>
      <c r="AG103" s="73">
        <f>AVERAGE(R103,W103,AB103)</f>
        <v>1.14320987654321E-2</v>
      </c>
      <c r="AH103" s="73">
        <f t="shared" ref="AH103" si="488">AVERAGE(S103,X103,AC103)</f>
        <v>1.154320987654321E-2</v>
      </c>
      <c r="AI103" s="73">
        <f t="shared" ref="AI103" si="489">AVERAGE(T103,Y103,AD103)</f>
        <v>1.7567901234567904E-2</v>
      </c>
      <c r="AK103" s="73">
        <f>AVERAGE(V103,AA103,AF103)</f>
        <v>1.4197530864197528E-2</v>
      </c>
      <c r="AL103" s="73">
        <f>AVERAGE(W103,AB103,AG103)</f>
        <v>1.1353909465020578E-2</v>
      </c>
      <c r="AM103" s="73">
        <f t="shared" ref="AM103" si="490">AVERAGE(X103,AC103,AH103)</f>
        <v>1.1168724279835391E-2</v>
      </c>
      <c r="AN103" s="73">
        <f t="shared" ref="AN103" si="491">AVERAGE(Y103,AD103,AI103)</f>
        <v>1.797942386831276E-2</v>
      </c>
      <c r="AP103" s="73">
        <f>AVERAGE(AA103,AF103,AK103)</f>
        <v>1.4318930041152261E-2</v>
      </c>
      <c r="AQ103" s="73">
        <f>AVERAGE(AB103,AG103,AL103)</f>
        <v>1.1286694101508917E-2</v>
      </c>
      <c r="AR103" s="73">
        <f t="shared" ref="AR103" si="492">AVERAGE(AC103,AH103,AM103)</f>
        <v>1.0706447187928668E-2</v>
      </c>
      <c r="AS103" s="73">
        <f t="shared" ref="AS103" si="493">AVERAGE(AD103,AI103,AN103)</f>
        <v>1.78244170096022E-2</v>
      </c>
      <c r="AT103" s="69"/>
    </row>
    <row r="104" spans="1:54" x14ac:dyDescent="0.25">
      <c r="A104" s="14" t="s">
        <v>12</v>
      </c>
      <c r="B104" s="44">
        <f t="shared" ref="B104:P104" si="494">B102+B103</f>
        <v>3.7999999999999999E-2</v>
      </c>
      <c r="C104" s="44">
        <f t="shared" si="494"/>
        <v>8.299999999999999E-2</v>
      </c>
      <c r="D104" s="44">
        <f t="shared" si="494"/>
        <v>9.5000000000000001E-2</v>
      </c>
      <c r="E104" s="44">
        <f t="shared" si="494"/>
        <v>8.4999999999999992E-2</v>
      </c>
      <c r="F104" s="10">
        <f t="shared" si="494"/>
        <v>6.6000000000000003E-2</v>
      </c>
      <c r="G104" s="44">
        <f t="shared" si="494"/>
        <v>6.2E-2</v>
      </c>
      <c r="H104" s="44">
        <f t="shared" si="494"/>
        <v>4.9999999999999996E-2</v>
      </c>
      <c r="I104" s="44">
        <f t="shared" si="494"/>
        <v>4.1999999999999996E-2</v>
      </c>
      <c r="J104" s="44">
        <f t="shared" si="494"/>
        <v>4.3999999999999997E-2</v>
      </c>
      <c r="K104" s="10">
        <f t="shared" si="494"/>
        <v>3.1E-2</v>
      </c>
      <c r="L104" s="44">
        <f t="shared" si="494"/>
        <v>2.4500000000000001E-2</v>
      </c>
      <c r="M104" s="44">
        <f t="shared" si="494"/>
        <v>5.3999999999999999E-2</v>
      </c>
      <c r="N104" s="44">
        <f t="shared" si="494"/>
        <v>5.8000000000000003E-2</v>
      </c>
      <c r="O104" s="44">
        <f t="shared" si="494"/>
        <v>7.9000000000000001E-2</v>
      </c>
      <c r="P104" s="10">
        <f t="shared" si="494"/>
        <v>1.2999999999999999E-2</v>
      </c>
      <c r="Q104" s="44">
        <f>Q102+Q103</f>
        <v>0.08</v>
      </c>
      <c r="R104" s="44">
        <f>R103+R102</f>
        <v>4.6666666666666669E-2</v>
      </c>
      <c r="S104" s="73">
        <f t="shared" ref="S104:T104" si="495">S103+S102</f>
        <v>5.0166666666666665E-2</v>
      </c>
      <c r="T104" s="73">
        <f t="shared" si="495"/>
        <v>5.6333333333333332E-2</v>
      </c>
      <c r="V104" s="73">
        <f>V103+V102</f>
        <v>2.8833333333333329E-2</v>
      </c>
      <c r="W104" s="73">
        <f>W103+W102</f>
        <v>2.6555555555555554E-2</v>
      </c>
      <c r="X104" s="73">
        <f t="shared" ref="X104:Y104" si="496">X103+X102</f>
        <v>2.7555555555555555E-2</v>
      </c>
      <c r="Y104" s="73">
        <f t="shared" si="496"/>
        <v>3.3444444444444443E-2</v>
      </c>
      <c r="AA104" s="73">
        <f>AA103+AA102</f>
        <v>2.8111111111111108E-2</v>
      </c>
      <c r="AB104" s="73">
        <f>AB103+AB102</f>
        <v>2.6074074074074076E-2</v>
      </c>
      <c r="AC104" s="73">
        <f t="shared" ref="AC104" si="497">AC103+AC102</f>
        <v>2.4407407407407405E-2</v>
      </c>
      <c r="AD104" s="73">
        <f t="shared" ref="AD104" si="498">AD103+AD102</f>
        <v>3.2925925925925928E-2</v>
      </c>
      <c r="AF104" s="73">
        <f>AF103+AF102</f>
        <v>3.0648148148148147E-2</v>
      </c>
      <c r="AG104" s="73">
        <f>AG103+AG102</f>
        <v>2.6432098765432101E-2</v>
      </c>
      <c r="AH104" s="73">
        <f t="shared" ref="AH104" si="499">AH103+AH102</f>
        <v>3.6543209876543213E-2</v>
      </c>
      <c r="AI104" s="73">
        <f t="shared" ref="AI104" si="500">AI103+AI102</f>
        <v>3.2567901234567903E-2</v>
      </c>
      <c r="AK104" s="73">
        <f>AK103+AK102</f>
        <v>2.1697530864197526E-2</v>
      </c>
      <c r="AL104" s="73">
        <f>AL103+AL102</f>
        <v>1.885390946502058E-2</v>
      </c>
      <c r="AM104" s="73">
        <f t="shared" ref="AM104" si="501">AM103+AM102</f>
        <v>1.8668724279835389E-2</v>
      </c>
      <c r="AN104" s="73">
        <f t="shared" ref="AN104" si="502">AN103+AN102</f>
        <v>2.547942386831276E-2</v>
      </c>
      <c r="AP104" s="73">
        <f>AP103+AP102</f>
        <v>4.9318930041152266E-2</v>
      </c>
      <c r="AQ104" s="73">
        <f>AQ103+AQ102</f>
        <v>4.6286694101508923E-2</v>
      </c>
      <c r="AR104" s="73">
        <f t="shared" ref="AR104" si="503">AR103+AR102</f>
        <v>4.570644718792867E-2</v>
      </c>
      <c r="AS104" s="73">
        <f t="shared" ref="AS104" si="504">AS103+AS102</f>
        <v>5.2824417009602206E-2</v>
      </c>
      <c r="AT104" s="69"/>
    </row>
    <row r="105" spans="1:54" x14ac:dyDescent="0.25">
      <c r="A105" s="14" t="s">
        <v>10</v>
      </c>
      <c r="B105" s="44">
        <v>-2.1000000000000001E-2</v>
      </c>
      <c r="C105" s="44">
        <v>-1.4999999999999999E-2</v>
      </c>
      <c r="D105" s="44">
        <v>-2.4E-2</v>
      </c>
      <c r="E105" s="44">
        <v>-0.01</v>
      </c>
      <c r="F105" s="10">
        <f t="shared" ref="F105" si="505">F93</f>
        <v>0</v>
      </c>
      <c r="G105" s="44">
        <v>-3.1E-2</v>
      </c>
      <c r="H105" s="44">
        <v>-1.2E-2</v>
      </c>
      <c r="I105" s="44">
        <v>-2.4E-2</v>
      </c>
      <c r="J105" s="44">
        <v>-0.01</v>
      </c>
      <c r="K105" s="10">
        <v>0</v>
      </c>
      <c r="L105" s="44">
        <v>-1.5E-3</v>
      </c>
      <c r="M105" s="44">
        <v>-1.9E-2</v>
      </c>
      <c r="N105" s="44">
        <v>-8.0000000000000002E-3</v>
      </c>
      <c r="O105" s="44">
        <v>-1.0999999999999999E-2</v>
      </c>
      <c r="P105" s="10">
        <v>0</v>
      </c>
      <c r="Q105" s="44">
        <v>-2.1999999999999999E-2</v>
      </c>
      <c r="R105" s="44">
        <f>R19</f>
        <v>-5.0000000000000001E-3</v>
      </c>
      <c r="S105" s="73">
        <f t="shared" ref="S105:T105" si="506">S19</f>
        <v>-3.333333333333334E-3</v>
      </c>
      <c r="T105" s="73">
        <f t="shared" si="506"/>
        <v>-7.6666666666666662E-3</v>
      </c>
      <c r="V105" s="73">
        <f>V19</f>
        <v>-8.6666666666666663E-3</v>
      </c>
      <c r="W105" s="73">
        <f>W19</f>
        <v>-6.000000000000001E-3</v>
      </c>
      <c r="X105" s="73">
        <f t="shared" ref="X105:Y105" si="507">X19</f>
        <v>-4.1111111111111114E-3</v>
      </c>
      <c r="Y105" s="73">
        <f t="shared" si="507"/>
        <v>-7.888888888888888E-3</v>
      </c>
      <c r="AA105" s="73">
        <f>AA19</f>
        <v>-5.5555555555555558E-3</v>
      </c>
      <c r="AB105" s="73">
        <f>AB19</f>
        <v>-7.6666666666666662E-3</v>
      </c>
      <c r="AC105" s="73">
        <f t="shared" ref="AC105:AD105" si="508">AC19</f>
        <v>-5.1481481481481482E-3</v>
      </c>
      <c r="AD105" s="73">
        <f t="shared" si="508"/>
        <v>-6.851851851851852E-3</v>
      </c>
      <c r="AF105" s="73">
        <f>AF19</f>
        <v>-5.7407407407407407E-3</v>
      </c>
      <c r="AG105" s="73">
        <f>AG19</f>
        <v>-6.2222222222222227E-3</v>
      </c>
      <c r="AH105" s="73">
        <f t="shared" ref="AH105:AI105" si="509">AH19</f>
        <v>-4.1975308641975309E-3</v>
      </c>
      <c r="AI105" s="73">
        <f t="shared" si="509"/>
        <v>-7.4691358024691354E-3</v>
      </c>
      <c r="AK105" s="73">
        <f>AK19</f>
        <v>-6.6543209876543212E-3</v>
      </c>
      <c r="AL105" s="73">
        <f>AL19</f>
        <v>-6.6296296296296303E-3</v>
      </c>
      <c r="AM105" s="73">
        <f t="shared" ref="AM105:AN105" si="510">AM19</f>
        <v>-4.4855967078189299E-3</v>
      </c>
      <c r="AN105" s="73">
        <f t="shared" si="510"/>
        <v>-7.4032921810699591E-3</v>
      </c>
      <c r="AP105" s="73">
        <f>AP19</f>
        <v>-5.9835390946502065E-3</v>
      </c>
      <c r="AQ105" s="73">
        <f>AQ19</f>
        <v>-6.8395061728395061E-3</v>
      </c>
      <c r="AR105" s="73">
        <f t="shared" ref="AR105:AS105" si="511">AR19</f>
        <v>-4.6104252400548697E-3</v>
      </c>
      <c r="AS105" s="73">
        <f t="shared" si="511"/>
        <v>-7.2414266117969825E-3</v>
      </c>
      <c r="AT105" s="69"/>
    </row>
    <row r="106" spans="1:54" x14ac:dyDescent="0.25">
      <c r="A106" s="14" t="s">
        <v>13</v>
      </c>
      <c r="B106" s="44">
        <f t="shared" ref="B106:P106" si="512">B104+B105</f>
        <v>1.6999999999999998E-2</v>
      </c>
      <c r="C106" s="44">
        <f t="shared" si="512"/>
        <v>6.7999999999999991E-2</v>
      </c>
      <c r="D106" s="44">
        <f t="shared" si="512"/>
        <v>7.1000000000000008E-2</v>
      </c>
      <c r="E106" s="44">
        <f t="shared" si="512"/>
        <v>7.4999999999999997E-2</v>
      </c>
      <c r="F106" s="10">
        <f t="shared" si="512"/>
        <v>6.6000000000000003E-2</v>
      </c>
      <c r="G106" s="44">
        <f t="shared" si="512"/>
        <v>3.1E-2</v>
      </c>
      <c r="H106" s="44">
        <f t="shared" si="512"/>
        <v>3.7999999999999992E-2</v>
      </c>
      <c r="I106" s="44">
        <f t="shared" si="512"/>
        <v>1.7999999999999995E-2</v>
      </c>
      <c r="J106" s="44">
        <f t="shared" si="512"/>
        <v>3.3999999999999996E-2</v>
      </c>
      <c r="K106" s="10">
        <f t="shared" si="512"/>
        <v>3.1E-2</v>
      </c>
      <c r="L106" s="44">
        <f t="shared" si="512"/>
        <v>2.3E-2</v>
      </c>
      <c r="M106" s="44">
        <f t="shared" si="512"/>
        <v>3.5000000000000003E-2</v>
      </c>
      <c r="N106" s="44">
        <f t="shared" si="512"/>
        <v>0.05</v>
      </c>
      <c r="O106" s="44">
        <f t="shared" si="512"/>
        <v>6.8000000000000005E-2</v>
      </c>
      <c r="P106" s="10">
        <f t="shared" si="512"/>
        <v>1.2999999999999999E-2</v>
      </c>
      <c r="Q106" s="44">
        <f>Q104+Q105</f>
        <v>5.8000000000000003E-2</v>
      </c>
      <c r="R106" s="44">
        <f>R105+R104</f>
        <v>4.1666666666666671E-2</v>
      </c>
      <c r="S106" s="73">
        <f t="shared" ref="S106:T106" si="513">S105+S104</f>
        <v>4.6833333333333331E-2</v>
      </c>
      <c r="T106" s="73">
        <f t="shared" si="513"/>
        <v>4.8666666666666664E-2</v>
      </c>
      <c r="V106" s="73">
        <f>V105+V104</f>
        <v>2.0166666666666663E-2</v>
      </c>
      <c r="W106" s="73">
        <f>W105+W104</f>
        <v>2.0555555555555553E-2</v>
      </c>
      <c r="X106" s="73">
        <f t="shared" ref="X106:Y106" si="514">X105+X104</f>
        <v>2.3444444444444445E-2</v>
      </c>
      <c r="Y106" s="73">
        <f t="shared" si="514"/>
        <v>2.5555555555555554E-2</v>
      </c>
      <c r="AA106" s="73">
        <f>AA105+AA104</f>
        <v>2.2555555555555551E-2</v>
      </c>
      <c r="AB106" s="73">
        <f>AB105+AB104</f>
        <v>1.8407407407407411E-2</v>
      </c>
      <c r="AC106" s="73">
        <f t="shared" ref="AC106" si="515">AC105+AC104</f>
        <v>1.9259259259259257E-2</v>
      </c>
      <c r="AD106" s="73">
        <f t="shared" ref="AD106" si="516">AD105+AD104</f>
        <v>2.6074074074074076E-2</v>
      </c>
      <c r="AF106" s="73">
        <f>AF105+AF104</f>
        <v>2.4907407407407406E-2</v>
      </c>
      <c r="AG106" s="73">
        <f>AG105+AG104</f>
        <v>2.0209876543209878E-2</v>
      </c>
      <c r="AH106" s="73">
        <f t="shared" ref="AH106" si="517">AH105+AH104</f>
        <v>3.2345679012345682E-2</v>
      </c>
      <c r="AI106" s="73">
        <f t="shared" ref="AI106" si="518">AI105+AI104</f>
        <v>2.5098765432098769E-2</v>
      </c>
      <c r="AK106" s="73">
        <f>AK105+AK104</f>
        <v>1.5043209876543204E-2</v>
      </c>
      <c r="AL106" s="73">
        <f>AL105+AL104</f>
        <v>1.2224279835390948E-2</v>
      </c>
      <c r="AM106" s="73">
        <f t="shared" ref="AM106" si="519">AM105+AM104</f>
        <v>1.4183127572016459E-2</v>
      </c>
      <c r="AN106" s="73">
        <f t="shared" ref="AN106" si="520">AN105+AN104</f>
        <v>1.80761316872428E-2</v>
      </c>
      <c r="AP106" s="73">
        <f>AP105+AP104</f>
        <v>4.3335390946502059E-2</v>
      </c>
      <c r="AQ106" s="73">
        <f>AQ105+AQ104</f>
        <v>3.9447187928669414E-2</v>
      </c>
      <c r="AR106" s="73">
        <f t="shared" ref="AR106" si="521">AR105+AR104</f>
        <v>4.1096021947873804E-2</v>
      </c>
      <c r="AS106" s="73">
        <f t="shared" ref="AS106" si="522">AS105+AS104</f>
        <v>4.5582990397805223E-2</v>
      </c>
      <c r="AT106" s="69"/>
    </row>
    <row r="108" spans="1:54" x14ac:dyDescent="0.25">
      <c r="Q108" s="41">
        <f>Q97+R97</f>
        <v>7960.4966666666669</v>
      </c>
    </row>
    <row r="109" spans="1:54" x14ac:dyDescent="0.25">
      <c r="A109" s="370" t="s">
        <v>477</v>
      </c>
      <c r="B109" s="130"/>
      <c r="C109" s="130"/>
      <c r="D109" s="130"/>
      <c r="E109" s="130"/>
      <c r="F109" s="372"/>
      <c r="G109" s="130"/>
      <c r="H109" s="130"/>
      <c r="I109" s="130"/>
      <c r="J109" s="130"/>
      <c r="K109" s="372"/>
      <c r="L109" s="130"/>
      <c r="M109" s="130"/>
      <c r="N109" s="130"/>
      <c r="O109" s="130"/>
      <c r="P109" s="372"/>
      <c r="Q109" s="130"/>
      <c r="R109" s="373"/>
      <c r="S109" s="373"/>
      <c r="T109" s="373"/>
      <c r="U109" s="374"/>
      <c r="V109" s="373"/>
      <c r="W109" s="373"/>
      <c r="X109" s="373"/>
      <c r="Y109" s="373"/>
      <c r="Z109" s="374"/>
      <c r="AA109" s="373"/>
      <c r="AB109" s="373"/>
      <c r="AC109" s="373"/>
      <c r="AD109" s="373"/>
      <c r="AE109" s="374"/>
      <c r="AF109" s="373"/>
      <c r="AG109" s="373"/>
      <c r="AH109" s="373"/>
      <c r="AI109" s="373"/>
      <c r="AJ109" s="374"/>
      <c r="AK109" s="373"/>
      <c r="AL109" s="373"/>
      <c r="AM109" s="373"/>
      <c r="AN109" s="373"/>
      <c r="AO109" s="374"/>
      <c r="AP109" s="373"/>
      <c r="AQ109" s="373"/>
      <c r="AR109" s="373"/>
      <c r="AS109" s="373"/>
      <c r="AT109" s="375"/>
    </row>
    <row r="110" spans="1:54" x14ac:dyDescent="0.25">
      <c r="A110" s="133"/>
      <c r="AT110" s="292"/>
    </row>
    <row r="111" spans="1:54" x14ac:dyDescent="0.25">
      <c r="A111" s="133" t="str">
        <f>A5</f>
        <v>France Retail (Total)</v>
      </c>
      <c r="F111" s="371">
        <f>F5/F2</f>
        <v>0.51419960903562123</v>
      </c>
      <c r="G111" s="371">
        <f t="shared" ref="G111:AT111" si="523">G5/G2</f>
        <v>0</v>
      </c>
      <c r="H111" s="371">
        <f t="shared" si="523"/>
        <v>0</v>
      </c>
      <c r="I111" s="371">
        <f t="shared" si="523"/>
        <v>0</v>
      </c>
      <c r="J111" s="371">
        <f t="shared" si="523"/>
        <v>0</v>
      </c>
      <c r="K111" s="371">
        <f t="shared" si="523"/>
        <v>0.49980169746965969</v>
      </c>
      <c r="L111" s="371">
        <f t="shared" si="523"/>
        <v>0</v>
      </c>
      <c r="M111" s="371">
        <f t="shared" si="523"/>
        <v>0</v>
      </c>
      <c r="N111" s="371">
        <f t="shared" si="523"/>
        <v>0</v>
      </c>
      <c r="O111" s="371">
        <f t="shared" si="523"/>
        <v>1.9202175883952857</v>
      </c>
      <c r="P111" s="371">
        <f t="shared" si="523"/>
        <v>0.51904163479401155</v>
      </c>
      <c r="Q111" s="371">
        <f t="shared" si="523"/>
        <v>0</v>
      </c>
      <c r="R111" s="371">
        <f t="shared" si="523"/>
        <v>0.51346719087512893</v>
      </c>
      <c r="S111" s="371">
        <f t="shared" si="523"/>
        <v>0</v>
      </c>
      <c r="T111" s="371">
        <f t="shared" si="523"/>
        <v>0</v>
      </c>
      <c r="U111" s="371">
        <f>U5/U2</f>
        <v>0.50045526526327311</v>
      </c>
      <c r="V111" s="371">
        <f t="shared" si="523"/>
        <v>0.4813174864769984</v>
      </c>
      <c r="W111" s="371">
        <f t="shared" si="523"/>
        <v>0.50684671551608396</v>
      </c>
      <c r="X111" s="371">
        <f t="shared" si="523"/>
        <v>0.50332301682887148</v>
      </c>
      <c r="Y111" s="371">
        <f t="shared" si="523"/>
        <v>0.48420693909626666</v>
      </c>
      <c r="Z111" s="371">
        <f t="shared" si="523"/>
        <v>0.49376793786282669</v>
      </c>
      <c r="AA111" s="371">
        <f t="shared" si="523"/>
        <v>0.47323810633063751</v>
      </c>
      <c r="AB111" s="371">
        <f t="shared" si="523"/>
        <v>0.49893366879078593</v>
      </c>
      <c r="AC111" s="371">
        <f t="shared" si="523"/>
        <v>0.49575197410407207</v>
      </c>
      <c r="AD111" s="371">
        <f t="shared" si="523"/>
        <v>0.4768680190462527</v>
      </c>
      <c r="AE111" s="371">
        <f t="shared" si="523"/>
        <v>0.4860277138739878</v>
      </c>
      <c r="AF111" s="371">
        <f t="shared" si="523"/>
        <v>0.46457562536804536</v>
      </c>
      <c r="AG111" s="371">
        <f t="shared" si="523"/>
        <v>0.49131823063160662</v>
      </c>
      <c r="AH111" s="371">
        <f t="shared" si="523"/>
        <v>0.48575491842902385</v>
      </c>
      <c r="AI111" s="371">
        <f t="shared" si="523"/>
        <v>0.46997602818825823</v>
      </c>
      <c r="AJ111" s="371">
        <f t="shared" si="523"/>
        <v>0.47774738592221949</v>
      </c>
      <c r="AK111" s="371">
        <f t="shared" si="523"/>
        <v>0.45737733254086638</v>
      </c>
      <c r="AL111" s="371">
        <f t="shared" si="523"/>
        <v>0.4846464663491154</v>
      </c>
      <c r="AM111" s="371">
        <f t="shared" si="523"/>
        <v>0.47900757705052188</v>
      </c>
      <c r="AN111" s="371">
        <f t="shared" si="523"/>
        <v>0.46380559123317933</v>
      </c>
      <c r="AO111" s="371">
        <f t="shared" si="523"/>
        <v>0.47104983294035968</v>
      </c>
      <c r="AP111" s="371">
        <f t="shared" si="523"/>
        <v>0.44450021672814199</v>
      </c>
      <c r="AQ111" s="371">
        <f t="shared" si="523"/>
        <v>0.47205168870530362</v>
      </c>
      <c r="AR111" s="371">
        <f t="shared" si="523"/>
        <v>0.46647433148495804</v>
      </c>
      <c r="AS111" s="371">
        <f t="shared" si="523"/>
        <v>0.45203973850337403</v>
      </c>
      <c r="AT111" s="371">
        <f t="shared" si="523"/>
        <v>0.45861118880765528</v>
      </c>
      <c r="AU111" s="378"/>
    </row>
    <row r="112" spans="1:54" x14ac:dyDescent="0.25">
      <c r="A112" s="133" t="str">
        <f>A84</f>
        <v>C-Discount</v>
      </c>
      <c r="F112" s="371">
        <f>F85/F2</f>
        <v>7.1839704604691579E-2</v>
      </c>
      <c r="G112" s="371">
        <f t="shared" ref="G112:AT112" si="524">G85/G2</f>
        <v>5.0321888412017166E-2</v>
      </c>
      <c r="H112" s="371">
        <f t="shared" si="524"/>
        <v>4.3328303513688292E-2</v>
      </c>
      <c r="I112" s="371">
        <f t="shared" si="524"/>
        <v>5.2842881944444448E-2</v>
      </c>
      <c r="J112" s="371">
        <f t="shared" si="524"/>
        <v>6.3649080735411673E-2</v>
      </c>
      <c r="K112" s="371">
        <f t="shared" si="524"/>
        <v>5.2748473070516382E-2</v>
      </c>
      <c r="L112" s="371">
        <f t="shared" si="524"/>
        <v>5.3512840819097185E-2</v>
      </c>
      <c r="M112" s="371">
        <f t="shared" si="524"/>
        <v>4.5199641094661284E-2</v>
      </c>
      <c r="N112" s="371">
        <f t="shared" si="524"/>
        <v>5.0661286707016362E-2</v>
      </c>
      <c r="O112" s="371">
        <f t="shared" si="524"/>
        <v>6.4269164903797721E-2</v>
      </c>
      <c r="P112" s="371">
        <f t="shared" si="524"/>
        <v>5.3682657633045569E-2</v>
      </c>
      <c r="Q112" s="371">
        <f t="shared" si="524"/>
        <v>7.077093732667776E-2</v>
      </c>
      <c r="R112" s="371">
        <f t="shared" si="524"/>
        <v>4.5610068814133736E-2</v>
      </c>
      <c r="S112" s="371">
        <f t="shared" si="524"/>
        <v>4.9305169358774659E-2</v>
      </c>
      <c r="T112" s="371">
        <f t="shared" si="524"/>
        <v>6.5718015192796228E-2</v>
      </c>
      <c r="U112" s="371">
        <f>U85/U2</f>
        <v>5.79524460228917E-2</v>
      </c>
      <c r="V112" s="371">
        <f t="shared" si="524"/>
        <v>7.1936202609036021E-2</v>
      </c>
      <c r="W112" s="371">
        <f t="shared" si="524"/>
        <v>4.6641391211261346E-2</v>
      </c>
      <c r="X112" s="371">
        <f t="shared" si="524"/>
        <v>5.030264744393665E-2</v>
      </c>
      <c r="Y112" s="371">
        <f t="shared" si="524"/>
        <v>6.7135087755900921E-2</v>
      </c>
      <c r="Z112" s="371">
        <f t="shared" si="524"/>
        <v>5.9119073680770393E-2</v>
      </c>
      <c r="AA112" s="371">
        <f t="shared" si="524"/>
        <v>7.2415668054329321E-2</v>
      </c>
      <c r="AB112" s="371">
        <f t="shared" si="524"/>
        <v>4.7146687391925776E-2</v>
      </c>
      <c r="AC112" s="371">
        <f t="shared" si="524"/>
        <v>5.0886918730678916E-2</v>
      </c>
      <c r="AD112" s="371">
        <f t="shared" si="524"/>
        <v>6.7898489362800241E-2</v>
      </c>
      <c r="AE112" s="371">
        <f t="shared" si="524"/>
        <v>5.9735600933526638E-2</v>
      </c>
      <c r="AF112" s="371">
        <f t="shared" si="524"/>
        <v>7.3151663841880182E-2</v>
      </c>
      <c r="AG112" s="371">
        <f t="shared" si="524"/>
        <v>4.7843498662005497E-2</v>
      </c>
      <c r="AH112" s="371">
        <f t="shared" si="524"/>
        <v>5.1351356685054944E-2</v>
      </c>
      <c r="AI112" s="371">
        <f t="shared" si="524"/>
        <v>6.8841563671063213E-2</v>
      </c>
      <c r="AJ112" s="371">
        <f t="shared" si="524"/>
        <v>6.0458779168874224E-2</v>
      </c>
      <c r="AK112" s="371">
        <f t="shared" si="524"/>
        <v>7.450678451449716E-2</v>
      </c>
      <c r="AL112" s="371">
        <f t="shared" si="524"/>
        <v>4.8990069672644694E-2</v>
      </c>
      <c r="AM112" s="371">
        <f t="shared" si="524"/>
        <v>5.252615082497207E-2</v>
      </c>
      <c r="AN112" s="371">
        <f t="shared" si="524"/>
        <v>7.0450911304623429E-2</v>
      </c>
      <c r="AO112" s="371">
        <f t="shared" si="524"/>
        <v>6.1808524759212335E-2</v>
      </c>
      <c r="AP112" s="371">
        <f t="shared" si="524"/>
        <v>7.4629281916117535E-2</v>
      </c>
      <c r="AQ112" s="371">
        <f t="shared" si="524"/>
        <v>4.9303711005406391E-2</v>
      </c>
      <c r="AR112" s="371">
        <f t="shared" si="524"/>
        <v>5.283381478005339E-2</v>
      </c>
      <c r="AS112" s="371">
        <f t="shared" si="524"/>
        <v>7.0892889787364272E-2</v>
      </c>
      <c r="AT112" s="371">
        <f t="shared" si="524"/>
        <v>6.2133218047022556E-2</v>
      </c>
      <c r="AU112" s="378"/>
    </row>
    <row r="113" spans="1:47" x14ac:dyDescent="0.25">
      <c r="A113" s="141" t="str">
        <f>A96</f>
        <v>Latam Retail</v>
      </c>
      <c r="B113" s="1"/>
      <c r="C113" s="1"/>
      <c r="D113" s="1"/>
      <c r="E113" s="1"/>
      <c r="F113" s="376">
        <f>F97/F2</f>
        <v>0.41396068635968725</v>
      </c>
      <c r="G113" s="376">
        <f t="shared" ref="G113:AT113" si="525">G97/G2</f>
        <v>0.46652360515021457</v>
      </c>
      <c r="H113" s="376">
        <f t="shared" si="525"/>
        <v>0.44384565639146367</v>
      </c>
      <c r="I113" s="376">
        <f t="shared" si="525"/>
        <v>0.43023003472222221</v>
      </c>
      <c r="J113" s="376">
        <f t="shared" si="525"/>
        <v>0.44894084732214229</v>
      </c>
      <c r="K113" s="376">
        <f t="shared" si="525"/>
        <v>0.44744982945982392</v>
      </c>
      <c r="L113" s="376">
        <f t="shared" si="525"/>
        <v>0.43851114379454692</v>
      </c>
      <c r="M113" s="376">
        <f t="shared" si="525"/>
        <v>0.42104082548227906</v>
      </c>
      <c r="N113" s="376">
        <f t="shared" si="525"/>
        <v>0.40775610849585292</v>
      </c>
      <c r="O113" s="376">
        <f t="shared" si="525"/>
        <v>0.44031429434874586</v>
      </c>
      <c r="P113" s="376">
        <f t="shared" si="525"/>
        <v>0.42555458419844827</v>
      </c>
      <c r="Q113" s="376">
        <f t="shared" si="525"/>
        <v>0.44093178036605657</v>
      </c>
      <c r="R113" s="376">
        <f t="shared" si="525"/>
        <v>0.44092274031073719</v>
      </c>
      <c r="S113" s="376">
        <f t="shared" si="525"/>
        <v>0.44034536557845294</v>
      </c>
      <c r="T113" s="376">
        <f t="shared" si="525"/>
        <v>0.4439472386258887</v>
      </c>
      <c r="U113" s="376">
        <f t="shared" si="525"/>
        <v>0.44159228871383521</v>
      </c>
      <c r="V113" s="376">
        <f t="shared" si="525"/>
        <v>0.44674631091396555</v>
      </c>
      <c r="W113" s="376">
        <f t="shared" si="525"/>
        <v>0.44651189327265461</v>
      </c>
      <c r="X113" s="376">
        <f t="shared" si="525"/>
        <v>0.44637433572719187</v>
      </c>
      <c r="Y113" s="376">
        <f t="shared" si="525"/>
        <v>0.44865797314783246</v>
      </c>
      <c r="Z113" s="376">
        <f t="shared" si="525"/>
        <v>0.44711298845640302</v>
      </c>
      <c r="AA113" s="376">
        <f t="shared" si="525"/>
        <v>0.45434622561503318</v>
      </c>
      <c r="AB113" s="376">
        <f t="shared" si="525"/>
        <v>0.45391964381728822</v>
      </c>
      <c r="AC113" s="376">
        <f t="shared" si="525"/>
        <v>0.45336110716524897</v>
      </c>
      <c r="AD113" s="376">
        <f t="shared" si="525"/>
        <v>0.45523349159094695</v>
      </c>
      <c r="AE113" s="376">
        <f>AE97/AE2</f>
        <v>0.45423668519248545</v>
      </c>
      <c r="AF113" s="376">
        <f t="shared" si="525"/>
        <v>0.46227271079007454</v>
      </c>
      <c r="AG113" s="376">
        <f t="shared" si="525"/>
        <v>0.460838270706388</v>
      </c>
      <c r="AH113" s="376">
        <f t="shared" si="525"/>
        <v>0.46289372488592118</v>
      </c>
      <c r="AI113" s="376">
        <f t="shared" si="525"/>
        <v>0.46118240814067857</v>
      </c>
      <c r="AJ113" s="376">
        <f t="shared" si="525"/>
        <v>0.46179383490890646</v>
      </c>
      <c r="AK113" s="376">
        <f t="shared" si="525"/>
        <v>0.46811588294463663</v>
      </c>
      <c r="AL113" s="376">
        <f t="shared" si="525"/>
        <v>0.46636346397823986</v>
      </c>
      <c r="AM113" s="376">
        <f t="shared" si="525"/>
        <v>0.46846627212450609</v>
      </c>
      <c r="AN113" s="376">
        <f t="shared" si="525"/>
        <v>0.46574349746219706</v>
      </c>
      <c r="AO113" s="376">
        <f t="shared" si="525"/>
        <v>0.46714164230042793</v>
      </c>
      <c r="AP113" s="376">
        <f t="shared" si="525"/>
        <v>0.48087050135574039</v>
      </c>
      <c r="AQ113" s="376">
        <f t="shared" si="525"/>
        <v>0.4786446002892899</v>
      </c>
      <c r="AR113" s="376">
        <f t="shared" si="525"/>
        <v>0.48069185373498857</v>
      </c>
      <c r="AS113" s="376">
        <f t="shared" si="525"/>
        <v>0.47706737170926167</v>
      </c>
      <c r="AT113" s="376">
        <f t="shared" si="525"/>
        <v>0.47925559314532207</v>
      </c>
      <c r="AU113" s="378"/>
    </row>
    <row r="114" spans="1:47" x14ac:dyDescent="0.25">
      <c r="AT114" s="78"/>
    </row>
    <row r="115" spans="1:47" x14ac:dyDescent="0.25">
      <c r="U115" s="74"/>
      <c r="V115" s="74"/>
      <c r="W115" s="74"/>
      <c r="X115" s="74"/>
      <c r="Y115" s="74"/>
      <c r="Z115" s="74"/>
      <c r="AA115" s="74"/>
      <c r="AB115" s="74"/>
      <c r="AC115" s="74"/>
      <c r="AD115" s="74"/>
      <c r="AE115" s="74"/>
      <c r="AF115" s="74"/>
      <c r="AG115" s="74"/>
      <c r="AH115" s="74"/>
      <c r="AI115" s="74"/>
      <c r="AJ115" s="74"/>
      <c r="AK115" s="74"/>
      <c r="AL115" s="74"/>
      <c r="AM115" s="74"/>
      <c r="AN115" s="74"/>
      <c r="AO115" s="74"/>
      <c r="AP115" s="74"/>
      <c r="AQ115" s="74"/>
      <c r="AR115" s="74"/>
      <c r="AS115" s="74"/>
      <c r="AT115" s="74"/>
    </row>
    <row r="116" spans="1:47" x14ac:dyDescent="0.25">
      <c r="Q116" s="41"/>
    </row>
  </sheetData>
  <conditionalFormatting sqref="R2:U3 R6:U10 R12:U22 R11:T11 R24:U34 R23:T23 R36:U46 R35:T35 R48:U59 R47:T47 R61:U71 R60:T60 R73:U84 R72:T72 R85:T85 R98:U106 R97:T97 AA11:AD11 AA23:AD23 AA35:AD35 AA47:AD47 AA60:AD60 AA72:AD72 AA85:AD85 AA97:AI97 AF11:AI11 AF23:AI23 AF35:AI35 AF47:AI47 AF60:AI60 AF72:AI72 AF85:AI85 AK23:AN23 AK11:AN11 AK35:AN35 AK47:AN47 AK60:AN60 AK72:AN72 AK85:AN85 AK97:AN97 AP11:AS11 AP23:AS23 AP35:AS35 AP47:AS47 AP60:AS60 AP72:AS72 AP85:AS85 AP97:AS97 R86:U96 Z96:AS96 Z6:AT10 Z2:AT3 Z24:AT34 Z12:AT22 Z61:AT71 Z48:AT59 Z36:AT46 Z98:AT106 Z86:AT95 Z73:AT84">
    <cfRule type="expression" dxfId="4" priority="137">
      <formula>NOT(_xlfn.ISFORMULA(R2))</formula>
    </cfRule>
    <cfRule type="expression" dxfId="3" priority="138">
      <formula>_xlfn.ISFORMULA(R2)</formula>
    </cfRule>
  </conditionalFormatting>
  <conditionalFormatting sqref="F2:AO113">
    <cfRule type="expression" dxfId="2" priority="2">
      <formula>_xlfn.ISFORMULA(F2)</formula>
    </cfRule>
  </conditionalFormatting>
  <conditionalFormatting sqref="F2:AO108">
    <cfRule type="expression" dxfId="1" priority="1">
      <formula>NOT(_xlfn.ISFORMULA(F2))</formula>
    </cfRule>
  </conditionalFormatting>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K14" sqref="K14"/>
    </sheetView>
  </sheetViews>
  <sheetFormatPr defaultRowHeight="15" x14ac:dyDescent="0.25"/>
  <cols>
    <col min="1" max="1" width="34.140625" style="324" customWidth="1"/>
    <col min="5" max="10" width="9.5703125" bestFit="1" customWidth="1"/>
  </cols>
  <sheetData>
    <row r="1" spans="1:11" x14ac:dyDescent="0.25">
      <c r="A1" s="325"/>
    </row>
    <row r="2" spans="1:11" s="297" customFormat="1" ht="30" x14ac:dyDescent="0.25">
      <c r="A2" s="326" t="s">
        <v>386</v>
      </c>
      <c r="B2" s="320">
        <v>2015</v>
      </c>
      <c r="C2" s="320">
        <v>2016</v>
      </c>
      <c r="D2" s="320">
        <v>2017</v>
      </c>
      <c r="E2" s="320">
        <v>2018</v>
      </c>
      <c r="F2" s="379" t="str">
        <f>DEP!F3</f>
        <v>2019 E</v>
      </c>
      <c r="G2" s="380" t="str">
        <f>DEP!G3</f>
        <v>2020 E</v>
      </c>
      <c r="H2" s="381" t="str">
        <f>DEP!H3</f>
        <v>2021 E</v>
      </c>
      <c r="I2" s="381" t="str">
        <f>DEP!I3</f>
        <v>2022 E</v>
      </c>
      <c r="J2" s="379" t="str">
        <f>DEP!J3</f>
        <v>2023 E</v>
      </c>
      <c r="K2" s="297">
        <f>DEP!K3</f>
        <v>0</v>
      </c>
    </row>
    <row r="3" spans="1:11" s="316" customFormat="1" x14ac:dyDescent="0.25">
      <c r="A3" s="319" t="s">
        <v>304</v>
      </c>
      <c r="B3" s="317"/>
      <c r="C3" s="317"/>
      <c r="D3" s="317">
        <v>1573</v>
      </c>
      <c r="E3" s="317">
        <v>1865</v>
      </c>
      <c r="F3" s="382">
        <f>CFS!E8+IS!J25</f>
        <v>1680.9068072149453</v>
      </c>
      <c r="G3" s="383">
        <f>CFS!F8+IS!K25</f>
        <v>1709.69361541944</v>
      </c>
      <c r="H3" s="384">
        <f>CFS!G8+IS!L25</f>
        <v>1672.7134786873808</v>
      </c>
      <c r="I3" s="384">
        <f>CFS!H8+IS!M25</f>
        <v>1693.3186946310448</v>
      </c>
      <c r="J3" s="382">
        <f>CFS!I8+IS!N25</f>
        <v>1695.0747621463975</v>
      </c>
    </row>
    <row r="4" spans="1:11" x14ac:dyDescent="0.25">
      <c r="A4" s="322" t="s">
        <v>387</v>
      </c>
      <c r="B4" s="66"/>
      <c r="C4" s="66"/>
      <c r="D4" s="66">
        <v>-267</v>
      </c>
      <c r="E4" s="66">
        <v>-289</v>
      </c>
      <c r="F4" s="362"/>
      <c r="G4" s="385"/>
      <c r="H4" s="203"/>
      <c r="I4" s="203"/>
      <c r="J4" s="362"/>
    </row>
    <row r="5" spans="1:11" x14ac:dyDescent="0.25">
      <c r="A5" s="322" t="s">
        <v>388</v>
      </c>
      <c r="B5" s="66"/>
      <c r="C5" s="66"/>
      <c r="D5" s="66"/>
      <c r="E5" s="66">
        <v>-2</v>
      </c>
      <c r="F5" s="362"/>
      <c r="G5" s="385"/>
      <c r="H5" s="203"/>
      <c r="I5" s="203"/>
      <c r="J5" s="362"/>
    </row>
    <row r="6" spans="1:11" x14ac:dyDescent="0.25">
      <c r="A6" s="321"/>
      <c r="B6" s="66"/>
      <c r="C6" s="66"/>
      <c r="D6" s="66"/>
      <c r="E6" s="66"/>
      <c r="F6" s="362"/>
      <c r="G6" s="385"/>
      <c r="H6" s="203"/>
      <c r="I6" s="203"/>
      <c r="J6" s="362"/>
    </row>
    <row r="7" spans="1:11" s="316" customFormat="1" x14ac:dyDescent="0.25">
      <c r="A7" s="319" t="s">
        <v>389</v>
      </c>
      <c r="B7" s="317">
        <f t="shared" ref="B7:D7" si="0">B3+B4+B5</f>
        <v>0</v>
      </c>
      <c r="C7" s="317">
        <f t="shared" si="0"/>
        <v>0</v>
      </c>
      <c r="D7" s="317">
        <f t="shared" si="0"/>
        <v>1306</v>
      </c>
      <c r="E7" s="318">
        <f>E3+E4+E5</f>
        <v>1574</v>
      </c>
      <c r="F7" s="386">
        <f t="shared" ref="F7:J7" si="1">F3+F4+F5</f>
        <v>1680.9068072149453</v>
      </c>
      <c r="G7" s="387">
        <f>G3+G4+G5</f>
        <v>1709.69361541944</v>
      </c>
      <c r="H7" s="388">
        <f t="shared" si="1"/>
        <v>1672.7134786873808</v>
      </c>
      <c r="I7" s="388">
        <f t="shared" si="1"/>
        <v>1693.3186946310448</v>
      </c>
      <c r="J7" s="386">
        <f t="shared" si="1"/>
        <v>1695.0747621463975</v>
      </c>
    </row>
    <row r="8" spans="1:11" x14ac:dyDescent="0.25">
      <c r="A8" s="322" t="s">
        <v>390</v>
      </c>
      <c r="B8" s="66">
        <f>WC!D19</f>
        <v>3098</v>
      </c>
      <c r="C8" s="66">
        <f>WC!E19</f>
        <v>-336</v>
      </c>
      <c r="D8" s="66">
        <f>WC!F19</f>
        <v>-303</v>
      </c>
      <c r="E8" s="66">
        <f>WC!G19</f>
        <v>-192</v>
      </c>
      <c r="F8" s="389">
        <f>WC!H19</f>
        <v>-127.83990292425642</v>
      </c>
      <c r="G8" s="293">
        <f>WC!I19</f>
        <v>133.37713877225633</v>
      </c>
      <c r="H8" s="286">
        <f>WC!J19</f>
        <v>156.33499347849101</v>
      </c>
      <c r="I8" s="286">
        <f>WC!K19</f>
        <v>152.61633065440856</v>
      </c>
      <c r="J8" s="389">
        <f>WC!L19</f>
        <v>162.72562783442754</v>
      </c>
    </row>
    <row r="9" spans="1:11" x14ac:dyDescent="0.25">
      <c r="A9" s="322" t="s">
        <v>391</v>
      </c>
      <c r="B9" s="66"/>
      <c r="C9" s="66"/>
      <c r="D9" s="66">
        <v>-114</v>
      </c>
      <c r="E9" s="66">
        <v>-241</v>
      </c>
      <c r="F9" s="389">
        <f>IS!J37</f>
        <v>-306.97944381773362</v>
      </c>
      <c r="G9" s="293">
        <f>IS!K37</f>
        <v>-360.24100027890222</v>
      </c>
      <c r="H9" s="286">
        <f>IS!L37</f>
        <v>-350.36456169816734</v>
      </c>
      <c r="I9" s="286">
        <f>IS!M37</f>
        <v>-369.77469445089201</v>
      </c>
      <c r="J9" s="389">
        <f>IS!N37</f>
        <v>-371.3188791621285</v>
      </c>
    </row>
    <row r="10" spans="1:11" x14ac:dyDescent="0.25">
      <c r="A10" s="321"/>
      <c r="B10" s="66"/>
      <c r="C10" s="66"/>
      <c r="D10" s="66"/>
      <c r="E10" s="66"/>
      <c r="F10" s="362"/>
      <c r="G10" s="385"/>
      <c r="H10" s="203"/>
      <c r="I10" s="203"/>
      <c r="J10" s="362"/>
    </row>
    <row r="11" spans="1:11" s="316" customFormat="1" x14ac:dyDescent="0.25">
      <c r="A11" s="319" t="s">
        <v>397</v>
      </c>
      <c r="B11" s="317">
        <f>B7+B8+B9</f>
        <v>3098</v>
      </c>
      <c r="C11" s="317">
        <f t="shared" ref="C11:D11" si="2">C7+C8+C9</f>
        <v>-336</v>
      </c>
      <c r="D11" s="317">
        <f t="shared" si="2"/>
        <v>889</v>
      </c>
      <c r="E11" s="318">
        <f>E7+E8+E9</f>
        <v>1141</v>
      </c>
      <c r="F11" s="386">
        <f t="shared" ref="F11:J11" si="3">F7+F8+F9</f>
        <v>1246.0874604729552</v>
      </c>
      <c r="G11" s="387">
        <f>G7+G8+G9</f>
        <v>1482.8297539127941</v>
      </c>
      <c r="H11" s="388">
        <f t="shared" si="3"/>
        <v>1478.6839104677044</v>
      </c>
      <c r="I11" s="388">
        <f t="shared" si="3"/>
        <v>1476.1603308345614</v>
      </c>
      <c r="J11" s="386">
        <f t="shared" si="3"/>
        <v>1486.4815108186965</v>
      </c>
    </row>
    <row r="12" spans="1:11" x14ac:dyDescent="0.25">
      <c r="A12" s="321"/>
      <c r="B12" s="66"/>
      <c r="C12" s="66"/>
      <c r="D12" s="66"/>
      <c r="E12" s="66"/>
      <c r="F12" s="362"/>
      <c r="G12" s="385"/>
      <c r="H12" s="203"/>
      <c r="I12" s="203"/>
      <c r="J12" s="362"/>
    </row>
    <row r="13" spans="1:11" x14ac:dyDescent="0.25">
      <c r="A13" s="321" t="s">
        <v>392</v>
      </c>
      <c r="B13" s="66">
        <f>CFS!B29</f>
        <v>-1222</v>
      </c>
      <c r="C13" s="66">
        <f>CFS!C29</f>
        <v>-1160</v>
      </c>
      <c r="D13" s="289">
        <f>CFS!D29</f>
        <v>-1247</v>
      </c>
      <c r="E13" s="289">
        <f>CFS!E29</f>
        <v>-1185</v>
      </c>
      <c r="F13" s="389">
        <f>CFS!F29</f>
        <v>-1021.99204804237</v>
      </c>
      <c r="G13" s="293">
        <f>CFS!G29</f>
        <v>-1022.9249892537313</v>
      </c>
      <c r="H13" s="286">
        <f>CFS!H29</f>
        <v>-1024.128276351905</v>
      </c>
      <c r="I13" s="286">
        <f>CFS!I29</f>
        <v>-1003.2284040096895</v>
      </c>
      <c r="J13" s="389">
        <f>CFS!J29</f>
        <v>-996.19197610661581</v>
      </c>
    </row>
    <row r="14" spans="1:11" x14ac:dyDescent="0.25">
      <c r="A14" s="321" t="s">
        <v>393</v>
      </c>
      <c r="B14" s="66"/>
      <c r="C14" s="66"/>
      <c r="D14" s="66"/>
      <c r="E14" s="66">
        <v>507</v>
      </c>
      <c r="F14" s="390">
        <v>507</v>
      </c>
      <c r="G14" s="391">
        <v>507</v>
      </c>
      <c r="H14" s="392">
        <v>507</v>
      </c>
      <c r="I14" s="392">
        <v>507</v>
      </c>
      <c r="J14" s="390">
        <v>507</v>
      </c>
    </row>
    <row r="15" spans="1:11" x14ac:dyDescent="0.25">
      <c r="A15" s="321"/>
      <c r="B15" s="66"/>
      <c r="C15" s="66"/>
      <c r="D15" s="66"/>
      <c r="E15" s="66"/>
      <c r="F15" s="362"/>
      <c r="G15" s="385"/>
      <c r="H15" s="203"/>
      <c r="I15" s="203"/>
      <c r="J15" s="362"/>
    </row>
    <row r="16" spans="1:11" s="297" customFormat="1" x14ac:dyDescent="0.25">
      <c r="A16" s="319" t="s">
        <v>394</v>
      </c>
      <c r="B16" s="320">
        <v>-498</v>
      </c>
      <c r="C16" s="320">
        <f t="shared" ref="C16:D16" si="4">C13+C14</f>
        <v>-1160</v>
      </c>
      <c r="D16" s="320">
        <f t="shared" si="4"/>
        <v>-1247</v>
      </c>
      <c r="E16" s="327">
        <f>E13+E14</f>
        <v>-678</v>
      </c>
      <c r="F16" s="393">
        <f t="shared" ref="F16:J16" si="5">F13+F14</f>
        <v>-514.99204804237002</v>
      </c>
      <c r="G16" s="394">
        <f t="shared" si="5"/>
        <v>-515.92498925373127</v>
      </c>
      <c r="H16" s="395">
        <f t="shared" si="5"/>
        <v>-517.12827635190501</v>
      </c>
      <c r="I16" s="395">
        <f t="shared" si="5"/>
        <v>-496.22840400968948</v>
      </c>
      <c r="J16" s="393">
        <f t="shared" si="5"/>
        <v>-489.19197610661581</v>
      </c>
    </row>
    <row r="17" spans="1:10" x14ac:dyDescent="0.25">
      <c r="A17" s="321"/>
      <c r="B17" s="66"/>
      <c r="C17" s="66"/>
      <c r="D17" s="66"/>
      <c r="E17" s="66"/>
      <c r="F17" s="362"/>
      <c r="G17" s="385"/>
      <c r="H17" s="203"/>
      <c r="I17" s="203"/>
      <c r="J17" s="362"/>
    </row>
    <row r="18" spans="1:10" s="297" customFormat="1" x14ac:dyDescent="0.25">
      <c r="A18" s="319" t="s">
        <v>396</v>
      </c>
      <c r="B18" s="320">
        <f t="shared" ref="B18:D18" si="6">B11+B16</f>
        <v>2600</v>
      </c>
      <c r="C18" s="320">
        <f t="shared" si="6"/>
        <v>-1496</v>
      </c>
      <c r="D18" s="320">
        <f t="shared" si="6"/>
        <v>-358</v>
      </c>
      <c r="E18" s="327">
        <f>E11+E16</f>
        <v>463</v>
      </c>
      <c r="F18" s="393">
        <f t="shared" ref="F18:J18" si="7">F11+F16</f>
        <v>731.09541243058516</v>
      </c>
      <c r="G18" s="394">
        <f>G11+G16</f>
        <v>966.90476465906283</v>
      </c>
      <c r="H18" s="395">
        <f t="shared" si="7"/>
        <v>961.55563411579942</v>
      </c>
      <c r="I18" s="395">
        <f t="shared" si="7"/>
        <v>979.93192682487188</v>
      </c>
      <c r="J18" s="393">
        <f t="shared" si="7"/>
        <v>997.28953471208069</v>
      </c>
    </row>
    <row r="19" spans="1:10" x14ac:dyDescent="0.25">
      <c r="A19" s="321"/>
      <c r="B19" s="66"/>
      <c r="C19" s="66"/>
      <c r="D19" s="66"/>
      <c r="E19" s="66"/>
      <c r="F19" s="362"/>
      <c r="G19" s="385"/>
      <c r="H19" s="203"/>
      <c r="I19" s="203"/>
      <c r="J19" s="362"/>
    </row>
    <row r="20" spans="1:10" x14ac:dyDescent="0.25">
      <c r="A20" s="321" t="s">
        <v>395</v>
      </c>
      <c r="B20" s="66"/>
      <c r="C20" s="66"/>
      <c r="D20" s="66"/>
      <c r="E20" s="66">
        <v>734</v>
      </c>
      <c r="F20" s="389">
        <f>CFS!O32</f>
        <v>0</v>
      </c>
      <c r="G20" s="396">
        <f>CFS!P32</f>
        <v>0</v>
      </c>
      <c r="H20" s="397">
        <f>CFS!Q32</f>
        <v>0</v>
      </c>
      <c r="I20" s="397">
        <f>CFS!R32</f>
        <v>0</v>
      </c>
      <c r="J20" s="398">
        <f>CFS!S32</f>
        <v>0</v>
      </c>
    </row>
    <row r="21" spans="1:10" x14ac:dyDescent="0.25">
      <c r="A21" s="321"/>
      <c r="B21" s="66"/>
      <c r="C21" s="66"/>
      <c r="D21" s="66"/>
      <c r="E21" s="66"/>
      <c r="F21" s="362"/>
      <c r="G21" s="385"/>
      <c r="H21" s="203"/>
      <c r="I21" s="203"/>
      <c r="J21" s="362"/>
    </row>
    <row r="22" spans="1:10" s="297" customFormat="1" x14ac:dyDescent="0.25">
      <c r="A22" s="319" t="s">
        <v>312</v>
      </c>
      <c r="B22" s="320">
        <f t="shared" ref="B22:D22" si="8">B20+B18</f>
        <v>2600</v>
      </c>
      <c r="C22" s="320">
        <f t="shared" si="8"/>
        <v>-1496</v>
      </c>
      <c r="D22" s="320">
        <f t="shared" si="8"/>
        <v>-358</v>
      </c>
      <c r="E22" s="327">
        <f>E20+E18</f>
        <v>1197</v>
      </c>
      <c r="F22" s="393">
        <f>F20+F18</f>
        <v>731.09541243058516</v>
      </c>
      <c r="G22" s="394">
        <f t="shared" ref="G22:J22" si="9">G20+G18</f>
        <v>966.90476465906283</v>
      </c>
      <c r="H22" s="395">
        <f t="shared" si="9"/>
        <v>961.55563411579942</v>
      </c>
      <c r="I22" s="395">
        <f t="shared" si="9"/>
        <v>979.93192682487188</v>
      </c>
      <c r="J22" s="393">
        <f t="shared" si="9"/>
        <v>997.28953471208069</v>
      </c>
    </row>
    <row r="23" spans="1:10" x14ac:dyDescent="0.25">
      <c r="A23" s="321"/>
      <c r="B23" s="66"/>
      <c r="C23" s="66"/>
      <c r="D23" s="66"/>
      <c r="E23" s="66"/>
      <c r="F23" s="362"/>
      <c r="G23" s="385"/>
      <c r="H23" s="203"/>
      <c r="I23" s="203"/>
      <c r="J23" s="362"/>
    </row>
    <row r="24" spans="1:10" x14ac:dyDescent="0.25">
      <c r="A24" s="323" t="s">
        <v>398</v>
      </c>
      <c r="B24" s="70">
        <f t="shared" ref="B24:C24" si="10">B22-B4</f>
        <v>2600</v>
      </c>
      <c r="C24" s="70">
        <f t="shared" si="10"/>
        <v>-1496</v>
      </c>
      <c r="D24" s="70">
        <f>D22-D4</f>
        <v>-91</v>
      </c>
      <c r="E24" s="70">
        <f>E22-E4</f>
        <v>1486</v>
      </c>
      <c r="F24" s="399"/>
      <c r="G24" s="400"/>
      <c r="H24" s="401"/>
      <c r="I24" s="401"/>
      <c r="J24" s="399"/>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7"/>
  <sheetViews>
    <sheetView workbookViewId="0">
      <selection activeCell="K14" sqref="K14"/>
    </sheetView>
  </sheetViews>
  <sheetFormatPr defaultRowHeight="15" x14ac:dyDescent="0.25"/>
  <cols>
    <col min="4" max="5" width="9.5703125" bestFit="1" customWidth="1"/>
    <col min="6" max="6" width="9.28515625" bestFit="1" customWidth="1"/>
    <col min="7" max="7" width="9.7109375" bestFit="1" customWidth="1"/>
    <col min="8" max="12" width="9.28515625" style="5" bestFit="1" customWidth="1"/>
  </cols>
  <sheetData>
    <row r="1" spans="1:12" s="312" customFormat="1" ht="16.5" customHeight="1" thickBot="1" x14ac:dyDescent="0.3">
      <c r="A1" s="311" t="s">
        <v>458</v>
      </c>
      <c r="H1" s="335"/>
      <c r="I1" s="335"/>
      <c r="J1" s="335"/>
      <c r="K1" s="335"/>
      <c r="L1" s="335"/>
    </row>
    <row r="2" spans="1:12" ht="15.75" thickBot="1" x14ac:dyDescent="0.3"/>
    <row r="3" spans="1:12" s="300" customFormat="1" ht="15.75" thickBot="1" x14ac:dyDescent="0.3">
      <c r="A3" s="308" t="s">
        <v>459</v>
      </c>
      <c r="B3" s="301"/>
      <c r="C3" s="301"/>
      <c r="D3" s="307">
        <f>BS!B3</f>
        <v>2015</v>
      </c>
      <c r="E3" s="307">
        <f>BS!C3</f>
        <v>2016</v>
      </c>
      <c r="F3" s="307">
        <f>BS!D3</f>
        <v>2017</v>
      </c>
      <c r="G3" s="307">
        <f>BS!E3</f>
        <v>2018</v>
      </c>
      <c r="H3" s="336" t="str">
        <f>BS!F3</f>
        <v>2019 E</v>
      </c>
      <c r="I3" s="336" t="str">
        <f>BS!G3</f>
        <v>2020 E</v>
      </c>
      <c r="J3" s="336" t="str">
        <f>BS!H3</f>
        <v>2021 E</v>
      </c>
      <c r="K3" s="336" t="str">
        <f>BS!I3</f>
        <v>2022 E</v>
      </c>
      <c r="L3" s="336" t="str">
        <f>BS!J3</f>
        <v>2023 E</v>
      </c>
    </row>
    <row r="4" spans="1:12" s="347" customFormat="1" x14ac:dyDescent="0.25">
      <c r="A4" s="348" t="s">
        <v>474</v>
      </c>
      <c r="B4" s="344"/>
      <c r="C4" s="344"/>
      <c r="D4" s="345">
        <f t="shared" ref="D4:F4" si="0">(D5-D6)/D5</f>
        <v>5.7739557739557738E-2</v>
      </c>
      <c r="E4" s="345">
        <f t="shared" si="0"/>
        <v>5.1127819548872182E-2</v>
      </c>
      <c r="F4" s="345">
        <f t="shared" si="0"/>
        <v>3.3027522935779818E-2</v>
      </c>
      <c r="G4" s="345">
        <f>(G5-G6)/G5</f>
        <v>4.6317980744210251E-2</v>
      </c>
      <c r="H4" s="346">
        <v>0.05</v>
      </c>
      <c r="I4" s="346">
        <v>0.05</v>
      </c>
      <c r="J4" s="346">
        <v>0.05</v>
      </c>
      <c r="K4" s="346">
        <v>0.05</v>
      </c>
      <c r="L4" s="346">
        <v>0.05</v>
      </c>
    </row>
    <row r="5" spans="1:12" x14ac:dyDescent="0.25">
      <c r="A5" s="309" t="s">
        <v>466</v>
      </c>
      <c r="B5" s="66"/>
      <c r="C5" s="66"/>
      <c r="D5" s="66">
        <f>BS!B20</f>
        <v>4884</v>
      </c>
      <c r="E5" s="66">
        <f>BS!C20</f>
        <v>3990</v>
      </c>
      <c r="F5" s="66">
        <f>BS!D20</f>
        <v>3815</v>
      </c>
      <c r="G5" s="302">
        <f>BS!E20</f>
        <v>3843</v>
      </c>
      <c r="H5" s="337">
        <f>BS!F20</f>
        <v>4066.190591714138</v>
      </c>
      <c r="I5" s="337">
        <f>BS!G20</f>
        <v>4568.3806958059677</v>
      </c>
      <c r="J5" s="337">
        <f>BS!H20</f>
        <v>4532.4960597239206</v>
      </c>
      <c r="K5" s="337">
        <f>BS!I20</f>
        <v>4727.5420682100403</v>
      </c>
      <c r="L5" s="337">
        <f>BS!J20</f>
        <v>4901.5875816260659</v>
      </c>
    </row>
    <row r="6" spans="1:12" hidden="1" x14ac:dyDescent="0.25">
      <c r="A6" s="309" t="s">
        <v>80</v>
      </c>
      <c r="B6" s="66"/>
      <c r="C6" s="66"/>
      <c r="D6" s="66">
        <v>4602</v>
      </c>
      <c r="E6" s="66">
        <v>3786</v>
      </c>
      <c r="F6" s="66">
        <v>3689</v>
      </c>
      <c r="G6" s="66">
        <v>3665</v>
      </c>
      <c r="H6" s="338"/>
      <c r="I6" s="338"/>
      <c r="J6" s="338"/>
      <c r="K6" s="338"/>
      <c r="L6" s="338"/>
    </row>
    <row r="7" spans="1:12" x14ac:dyDescent="0.25">
      <c r="A7" s="309" t="s">
        <v>460</v>
      </c>
      <c r="B7" s="66"/>
      <c r="C7" s="66"/>
      <c r="D7" s="66">
        <v>281</v>
      </c>
      <c r="E7" s="66">
        <v>204</v>
      </c>
      <c r="F7" s="66">
        <v>126</v>
      </c>
      <c r="G7" s="66">
        <v>179</v>
      </c>
      <c r="H7" s="338">
        <f>H5*H4</f>
        <v>203.30952958570691</v>
      </c>
      <c r="I7" s="338">
        <f>I5*I4</f>
        <v>228.41903479029838</v>
      </c>
      <c r="J7" s="338">
        <f t="shared" ref="J7:L7" si="1">J5*J4</f>
        <v>226.62480298619604</v>
      </c>
      <c r="K7" s="338">
        <f t="shared" si="1"/>
        <v>236.37710341050203</v>
      </c>
      <c r="L7" s="338">
        <f t="shared" si="1"/>
        <v>245.0793790813033</v>
      </c>
    </row>
    <row r="8" spans="1:12" ht="15.75" thickBot="1" x14ac:dyDescent="0.3">
      <c r="A8" s="309" t="s">
        <v>461</v>
      </c>
      <c r="B8" s="66"/>
      <c r="C8" s="66"/>
      <c r="D8" s="66">
        <f>BS!B21</f>
        <v>1287</v>
      </c>
      <c r="E8" s="66">
        <f>BS!C21</f>
        <v>880</v>
      </c>
      <c r="F8" s="66">
        <f>BS!D21</f>
        <v>937</v>
      </c>
      <c r="G8" s="66">
        <f>BS!E21</f>
        <v>905</v>
      </c>
      <c r="H8" s="338">
        <f>BS!F21</f>
        <v>946.28893337256488</v>
      </c>
      <c r="I8" s="338">
        <f>BS!G21</f>
        <v>965.02357476767111</v>
      </c>
      <c r="J8" s="338">
        <f>BS!H21</f>
        <v>984.73872726144737</v>
      </c>
      <c r="K8" s="338">
        <f>BS!I21</f>
        <v>1003.2284040096895</v>
      </c>
      <c r="L8" s="338">
        <f>BS!J21</f>
        <v>1016.5224245985876</v>
      </c>
    </row>
    <row r="9" spans="1:12" s="300" customFormat="1" ht="15.75" thickBot="1" x14ac:dyDescent="0.3">
      <c r="A9" s="341" t="s">
        <v>459</v>
      </c>
      <c r="B9" s="303"/>
      <c r="C9" s="303"/>
      <c r="D9" s="304">
        <f t="shared" ref="D9:F9" si="2">D5+D7+D8</f>
        <v>6452</v>
      </c>
      <c r="E9" s="304">
        <f t="shared" si="2"/>
        <v>5074</v>
      </c>
      <c r="F9" s="304">
        <f t="shared" si="2"/>
        <v>4878</v>
      </c>
      <c r="G9" s="304">
        <f>G5+G7+G8</f>
        <v>4927</v>
      </c>
      <c r="H9" s="342">
        <f>H8+H5</f>
        <v>5012.4795250867028</v>
      </c>
      <c r="I9" s="342">
        <f>I8+I5</f>
        <v>5533.4042705736392</v>
      </c>
      <c r="J9" s="342">
        <f t="shared" ref="J9:L9" si="3">J8+J5</f>
        <v>5517.2347869853675</v>
      </c>
      <c r="K9" s="342">
        <f t="shared" si="3"/>
        <v>5730.7704722197295</v>
      </c>
      <c r="L9" s="342">
        <f t="shared" si="3"/>
        <v>5918.1100062246533</v>
      </c>
    </row>
    <row r="10" spans="1:12" x14ac:dyDescent="0.25">
      <c r="A10" s="309" t="s">
        <v>463</v>
      </c>
      <c r="B10" s="66"/>
      <c r="C10" s="66"/>
      <c r="D10" s="66">
        <f>BS!B45</f>
        <v>8073</v>
      </c>
      <c r="E10" s="66">
        <f>BS!C45</f>
        <v>6939</v>
      </c>
      <c r="F10" s="66">
        <f>BS!D45</f>
        <v>6664</v>
      </c>
      <c r="G10" s="66">
        <f>BS!E45</f>
        <v>6688</v>
      </c>
      <c r="H10" s="338">
        <f>BS!F45</f>
        <v>6902.8567877466603</v>
      </c>
      <c r="I10" s="338">
        <f>BS!G45</f>
        <v>7190.7426687520065</v>
      </c>
      <c r="J10" s="338">
        <f>BS!H45</f>
        <v>6924.2290111418524</v>
      </c>
      <c r="K10" s="338">
        <f>BS!I45</f>
        <v>6877.9265154625637</v>
      </c>
      <c r="L10" s="338">
        <f>BS!J45</f>
        <v>6797.373596755484</v>
      </c>
    </row>
    <row r="11" spans="1:12" x14ac:dyDescent="0.25">
      <c r="A11" s="309" t="s">
        <v>542</v>
      </c>
      <c r="B11" s="66"/>
      <c r="C11" s="66"/>
      <c r="D11" s="66">
        <f>574+622</f>
        <v>1196</v>
      </c>
      <c r="E11" s="66">
        <v>791</v>
      </c>
      <c r="F11" s="66">
        <v>513</v>
      </c>
      <c r="G11" s="66">
        <v>403</v>
      </c>
      <c r="H11" s="338">
        <f>H10*H12</f>
        <v>441.78283441578628</v>
      </c>
      <c r="I11" s="338">
        <f t="shared" ref="I11:L11" si="4">I10*I12</f>
        <v>431.44456012512035</v>
      </c>
      <c r="J11" s="338">
        <f t="shared" si="4"/>
        <v>415.4537406685111</v>
      </c>
      <c r="K11" s="338">
        <f t="shared" si="4"/>
        <v>412.67559092775383</v>
      </c>
      <c r="L11" s="338">
        <f t="shared" si="4"/>
        <v>407.84241580532904</v>
      </c>
    </row>
    <row r="12" spans="1:12" ht="15.75" thickBot="1" x14ac:dyDescent="0.3">
      <c r="A12" s="309"/>
      <c r="B12" s="66"/>
      <c r="C12" s="66"/>
      <c r="D12" s="288">
        <f t="shared" ref="D12:F12" si="5">D11/D10</f>
        <v>0.14814814814814814</v>
      </c>
      <c r="E12" s="288">
        <f t="shared" si="5"/>
        <v>0.11399337080270933</v>
      </c>
      <c r="F12" s="288">
        <f t="shared" si="5"/>
        <v>7.6980792316926769E-2</v>
      </c>
      <c r="G12" s="288">
        <f>G11/G10</f>
        <v>6.0257177033492822E-2</v>
      </c>
      <c r="H12" s="339">
        <v>6.4000000000000001E-2</v>
      </c>
      <c r="I12" s="339">
        <v>0.06</v>
      </c>
      <c r="J12" s="339">
        <v>0.06</v>
      </c>
      <c r="K12" s="339">
        <v>0.06</v>
      </c>
      <c r="L12" s="339">
        <v>0.06</v>
      </c>
    </row>
    <row r="13" spans="1:12" s="278" customFormat="1" ht="15.75" thickBot="1" x14ac:dyDescent="0.3">
      <c r="A13" s="341" t="s">
        <v>462</v>
      </c>
      <c r="B13" s="296"/>
      <c r="C13" s="296"/>
      <c r="D13" s="351">
        <f t="shared" ref="D13:F13" si="6">D11+D10</f>
        <v>9269</v>
      </c>
      <c r="E13" s="351">
        <f t="shared" si="6"/>
        <v>7730</v>
      </c>
      <c r="F13" s="351">
        <f t="shared" si="6"/>
        <v>7177</v>
      </c>
      <c r="G13" s="351">
        <f>G11+G10</f>
        <v>7091</v>
      </c>
      <c r="H13" s="352">
        <f>H11+H10</f>
        <v>7344.6396221624464</v>
      </c>
      <c r="I13" s="352">
        <f t="shared" ref="I13:L13" si="7">I11+I10</f>
        <v>7622.1872288771265</v>
      </c>
      <c r="J13" s="352">
        <f t="shared" si="7"/>
        <v>7339.6827518103637</v>
      </c>
      <c r="K13" s="352">
        <f t="shared" si="7"/>
        <v>7290.6021063903172</v>
      </c>
      <c r="L13" s="352">
        <f t="shared" si="7"/>
        <v>7205.2160125608134</v>
      </c>
    </row>
    <row r="14" spans="1:12" s="300" customFormat="1" ht="15.75" thickBot="1" x14ac:dyDescent="0.3">
      <c r="A14" s="341" t="s">
        <v>464</v>
      </c>
      <c r="B14" s="303"/>
      <c r="C14" s="303"/>
      <c r="D14" s="305">
        <f t="shared" ref="D14:F14" si="8">(D5+D8)-(D10+D11)</f>
        <v>-3098</v>
      </c>
      <c r="E14" s="305">
        <f t="shared" si="8"/>
        <v>-2860</v>
      </c>
      <c r="F14" s="305">
        <f t="shared" si="8"/>
        <v>-2425</v>
      </c>
      <c r="G14" s="305">
        <f>(G5+G8)-(G10+G11)</f>
        <v>-2343</v>
      </c>
      <c r="H14" s="306">
        <f>(H5+H8)-(H10+H11)</f>
        <v>-2332.1600970757436</v>
      </c>
      <c r="I14" s="306">
        <f t="shared" ref="I14:L14" si="9">(I5+I8)-(I10+I11)</f>
        <v>-2088.7829583034872</v>
      </c>
      <c r="J14" s="306">
        <f t="shared" si="9"/>
        <v>-1822.4479648249962</v>
      </c>
      <c r="K14" s="306">
        <f t="shared" si="9"/>
        <v>-1559.8316341705877</v>
      </c>
      <c r="L14" s="306">
        <f t="shared" si="9"/>
        <v>-1287.1060063361601</v>
      </c>
    </row>
    <row r="15" spans="1:12" s="278" customFormat="1" ht="15.75" thickBot="1" x14ac:dyDescent="0.3">
      <c r="A15" s="341" t="s">
        <v>467</v>
      </c>
      <c r="B15" s="296"/>
      <c r="C15" s="296"/>
      <c r="D15" s="296"/>
      <c r="E15" s="296">
        <v>-98</v>
      </c>
      <c r="F15" s="296">
        <v>132</v>
      </c>
      <c r="G15" s="296">
        <v>-110</v>
      </c>
      <c r="H15" s="343">
        <v>-117</v>
      </c>
      <c r="I15" s="358">
        <f>G15</f>
        <v>-110</v>
      </c>
      <c r="J15" s="358">
        <f>I15</f>
        <v>-110</v>
      </c>
      <c r="K15" s="358">
        <f t="shared" ref="K15" si="10">I15</f>
        <v>-110</v>
      </c>
      <c r="L15" s="358">
        <f>J15</f>
        <v>-110</v>
      </c>
    </row>
    <row r="16" spans="1:12" s="355" customFormat="1" ht="15.75" thickBot="1" x14ac:dyDescent="0.3">
      <c r="A16" s="354" t="s">
        <v>465</v>
      </c>
      <c r="D16" s="356">
        <f t="shared" ref="D16:F16" si="11">C14-D14</f>
        <v>3098</v>
      </c>
      <c r="E16" s="356">
        <f t="shared" si="11"/>
        <v>-238</v>
      </c>
      <c r="F16" s="356">
        <f t="shared" si="11"/>
        <v>-435</v>
      </c>
      <c r="G16" s="453">
        <f>F14-G14</f>
        <v>-82</v>
      </c>
      <c r="H16" s="453">
        <f>G14-H14</f>
        <v>-10.839902924256421</v>
      </c>
      <c r="I16" s="357">
        <f t="shared" ref="I16:K16" si="12">I14-H14</f>
        <v>243.37713877225633</v>
      </c>
      <c r="J16" s="357">
        <f>J14-I14</f>
        <v>266.33499347849101</v>
      </c>
      <c r="K16" s="357">
        <f t="shared" si="12"/>
        <v>262.61633065440856</v>
      </c>
      <c r="L16" s="357">
        <f>L14-K14</f>
        <v>272.72562783442754</v>
      </c>
    </row>
    <row r="17" spans="1:12" x14ac:dyDescent="0.25">
      <c r="A17" s="309" t="s">
        <v>468</v>
      </c>
      <c r="B17" s="66"/>
      <c r="C17" s="66"/>
      <c r="D17" s="66"/>
      <c r="E17" s="66">
        <v>-336</v>
      </c>
      <c r="F17" s="66">
        <v>-303</v>
      </c>
      <c r="G17" s="66">
        <v>-192</v>
      </c>
      <c r="H17" s="338"/>
      <c r="I17" s="338"/>
      <c r="J17" s="338"/>
      <c r="K17" s="338"/>
      <c r="L17" s="338"/>
    </row>
    <row r="18" spans="1:12" x14ac:dyDescent="0.25">
      <c r="A18" s="309"/>
      <c r="B18" s="66"/>
      <c r="C18" s="66"/>
      <c r="D18" s="66"/>
      <c r="E18" s="66"/>
      <c r="F18" s="66"/>
      <c r="G18" s="66"/>
      <c r="H18" s="338" t="s">
        <v>405</v>
      </c>
      <c r="I18" s="338"/>
      <c r="J18" s="338"/>
      <c r="K18" s="338"/>
      <c r="L18" s="338"/>
    </row>
    <row r="19" spans="1:12" x14ac:dyDescent="0.25">
      <c r="A19" s="310" t="s">
        <v>469</v>
      </c>
      <c r="B19" s="70"/>
      <c r="C19" s="70"/>
      <c r="D19" s="70">
        <f t="shared" ref="D19:E19" si="13">D16+D15</f>
        <v>3098</v>
      </c>
      <c r="E19" s="70">
        <f t="shared" si="13"/>
        <v>-336</v>
      </c>
      <c r="F19" s="353">
        <f>F16+F15</f>
        <v>-303</v>
      </c>
      <c r="G19" s="353">
        <f>G16+G15</f>
        <v>-192</v>
      </c>
      <c r="H19" s="340">
        <f>H16+H15</f>
        <v>-127.83990292425642</v>
      </c>
      <c r="I19" s="340">
        <f t="shared" ref="I19:L19" si="14">I16+I15</f>
        <v>133.37713877225633</v>
      </c>
      <c r="J19" s="340">
        <f>J16+J15</f>
        <v>156.33499347849101</v>
      </c>
      <c r="K19" s="340">
        <f t="shared" si="14"/>
        <v>152.61633065440856</v>
      </c>
      <c r="L19" s="340">
        <f t="shared" si="14"/>
        <v>162.72562783442754</v>
      </c>
    </row>
    <row r="25" spans="1:12" x14ac:dyDescent="0.25">
      <c r="D25" s="349"/>
      <c r="E25" s="349"/>
      <c r="F25" s="349"/>
      <c r="G25" s="349"/>
      <c r="H25" s="350"/>
      <c r="I25" s="350"/>
      <c r="J25" s="350"/>
      <c r="K25" s="350"/>
      <c r="L25" s="350"/>
    </row>
    <row r="26" spans="1:12" x14ac:dyDescent="0.25">
      <c r="D26" s="349"/>
      <c r="E26" s="349"/>
      <c r="F26" s="349"/>
      <c r="G26" s="349"/>
      <c r="H26" s="350"/>
      <c r="I26" s="350"/>
      <c r="J26" s="350"/>
      <c r="K26" s="350"/>
      <c r="L26" s="350"/>
    </row>
    <row r="27" spans="1:12" x14ac:dyDescent="0.25">
      <c r="D27" s="349"/>
      <c r="E27" s="349"/>
      <c r="F27" s="349"/>
      <c r="G27" s="349"/>
      <c r="H27" s="350"/>
      <c r="I27" s="350"/>
      <c r="J27" s="350"/>
      <c r="K27" s="350"/>
      <c r="L27" s="350"/>
    </row>
    <row r="28" spans="1:12" x14ac:dyDescent="0.25">
      <c r="D28" s="349"/>
      <c r="E28" s="349"/>
      <c r="F28" s="349"/>
      <c r="G28" s="349"/>
      <c r="H28" s="350"/>
      <c r="I28" s="350"/>
      <c r="J28" s="350"/>
      <c r="K28" s="350"/>
      <c r="L28" s="350"/>
    </row>
    <row r="29" spans="1:12" x14ac:dyDescent="0.25">
      <c r="D29" s="349"/>
      <c r="E29" s="349"/>
      <c r="F29" s="349"/>
      <c r="G29" s="349"/>
      <c r="H29" s="350"/>
      <c r="I29" s="350"/>
      <c r="J29" s="350"/>
      <c r="K29" s="350"/>
      <c r="L29" s="350"/>
    </row>
    <row r="30" spans="1:12" x14ac:dyDescent="0.25">
      <c r="D30" s="349"/>
      <c r="E30" s="349"/>
      <c r="F30" s="349"/>
      <c r="G30" s="349"/>
      <c r="H30" s="350"/>
      <c r="I30" s="350"/>
      <c r="J30" s="350"/>
      <c r="K30" s="350"/>
      <c r="L30" s="350"/>
    </row>
    <row r="31" spans="1:12" x14ac:dyDescent="0.25">
      <c r="D31" s="349"/>
      <c r="E31" s="349"/>
      <c r="F31" s="349"/>
      <c r="G31" s="349"/>
      <c r="H31" s="350"/>
      <c r="I31" s="350"/>
      <c r="J31" s="350"/>
      <c r="K31" s="350"/>
      <c r="L31" s="350"/>
    </row>
    <row r="32" spans="1:12" x14ac:dyDescent="0.25">
      <c r="D32" s="349"/>
      <c r="E32" s="349"/>
      <c r="F32" s="349"/>
      <c r="G32" s="349"/>
      <c r="H32" s="350"/>
      <c r="I32" s="350"/>
      <c r="J32" s="350"/>
      <c r="K32" s="350"/>
      <c r="L32" s="350"/>
    </row>
    <row r="33" spans="1:12" x14ac:dyDescent="0.25">
      <c r="A33">
        <f>BS!A65</f>
        <v>0</v>
      </c>
      <c r="H33"/>
      <c r="I33"/>
      <c r="J33"/>
      <c r="K33"/>
      <c r="L33"/>
    </row>
    <row r="34" spans="1:12" x14ac:dyDescent="0.25">
      <c r="A34">
        <f>BS!A66</f>
        <v>0</v>
      </c>
      <c r="H34"/>
      <c r="I34"/>
      <c r="J34"/>
      <c r="K34"/>
      <c r="L34"/>
    </row>
    <row r="35" spans="1:12" x14ac:dyDescent="0.25">
      <c r="A35">
        <f>BS!A67</f>
        <v>0</v>
      </c>
      <c r="H35"/>
      <c r="I35"/>
      <c r="J35"/>
      <c r="K35"/>
      <c r="L35"/>
    </row>
    <row r="36" spans="1:12" x14ac:dyDescent="0.25">
      <c r="A36">
        <f>BS!A68</f>
        <v>0</v>
      </c>
      <c r="H36"/>
      <c r="I36"/>
      <c r="J36"/>
      <c r="K36"/>
      <c r="L36"/>
    </row>
    <row r="37" spans="1:12" x14ac:dyDescent="0.25">
      <c r="A37" t="str">
        <f>BS!A69</f>
        <v>Change in Working Capital Calculation</v>
      </c>
      <c r="H37"/>
      <c r="I37"/>
      <c r="J37"/>
      <c r="K37"/>
      <c r="L37"/>
    </row>
  </sheetData>
  <pageMargins left="0.7" right="0.7" top="0.75" bottom="0.75" header="0.3" footer="0.3"/>
  <pageSetup paperSize="9" orientation="portrait" verticalDpi="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29"/>
  <sheetViews>
    <sheetView topLeftCell="A7" workbookViewId="0">
      <selection activeCell="K14" sqref="K14"/>
    </sheetView>
  </sheetViews>
  <sheetFormatPr defaultRowHeight="15" x14ac:dyDescent="0.25"/>
  <cols>
    <col min="1" max="1" width="20" customWidth="1"/>
    <col min="2" max="2" width="10.140625" customWidth="1"/>
    <col min="3" max="3" width="11" customWidth="1"/>
    <col min="4" max="4" width="9.140625" customWidth="1"/>
    <col min="7" max="7" width="22.5703125" bestFit="1" customWidth="1"/>
    <col min="8" max="8" width="11" bestFit="1" customWidth="1"/>
    <col min="9" max="11" width="11" customWidth="1"/>
  </cols>
  <sheetData>
    <row r="1" spans="1:7" x14ac:dyDescent="0.25">
      <c r="D1" t="s">
        <v>518</v>
      </c>
    </row>
    <row r="2" spans="1:7" x14ac:dyDescent="0.25">
      <c r="D2" t="s">
        <v>519</v>
      </c>
    </row>
    <row r="3" spans="1:7" x14ac:dyDescent="0.25">
      <c r="D3" t="s">
        <v>520</v>
      </c>
    </row>
    <row r="4" spans="1:7" ht="16.5" x14ac:dyDescent="0.25">
      <c r="A4" s="425"/>
      <c r="D4" t="s">
        <v>521</v>
      </c>
      <c r="G4" s="425"/>
    </row>
    <row r="5" spans="1:7" x14ac:dyDescent="0.25">
      <c r="D5" t="s">
        <v>522</v>
      </c>
    </row>
    <row r="10" spans="1:7" ht="16.5" x14ac:dyDescent="0.25">
      <c r="A10" s="425"/>
    </row>
    <row r="13" spans="1:7" x14ac:dyDescent="0.25">
      <c r="A13" t="s">
        <v>487</v>
      </c>
      <c r="B13" t="s">
        <v>488</v>
      </c>
      <c r="C13" t="s">
        <v>489</v>
      </c>
      <c r="D13" t="s">
        <v>501</v>
      </c>
    </row>
    <row r="15" spans="1:7" x14ac:dyDescent="0.25">
      <c r="A15" t="s">
        <v>490</v>
      </c>
      <c r="B15" t="s">
        <v>491</v>
      </c>
      <c r="C15">
        <v>57.5</v>
      </c>
      <c r="D15" t="s">
        <v>502</v>
      </c>
    </row>
    <row r="16" spans="1:7" x14ac:dyDescent="0.25">
      <c r="A16" t="s">
        <v>492</v>
      </c>
      <c r="B16" t="s">
        <v>491</v>
      </c>
      <c r="C16">
        <v>49.72</v>
      </c>
      <c r="D16" t="s">
        <v>502</v>
      </c>
    </row>
    <row r="21" spans="1:31" x14ac:dyDescent="0.25">
      <c r="A21" t="s">
        <v>500</v>
      </c>
      <c r="B21" t="s">
        <v>494</v>
      </c>
      <c r="C21">
        <v>33.299999999999997</v>
      </c>
      <c r="D21" t="s">
        <v>505</v>
      </c>
    </row>
    <row r="22" spans="1:31" x14ac:dyDescent="0.25">
      <c r="G22">
        <v>2018</v>
      </c>
      <c r="N22">
        <v>2018</v>
      </c>
    </row>
    <row r="23" spans="1:31" x14ac:dyDescent="0.25">
      <c r="F23" s="807" t="s">
        <v>515</v>
      </c>
      <c r="G23" s="807"/>
      <c r="H23" s="807"/>
      <c r="I23" s="432"/>
      <c r="J23" s="432"/>
      <c r="K23" s="432"/>
      <c r="L23" s="808" t="s">
        <v>516</v>
      </c>
      <c r="M23" s="807"/>
      <c r="N23" s="807"/>
      <c r="O23" s="807"/>
      <c r="P23" s="807"/>
      <c r="T23" s="807" t="s">
        <v>514</v>
      </c>
      <c r="U23" s="807"/>
      <c r="V23" s="807"/>
      <c r="W23" s="807"/>
      <c r="Z23" t="s">
        <v>525</v>
      </c>
      <c r="AD23" t="s">
        <v>528</v>
      </c>
    </row>
    <row r="24" spans="1:31" x14ac:dyDescent="0.25">
      <c r="A24" t="s">
        <v>506</v>
      </c>
      <c r="B24" t="s">
        <v>488</v>
      </c>
      <c r="C24" t="s">
        <v>507</v>
      </c>
      <c r="D24" t="s">
        <v>501</v>
      </c>
      <c r="E24" t="s">
        <v>508</v>
      </c>
      <c r="F24" t="s">
        <v>539</v>
      </c>
      <c r="G24" t="s">
        <v>531</v>
      </c>
      <c r="H24" t="s">
        <v>509</v>
      </c>
      <c r="I24" t="s">
        <v>536</v>
      </c>
      <c r="J24" t="s">
        <v>532</v>
      </c>
      <c r="K24" t="s">
        <v>523</v>
      </c>
      <c r="L24" t="s">
        <v>0</v>
      </c>
      <c r="M24" t="s">
        <v>524</v>
      </c>
      <c r="N24" t="s">
        <v>304</v>
      </c>
      <c r="O24" t="s">
        <v>305</v>
      </c>
      <c r="P24" t="s">
        <v>517</v>
      </c>
      <c r="T24" t="s">
        <v>513</v>
      </c>
      <c r="U24" t="s">
        <v>510</v>
      </c>
      <c r="V24" t="s">
        <v>511</v>
      </c>
      <c r="W24" t="s">
        <v>512</v>
      </c>
      <c r="Y24" t="s">
        <v>526</v>
      </c>
      <c r="Z24" t="s">
        <v>527</v>
      </c>
      <c r="AA24" t="s">
        <v>318</v>
      </c>
      <c r="AD24" t="s">
        <v>529</v>
      </c>
      <c r="AE24" t="s">
        <v>530</v>
      </c>
    </row>
    <row r="25" spans="1:31" x14ac:dyDescent="0.25">
      <c r="A25" t="s">
        <v>497</v>
      </c>
      <c r="B25" t="s">
        <v>494</v>
      </c>
      <c r="C25">
        <v>58.62</v>
      </c>
      <c r="E25" t="s">
        <v>534</v>
      </c>
      <c r="F25" t="s">
        <v>535</v>
      </c>
      <c r="K25">
        <f>H25-J25+I25</f>
        <v>0</v>
      </c>
      <c r="M25">
        <v>50986</v>
      </c>
    </row>
    <row r="26" spans="1:31" x14ac:dyDescent="0.25">
      <c r="A26" s="429" t="s">
        <v>493</v>
      </c>
      <c r="B26" s="430" t="s">
        <v>494</v>
      </c>
      <c r="C26" s="430">
        <v>42.62</v>
      </c>
      <c r="D26" s="431" t="s">
        <v>503</v>
      </c>
      <c r="E26" s="433" t="s">
        <v>533</v>
      </c>
      <c r="F26">
        <v>32.725000000000001</v>
      </c>
    </row>
    <row r="27" spans="1:31" x14ac:dyDescent="0.25">
      <c r="A27" s="426" t="s">
        <v>495</v>
      </c>
      <c r="B27" s="427" t="s">
        <v>494</v>
      </c>
      <c r="C27" s="427">
        <v>41.51</v>
      </c>
      <c r="D27" s="428" t="s">
        <v>503</v>
      </c>
      <c r="E27" s="434" t="s">
        <v>534</v>
      </c>
      <c r="F27" s="434" t="s">
        <v>535</v>
      </c>
    </row>
    <row r="28" spans="1:31" x14ac:dyDescent="0.25">
      <c r="A28" s="429" t="s">
        <v>496</v>
      </c>
      <c r="B28" s="430" t="s">
        <v>491</v>
      </c>
      <c r="C28" s="430">
        <v>41.02</v>
      </c>
      <c r="D28" s="431" t="s">
        <v>504</v>
      </c>
      <c r="E28" s="435" t="s">
        <v>538</v>
      </c>
      <c r="F28">
        <v>14.87</v>
      </c>
    </row>
    <row r="29" spans="1:31" x14ac:dyDescent="0.25">
      <c r="A29" s="426" t="s">
        <v>498</v>
      </c>
      <c r="B29" s="427" t="s">
        <v>499</v>
      </c>
      <c r="C29" s="427">
        <v>36.6</v>
      </c>
      <c r="D29" s="428" t="s">
        <v>503</v>
      </c>
      <c r="E29" s="433" t="s">
        <v>537</v>
      </c>
      <c r="F29">
        <v>220.95</v>
      </c>
    </row>
  </sheetData>
  <mergeCells count="3">
    <mergeCell ref="T23:W23"/>
    <mergeCell ref="F23:H23"/>
    <mergeCell ref="L23:P23"/>
  </mergeCells>
  <hyperlinks>
    <hyperlink ref="E26" r:id="rId1" tooltip="Stock Casino Guichard-Perrachon" display="https://www.marketscreener.com/CASINO-GUICHARD-PERRACHON-4627/"/>
    <hyperlink ref="E29" r:id="rId2" tooltip="Stock J Sainsbury plc" display="https://www.marketscreener.com/J-SAINSBURY-PLC-9590189/"/>
  </hyperlinks>
  <pageMargins left="0.7" right="0.7" top="0.75" bottom="0.75" header="0.3" footer="0.3"/>
  <pageSetup paperSize="9" orientation="portrait" verticalDpi="0" r:id="rId3"/>
  <legacyDrawing r:id="rId4"/>
  <tableParts count="1">
    <tablePart r:id="rId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5"/>
  <sheetViews>
    <sheetView zoomScale="55" zoomScaleNormal="55" workbookViewId="0">
      <selection activeCell="K14" sqref="K14"/>
    </sheetView>
  </sheetViews>
  <sheetFormatPr defaultRowHeight="15" x14ac:dyDescent="0.25"/>
  <cols>
    <col min="1" max="1" width="85.28515625" bestFit="1" customWidth="1"/>
    <col min="2" max="2" width="52.28515625" customWidth="1"/>
  </cols>
  <sheetData>
    <row r="1" spans="1:12" ht="15" customHeight="1" x14ac:dyDescent="0.25">
      <c r="A1" t="s">
        <v>176</v>
      </c>
      <c r="B1" s="809" t="s">
        <v>412</v>
      </c>
    </row>
    <row r="2" spans="1:12" ht="15" customHeight="1" x14ac:dyDescent="0.25">
      <c r="B2" s="809"/>
    </row>
    <row r="3" spans="1:12" ht="15" customHeight="1" x14ac:dyDescent="0.25">
      <c r="A3" s="2" t="s">
        <v>177</v>
      </c>
      <c r="B3" s="809"/>
      <c r="C3" s="31"/>
      <c r="D3" s="31"/>
      <c r="E3" s="31"/>
      <c r="F3" s="31"/>
    </row>
    <row r="4" spans="1:12" ht="15" customHeight="1" x14ac:dyDescent="0.25">
      <c r="B4" s="809"/>
      <c r="C4" s="31"/>
      <c r="D4" s="31"/>
      <c r="E4" s="31"/>
      <c r="F4" s="31"/>
      <c r="L4" s="2" t="s">
        <v>10</v>
      </c>
    </row>
    <row r="5" spans="1:12" ht="15" customHeight="1" x14ac:dyDescent="0.25">
      <c r="B5" s="809"/>
      <c r="C5" s="31"/>
      <c r="D5" s="31"/>
      <c r="E5" s="31"/>
      <c r="F5" s="31"/>
    </row>
    <row r="6" spans="1:12" ht="15" customHeight="1" x14ac:dyDescent="0.25">
      <c r="A6" t="s">
        <v>178</v>
      </c>
      <c r="B6" s="809"/>
      <c r="C6" s="81" t="s">
        <v>235</v>
      </c>
      <c r="L6" t="s">
        <v>187</v>
      </c>
    </row>
    <row r="7" spans="1:12" ht="15" customHeight="1" x14ac:dyDescent="0.25">
      <c r="A7" t="s">
        <v>179</v>
      </c>
      <c r="B7" s="809"/>
      <c r="C7" s="83" t="s">
        <v>236</v>
      </c>
      <c r="E7" s="82">
        <v>-5.0000000000000001E-3</v>
      </c>
    </row>
    <row r="8" spans="1:12" ht="15" customHeight="1" x14ac:dyDescent="0.25">
      <c r="A8" t="s">
        <v>181</v>
      </c>
      <c r="B8" s="809"/>
      <c r="L8" s="2" t="s">
        <v>9</v>
      </c>
    </row>
    <row r="9" spans="1:12" ht="15" customHeight="1" x14ac:dyDescent="0.25">
      <c r="B9" s="809"/>
    </row>
    <row r="10" spans="1:12" ht="15" customHeight="1" x14ac:dyDescent="0.25">
      <c r="A10" s="2" t="s">
        <v>3</v>
      </c>
      <c r="B10" s="809"/>
      <c r="L10" t="s">
        <v>188</v>
      </c>
    </row>
    <row r="11" spans="1:12" ht="15" customHeight="1" x14ac:dyDescent="0.25">
      <c r="B11" s="809"/>
    </row>
    <row r="12" spans="1:12" ht="15" customHeight="1" x14ac:dyDescent="0.25">
      <c r="A12" t="s">
        <v>182</v>
      </c>
      <c r="B12" s="809"/>
    </row>
    <row r="13" spans="1:12" ht="15" customHeight="1" x14ac:dyDescent="0.25">
      <c r="A13" t="s">
        <v>183</v>
      </c>
      <c r="B13" s="809"/>
      <c r="C13" s="83" t="s">
        <v>237</v>
      </c>
    </row>
    <row r="14" spans="1:12" ht="15" customHeight="1" x14ac:dyDescent="0.25">
      <c r="A14" t="s">
        <v>184</v>
      </c>
      <c r="B14" s="809"/>
      <c r="C14" t="s">
        <v>236</v>
      </c>
      <c r="E14">
        <v>-0.01</v>
      </c>
    </row>
    <row r="15" spans="1:12" ht="15" customHeight="1" x14ac:dyDescent="0.25">
      <c r="A15" t="s">
        <v>185</v>
      </c>
      <c r="B15" s="809"/>
    </row>
    <row r="16" spans="1:12" ht="15" customHeight="1" x14ac:dyDescent="0.25">
      <c r="A16" t="s">
        <v>186</v>
      </c>
      <c r="B16" s="809"/>
    </row>
    <row r="17" spans="1:8" ht="15" customHeight="1" x14ac:dyDescent="0.25">
      <c r="B17" s="809"/>
    </row>
    <row r="18" spans="1:8" ht="15" customHeight="1" x14ac:dyDescent="0.25">
      <c r="A18" s="2" t="s">
        <v>4</v>
      </c>
      <c r="B18" s="809"/>
    </row>
    <row r="19" spans="1:8" ht="15" customHeight="1" x14ac:dyDescent="0.25">
      <c r="A19" s="2"/>
      <c r="B19" s="809"/>
    </row>
    <row r="20" spans="1:8" ht="15" customHeight="1" x14ac:dyDescent="0.25">
      <c r="A20" t="s">
        <v>189</v>
      </c>
      <c r="B20" s="809"/>
      <c r="E20" s="83" t="s">
        <v>238</v>
      </c>
    </row>
    <row r="21" spans="1:8" ht="15" customHeight="1" x14ac:dyDescent="0.25">
      <c r="B21" s="809"/>
    </row>
    <row r="22" spans="1:8" ht="15" customHeight="1" x14ac:dyDescent="0.25">
      <c r="A22" s="2" t="s">
        <v>5</v>
      </c>
      <c r="B22" s="809"/>
    </row>
    <row r="23" spans="1:8" ht="15" customHeight="1" x14ac:dyDescent="0.25">
      <c r="B23" s="809"/>
    </row>
    <row r="24" spans="1:8" ht="15" customHeight="1" x14ac:dyDescent="0.25">
      <c r="A24" t="s">
        <v>190</v>
      </c>
      <c r="B24" s="809"/>
      <c r="F24" s="83"/>
    </row>
    <row r="25" spans="1:8" ht="15" customHeight="1" x14ac:dyDescent="0.25">
      <c r="A25" t="s">
        <v>191</v>
      </c>
      <c r="B25" s="809"/>
      <c r="F25" s="83" t="s">
        <v>239</v>
      </c>
    </row>
    <row r="26" spans="1:8" ht="15" customHeight="1" x14ac:dyDescent="0.25">
      <c r="A26" t="s">
        <v>193</v>
      </c>
      <c r="B26" s="809"/>
    </row>
    <row r="27" spans="1:8" ht="15" customHeight="1" x14ac:dyDescent="0.25">
      <c r="A27" t="s">
        <v>192</v>
      </c>
      <c r="B27" s="809"/>
      <c r="F27" s="83" t="s">
        <v>240</v>
      </c>
      <c r="H27" t="s">
        <v>241</v>
      </c>
    </row>
    <row r="28" spans="1:8" ht="15" customHeight="1" x14ac:dyDescent="0.25">
      <c r="B28" s="207"/>
    </row>
    <row r="29" spans="1:8" ht="15" customHeight="1" x14ac:dyDescent="0.25">
      <c r="B29" s="207"/>
    </row>
    <row r="30" spans="1:8" ht="15" customHeight="1" x14ac:dyDescent="0.25">
      <c r="A30" s="2" t="s">
        <v>6</v>
      </c>
      <c r="B30" s="207"/>
    </row>
    <row r="31" spans="1:8" ht="15" customHeight="1" x14ac:dyDescent="0.25">
      <c r="B31" s="207"/>
    </row>
    <row r="32" spans="1:8" ht="15" customHeight="1" x14ac:dyDescent="0.25">
      <c r="A32" t="s">
        <v>196</v>
      </c>
      <c r="B32" s="207"/>
      <c r="E32" s="83" t="s">
        <v>238</v>
      </c>
    </row>
    <row r="33" spans="1:6" ht="15" customHeight="1" x14ac:dyDescent="0.25">
      <c r="A33" t="s">
        <v>194</v>
      </c>
      <c r="B33" s="207"/>
    </row>
    <row r="34" spans="1:6" ht="15" customHeight="1" x14ac:dyDescent="0.25">
      <c r="A34" t="s">
        <v>195</v>
      </c>
      <c r="B34" s="207"/>
    </row>
    <row r="35" spans="1:6" ht="15" customHeight="1" x14ac:dyDescent="0.25">
      <c r="B35" s="207"/>
    </row>
    <row r="36" spans="1:6" ht="15" customHeight="1" x14ac:dyDescent="0.25">
      <c r="B36" s="207"/>
    </row>
    <row r="37" spans="1:6" ht="15" customHeight="1" x14ac:dyDescent="0.25">
      <c r="A37" s="2" t="s">
        <v>197</v>
      </c>
      <c r="B37" s="207"/>
    </row>
    <row r="38" spans="1:6" ht="15" customHeight="1" x14ac:dyDescent="0.25">
      <c r="B38" s="207"/>
    </row>
    <row r="39" spans="1:6" ht="15" customHeight="1" x14ac:dyDescent="0.25">
      <c r="A39" t="s">
        <v>198</v>
      </c>
      <c r="B39" s="207"/>
    </row>
    <row r="40" spans="1:6" ht="15" customHeight="1" x14ac:dyDescent="0.25">
      <c r="A40" t="s">
        <v>199</v>
      </c>
      <c r="B40" s="207"/>
      <c r="F40" s="83" t="s">
        <v>242</v>
      </c>
    </row>
    <row r="41" spans="1:6" ht="15" customHeight="1" x14ac:dyDescent="0.25">
      <c r="A41" t="s">
        <v>200</v>
      </c>
      <c r="B41" s="207"/>
    </row>
    <row r="42" spans="1:6" ht="15" customHeight="1" x14ac:dyDescent="0.25">
      <c r="A42" t="s">
        <v>201</v>
      </c>
      <c r="B42" s="207"/>
    </row>
    <row r="43" spans="1:6" ht="15" customHeight="1" x14ac:dyDescent="0.25">
      <c r="B43" s="207"/>
    </row>
    <row r="44" spans="1:6" ht="15" customHeight="1" x14ac:dyDescent="0.25">
      <c r="A44" s="2" t="s">
        <v>202</v>
      </c>
      <c r="B44" s="207"/>
    </row>
    <row r="45" spans="1:6" ht="15" customHeight="1" x14ac:dyDescent="0.25">
      <c r="B45" s="207"/>
    </row>
    <row r="46" spans="1:6" ht="15" customHeight="1" x14ac:dyDescent="0.25">
      <c r="A46" t="s">
        <v>203</v>
      </c>
      <c r="B46" s="207"/>
      <c r="F46" s="83" t="s">
        <v>243</v>
      </c>
    </row>
    <row r="47" spans="1:6" ht="15" customHeight="1" x14ac:dyDescent="0.25">
      <c r="A47" t="s">
        <v>204</v>
      </c>
      <c r="B47" s="207"/>
    </row>
    <row r="48" spans="1:6" ht="15" customHeight="1" x14ac:dyDescent="0.25">
      <c r="A48" t="s">
        <v>205</v>
      </c>
      <c r="B48" s="207"/>
    </row>
    <row r="49" spans="1:16" ht="15" customHeight="1" x14ac:dyDescent="0.25">
      <c r="A49" t="s">
        <v>206</v>
      </c>
      <c r="B49" s="207"/>
    </row>
    <row r="50" spans="1:16" ht="15" customHeight="1" x14ac:dyDescent="0.25">
      <c r="B50" s="207"/>
    </row>
    <row r="51" spans="1:16" ht="15" customHeight="1" x14ac:dyDescent="0.25">
      <c r="A51" s="2" t="s">
        <v>208</v>
      </c>
      <c r="B51" s="207"/>
    </row>
    <row r="52" spans="1:16" ht="15" customHeight="1" x14ac:dyDescent="0.25">
      <c r="B52" s="207"/>
    </row>
    <row r="53" spans="1:16" ht="15" customHeight="1" x14ac:dyDescent="0.25">
      <c r="A53" t="s">
        <v>207</v>
      </c>
      <c r="B53" s="207"/>
      <c r="G53" s="83" t="s">
        <v>245</v>
      </c>
    </row>
    <row r="54" spans="1:16" ht="15" customHeight="1" x14ac:dyDescent="0.25">
      <c r="B54" s="207"/>
    </row>
    <row r="55" spans="1:16" ht="15" customHeight="1" x14ac:dyDescent="0.25">
      <c r="B55" s="207"/>
    </row>
    <row r="56" spans="1:16" ht="15" customHeight="1" x14ac:dyDescent="0.25">
      <c r="A56" s="84" t="s">
        <v>258</v>
      </c>
      <c r="B56" s="207"/>
    </row>
    <row r="57" spans="1:16" ht="15" customHeight="1" x14ac:dyDescent="0.25">
      <c r="B57" s="207"/>
    </row>
    <row r="58" spans="1:16" x14ac:dyDescent="0.25">
      <c r="A58" t="s">
        <v>260</v>
      </c>
    </row>
    <row r="60" spans="1:16" x14ac:dyDescent="0.25">
      <c r="A60" t="s">
        <v>261</v>
      </c>
    </row>
    <row r="61" spans="1:16" x14ac:dyDescent="0.25">
      <c r="P61" t="s">
        <v>246</v>
      </c>
    </row>
    <row r="62" spans="1:16" x14ac:dyDescent="0.25">
      <c r="A62" t="s">
        <v>262</v>
      </c>
      <c r="P62" t="s">
        <v>247</v>
      </c>
    </row>
    <row r="63" spans="1:16" x14ac:dyDescent="0.25">
      <c r="P63" t="s">
        <v>248</v>
      </c>
    </row>
    <row r="64" spans="1:16" ht="17.25" x14ac:dyDescent="0.25">
      <c r="A64" s="85" t="s">
        <v>263</v>
      </c>
      <c r="P64" t="s">
        <v>249</v>
      </c>
    </row>
    <row r="66" spans="1:16" ht="16.5" x14ac:dyDescent="0.25">
      <c r="A66" s="86" t="s">
        <v>264</v>
      </c>
      <c r="P66" t="s">
        <v>250</v>
      </c>
    </row>
    <row r="67" spans="1:16" x14ac:dyDescent="0.25">
      <c r="P67" t="s">
        <v>251</v>
      </c>
    </row>
    <row r="68" spans="1:16" ht="16.5" x14ac:dyDescent="0.25">
      <c r="A68" s="86" t="s">
        <v>265</v>
      </c>
      <c r="P68" t="s">
        <v>252</v>
      </c>
    </row>
    <row r="70" spans="1:16" x14ac:dyDescent="0.25">
      <c r="P70" t="s">
        <v>253</v>
      </c>
    </row>
    <row r="71" spans="1:16" x14ac:dyDescent="0.25">
      <c r="P71" t="s">
        <v>254</v>
      </c>
    </row>
    <row r="72" spans="1:16" x14ac:dyDescent="0.25">
      <c r="P72" t="s">
        <v>255</v>
      </c>
    </row>
    <row r="73" spans="1:16" x14ac:dyDescent="0.25">
      <c r="P73" t="s">
        <v>256</v>
      </c>
    </row>
    <row r="75" spans="1:16" x14ac:dyDescent="0.25">
      <c r="P75" t="s">
        <v>257</v>
      </c>
    </row>
  </sheetData>
  <mergeCells count="1">
    <mergeCell ref="B1:B27"/>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2"/>
  <sheetViews>
    <sheetView zoomScale="55" zoomScaleNormal="55" workbookViewId="0">
      <pane xSplit="5" ySplit="1" topLeftCell="F2" activePane="bottomRight" state="frozen"/>
      <selection pane="topRight" activeCell="F1" sqref="F1"/>
      <selection pane="bottomLeft" activeCell="A2" sqref="A2"/>
      <selection pane="bottomRight" activeCell="M53" sqref="M53"/>
    </sheetView>
  </sheetViews>
  <sheetFormatPr defaultRowHeight="15" x14ac:dyDescent="0.25"/>
  <cols>
    <col min="1" max="1" width="64.5703125" customWidth="1"/>
    <col min="2" max="5" width="0" hidden="1" customWidth="1"/>
    <col min="6" max="6" width="13.42578125" bestFit="1" customWidth="1"/>
    <col min="7" max="7" width="12.5703125" customWidth="1"/>
    <col min="8" max="8" width="13.5703125" bestFit="1" customWidth="1"/>
    <col min="9" max="9" width="13.85546875" bestFit="1" customWidth="1"/>
    <col min="10" max="10" width="13.42578125" style="5" bestFit="1" customWidth="1"/>
    <col min="11" max="14" width="13.85546875" style="5" bestFit="1" customWidth="1"/>
  </cols>
  <sheetData>
    <row r="1" spans="1:14" s="402" customFormat="1" ht="15.75" x14ac:dyDescent="0.25">
      <c r="A1" s="812" t="s">
        <v>16</v>
      </c>
      <c r="B1" s="813"/>
      <c r="C1" s="813"/>
      <c r="D1" s="813"/>
      <c r="E1" s="813"/>
      <c r="F1" s="813">
        <v>2015</v>
      </c>
      <c r="G1" s="813">
        <v>2016</v>
      </c>
      <c r="H1" s="813">
        <v>2017</v>
      </c>
      <c r="I1" s="829">
        <v>2018</v>
      </c>
      <c r="J1" s="814" t="s">
        <v>113</v>
      </c>
      <c r="K1" s="814" t="s">
        <v>114</v>
      </c>
      <c r="L1" s="814" t="s">
        <v>115</v>
      </c>
      <c r="M1" s="814" t="s">
        <v>116</v>
      </c>
      <c r="N1" s="814" t="s">
        <v>117</v>
      </c>
    </row>
    <row r="2" spans="1:14" s="402" customFormat="1" x14ac:dyDescent="0.25">
      <c r="A2" s="816" t="s">
        <v>234</v>
      </c>
      <c r="B2" s="486"/>
      <c r="C2" s="486"/>
      <c r="D2" s="486"/>
      <c r="E2" s="486"/>
      <c r="F2" s="486"/>
      <c r="G2" s="488">
        <f>G3/F3-1</f>
        <v>2.0333031264159418E-2</v>
      </c>
      <c r="H2" s="488">
        <f t="shared" ref="H2:N2" si="0">H3/G3-1</f>
        <v>4.0521787399389497E-2</v>
      </c>
      <c r="I2" s="488">
        <f t="shared" si="0"/>
        <v>-2.3632968791677755E-2</v>
      </c>
      <c r="J2" s="741">
        <f t="shared" si="0"/>
        <v>3.408254111306408E-2</v>
      </c>
      <c r="K2" s="741">
        <f t="shared" si="0"/>
        <v>1.9798013835305106E-2</v>
      </c>
      <c r="L2" s="741">
        <f t="shared" si="0"/>
        <v>2.0429710744136687E-2</v>
      </c>
      <c r="M2" s="741">
        <f t="shared" si="0"/>
        <v>1.8776225851969697E-2</v>
      </c>
      <c r="N2" s="741">
        <f t="shared" si="0"/>
        <v>1.3251240231800354E-2</v>
      </c>
    </row>
    <row r="3" spans="1:14" s="402" customFormat="1" x14ac:dyDescent="0.25">
      <c r="A3" s="810" t="s">
        <v>17</v>
      </c>
      <c r="B3" s="17"/>
      <c r="C3" s="17"/>
      <c r="D3" s="17"/>
      <c r="E3" s="17"/>
      <c r="F3" s="21">
        <v>35312</v>
      </c>
      <c r="G3" s="17">
        <v>36030</v>
      </c>
      <c r="H3" s="817">
        <v>37490</v>
      </c>
      <c r="I3" s="21">
        <f>LFL!P2</f>
        <v>36604</v>
      </c>
      <c r="J3" s="72">
        <f>LFL!U2</f>
        <v>37851.557334902594</v>
      </c>
      <c r="K3" s="72">
        <f>LFL!Z2</f>
        <v>38600.942990706841</v>
      </c>
      <c r="L3" s="72">
        <f>LFL!AE2</f>
        <v>39389.549090457891</v>
      </c>
      <c r="M3" s="72">
        <f>LFL!AJ2</f>
        <v>40129.136160387578</v>
      </c>
      <c r="N3" s="72">
        <f>LFL!AO2</f>
        <v>40660.896983943501</v>
      </c>
    </row>
    <row r="4" spans="1:14" s="402" customFormat="1" x14ac:dyDescent="0.25">
      <c r="A4" s="818" t="s">
        <v>18</v>
      </c>
      <c r="B4" s="17"/>
      <c r="C4" s="17"/>
      <c r="D4" s="17"/>
      <c r="E4" s="17"/>
      <c r="F4" s="111">
        <f>G4/G6*F6</f>
        <v>515.13102904455252</v>
      </c>
      <c r="G4" s="111">
        <f>H4/H6*G6</f>
        <v>525.60520436325407</v>
      </c>
      <c r="H4" s="17">
        <v>555</v>
      </c>
      <c r="I4" s="17">
        <v>532</v>
      </c>
      <c r="J4" s="742">
        <f>J5*J3</f>
        <v>548.84758135608763</v>
      </c>
      <c r="K4" s="742">
        <f t="shared" ref="K4:N4" si="1">K5*K3</f>
        <v>559.71367336524918</v>
      </c>
      <c r="L4" s="742">
        <f t="shared" si="1"/>
        <v>571.14846181163944</v>
      </c>
      <c r="M4" s="742">
        <f t="shared" si="1"/>
        <v>581.87247432561992</v>
      </c>
      <c r="N4" s="742">
        <f t="shared" si="1"/>
        <v>589.58300626718085</v>
      </c>
    </row>
    <row r="5" spans="1:14" s="402" customFormat="1" x14ac:dyDescent="0.25">
      <c r="A5" s="816" t="s">
        <v>267</v>
      </c>
      <c r="B5" s="486"/>
      <c r="C5" s="486"/>
      <c r="D5" s="486"/>
      <c r="E5" s="486"/>
      <c r="F5" s="488">
        <f>F4/F3</f>
        <v>1.4587987909055068E-2</v>
      </c>
      <c r="G5" s="488">
        <f>G4/G3</f>
        <v>1.4587987909055068E-2</v>
      </c>
      <c r="H5" s="488">
        <f>H4/H3</f>
        <v>1.4803947719391837E-2</v>
      </c>
      <c r="I5" s="488">
        <f>I4/I3</f>
        <v>1.4533930717954321E-2</v>
      </c>
      <c r="J5" s="743">
        <v>1.4500000000000001E-2</v>
      </c>
      <c r="K5" s="743">
        <v>1.4500000000000001E-2</v>
      </c>
      <c r="L5" s="743">
        <v>1.4500000000000001E-2</v>
      </c>
      <c r="M5" s="743">
        <v>1.4500000000000001E-2</v>
      </c>
      <c r="N5" s="743">
        <v>1.4500000000000001E-2</v>
      </c>
    </row>
    <row r="6" spans="1:14" s="490" customFormat="1" x14ac:dyDescent="0.25">
      <c r="A6" s="592" t="s">
        <v>19</v>
      </c>
      <c r="B6" s="199"/>
      <c r="C6" s="199"/>
      <c r="D6" s="199"/>
      <c r="E6" s="199"/>
      <c r="F6" s="489">
        <f>F3</f>
        <v>35312</v>
      </c>
      <c r="G6" s="199">
        <f>G3</f>
        <v>36030</v>
      </c>
      <c r="H6" s="199">
        <f>H3+H4</f>
        <v>38045</v>
      </c>
      <c r="I6" s="489">
        <f>I3+I4</f>
        <v>37136</v>
      </c>
      <c r="J6" s="831">
        <f>J3+J4</f>
        <v>38400.404916258682</v>
      </c>
      <c r="K6" s="831">
        <f t="shared" ref="K6:N6" si="2">K3+K4</f>
        <v>39160.656664072092</v>
      </c>
      <c r="L6" s="831">
        <f>L3+L4</f>
        <v>39960.697552269528</v>
      </c>
      <c r="M6" s="831">
        <f t="shared" si="2"/>
        <v>40711.008634713195</v>
      </c>
      <c r="N6" s="831">
        <f t="shared" si="2"/>
        <v>41250.479990210682</v>
      </c>
    </row>
    <row r="7" spans="1:14" s="402" customFormat="1" x14ac:dyDescent="0.25">
      <c r="A7" s="810" t="s">
        <v>20</v>
      </c>
      <c r="B7" s="17"/>
      <c r="C7" s="17"/>
      <c r="D7" s="17"/>
      <c r="E7" s="17"/>
      <c r="F7" s="21">
        <f t="shared" ref="F7:G7" si="3">F9+F11</f>
        <v>-26814</v>
      </c>
      <c r="G7" s="21">
        <f t="shared" si="3"/>
        <v>-27364</v>
      </c>
      <c r="H7" s="21">
        <f>H9+H11</f>
        <v>-28554</v>
      </c>
      <c r="I7" s="21">
        <f>I9+I11</f>
        <v>-27831</v>
      </c>
      <c r="J7" s="742">
        <f t="shared" ref="J7:N7" si="4">J6*-J8</f>
        <v>-28761.903282277752</v>
      </c>
      <c r="K7" s="742">
        <f t="shared" si="4"/>
        <v>-29331.331841389998</v>
      </c>
      <c r="L7" s="742">
        <f t="shared" si="4"/>
        <v>-29930.562466649877</v>
      </c>
      <c r="M7" s="742">
        <f t="shared" si="4"/>
        <v>-30492.545467400181</v>
      </c>
      <c r="N7" s="742">
        <f t="shared" si="4"/>
        <v>-30896.609512667801</v>
      </c>
    </row>
    <row r="8" spans="1:14" s="402" customFormat="1" ht="15.75" thickBot="1" x14ac:dyDescent="0.3">
      <c r="A8" s="816" t="s">
        <v>174</v>
      </c>
      <c r="B8" s="486"/>
      <c r="C8" s="486"/>
      <c r="D8" s="486"/>
      <c r="E8" s="486"/>
      <c r="F8" s="487">
        <f>-F7/F6</f>
        <v>0.75934526506569999</v>
      </c>
      <c r="G8" s="487">
        <f>-G7/G6</f>
        <v>0.75947821260061055</v>
      </c>
      <c r="H8" s="487">
        <f>-H7/H6</f>
        <v>0.75053226442370879</v>
      </c>
      <c r="I8" s="487">
        <f>-I7/I6</f>
        <v>0.74943451098664371</v>
      </c>
      <c r="J8" s="832">
        <v>0.749</v>
      </c>
      <c r="K8" s="832">
        <f>J8</f>
        <v>0.749</v>
      </c>
      <c r="L8" s="832">
        <f t="shared" ref="L8:N8" si="5">K8</f>
        <v>0.749</v>
      </c>
      <c r="M8" s="832">
        <f t="shared" si="5"/>
        <v>0.749</v>
      </c>
      <c r="N8" s="832">
        <f t="shared" si="5"/>
        <v>0.749</v>
      </c>
    </row>
    <row r="9" spans="1:14" s="402" customFormat="1" ht="15.75" hidden="1" thickBot="1" x14ac:dyDescent="0.3">
      <c r="A9" s="818" t="s">
        <v>65</v>
      </c>
      <c r="B9" s="17"/>
      <c r="C9" s="17"/>
      <c r="D9" s="17"/>
      <c r="E9" s="17"/>
      <c r="F9" s="21">
        <v>-25414</v>
      </c>
      <c r="G9" s="21">
        <v>-25958</v>
      </c>
      <c r="H9" s="21">
        <v>-27022</v>
      </c>
      <c r="I9" s="21">
        <v>-26323</v>
      </c>
      <c r="J9" s="742">
        <f>J7*J10</f>
        <v>-27323.808118163863</v>
      </c>
      <c r="K9" s="742">
        <f t="shared" ref="K9:N9" si="6">K7*K10</f>
        <v>-27864.765249320495</v>
      </c>
      <c r="L9" s="742">
        <f t="shared" si="6"/>
        <v>-28434.03434331738</v>
      </c>
      <c r="M9" s="742">
        <f t="shared" si="6"/>
        <v>-28967.918194030171</v>
      </c>
      <c r="N9" s="742">
        <f t="shared" si="6"/>
        <v>-29351.779037034408</v>
      </c>
    </row>
    <row r="10" spans="1:14" s="402" customFormat="1" ht="15.75" hidden="1" thickBot="1" x14ac:dyDescent="0.3">
      <c r="A10" s="818" t="s">
        <v>175</v>
      </c>
      <c r="B10" s="17"/>
      <c r="C10" s="17"/>
      <c r="D10" s="17"/>
      <c r="E10" s="17"/>
      <c r="F10" s="819">
        <f>F9/F7</f>
        <v>0.94778846871037514</v>
      </c>
      <c r="G10" s="819">
        <f t="shared" ref="G10:I10" si="7">G9/G7</f>
        <v>0.94861862300833211</v>
      </c>
      <c r="H10" s="819">
        <f t="shared" si="7"/>
        <v>0.9463472718358199</v>
      </c>
      <c r="I10" s="819">
        <f t="shared" si="7"/>
        <v>0.94581581689482952</v>
      </c>
      <c r="J10" s="68">
        <v>0.95</v>
      </c>
      <c r="K10" s="68">
        <v>0.95</v>
      </c>
      <c r="L10" s="68">
        <v>0.95</v>
      </c>
      <c r="M10" s="68">
        <v>0.95</v>
      </c>
      <c r="N10" s="68">
        <v>0.95</v>
      </c>
    </row>
    <row r="11" spans="1:14" s="402" customFormat="1" ht="15.75" hidden="1" thickBot="1" x14ac:dyDescent="0.3">
      <c r="A11" s="818" t="s">
        <v>66</v>
      </c>
      <c r="B11" s="17"/>
      <c r="C11" s="17"/>
      <c r="D11" s="17"/>
      <c r="E11" s="17"/>
      <c r="F11" s="21">
        <v>-1400</v>
      </c>
      <c r="G11" s="21">
        <v>-1406</v>
      </c>
      <c r="H11" s="21">
        <v>-1532</v>
      </c>
      <c r="I11" s="21">
        <v>-1508</v>
      </c>
      <c r="J11" s="833">
        <f>J12*J7</f>
        <v>-1438.0951641138888</v>
      </c>
      <c r="K11" s="833">
        <f t="shared" ref="K11:N11" si="8">K12*K7</f>
        <v>-1466.5665920695012</v>
      </c>
      <c r="L11" s="833">
        <f t="shared" si="8"/>
        <v>-1496.5281233324952</v>
      </c>
      <c r="M11" s="833">
        <f t="shared" si="8"/>
        <v>-1524.6272733700105</v>
      </c>
      <c r="N11" s="833">
        <f t="shared" si="8"/>
        <v>-1544.8304756333914</v>
      </c>
    </row>
    <row r="12" spans="1:14" s="402" customFormat="1" ht="15.75" hidden="1" thickBot="1" x14ac:dyDescent="0.3">
      <c r="A12" s="818" t="s">
        <v>175</v>
      </c>
      <c r="B12" s="17"/>
      <c r="C12" s="17"/>
      <c r="D12" s="17"/>
      <c r="E12" s="17"/>
      <c r="F12" s="819">
        <f>F11/F7</f>
        <v>5.2211531289624823E-2</v>
      </c>
      <c r="G12" s="819">
        <f t="shared" ref="G12:I12" si="9">G11/G7</f>
        <v>5.1381376991667886E-2</v>
      </c>
      <c r="H12" s="819">
        <f t="shared" si="9"/>
        <v>5.3652728164180152E-2</v>
      </c>
      <c r="I12" s="819">
        <f t="shared" si="9"/>
        <v>5.4184183105170494E-2</v>
      </c>
      <c r="J12" s="68">
        <f>1-J10</f>
        <v>5.0000000000000044E-2</v>
      </c>
      <c r="K12" s="68">
        <f t="shared" ref="K12:N12" si="10">1-K10</f>
        <v>5.0000000000000044E-2</v>
      </c>
      <c r="L12" s="68">
        <f t="shared" si="10"/>
        <v>5.0000000000000044E-2</v>
      </c>
      <c r="M12" s="68">
        <f t="shared" si="10"/>
        <v>5.0000000000000044E-2</v>
      </c>
      <c r="N12" s="68">
        <f t="shared" si="10"/>
        <v>5.0000000000000044E-2</v>
      </c>
    </row>
    <row r="13" spans="1:14" s="491" customFormat="1" ht="15.75" thickBot="1" x14ac:dyDescent="0.3">
      <c r="A13" s="502" t="s">
        <v>21</v>
      </c>
      <c r="B13" s="503"/>
      <c r="C13" s="503"/>
      <c r="D13" s="503"/>
      <c r="E13" s="503"/>
      <c r="F13" s="504">
        <f t="shared" ref="F13:N13" si="11">F6+F7</f>
        <v>8498</v>
      </c>
      <c r="G13" s="504">
        <f t="shared" si="11"/>
        <v>8666</v>
      </c>
      <c r="H13" s="504">
        <f t="shared" si="11"/>
        <v>9491</v>
      </c>
      <c r="I13" s="503">
        <f t="shared" si="11"/>
        <v>9305</v>
      </c>
      <c r="J13" s="834">
        <f t="shared" si="11"/>
        <v>9638.5016339809299</v>
      </c>
      <c r="K13" s="834">
        <f t="shared" si="11"/>
        <v>9829.3248226820942</v>
      </c>
      <c r="L13" s="834">
        <f t="shared" si="11"/>
        <v>10030.135085619651</v>
      </c>
      <c r="M13" s="834">
        <f t="shared" si="11"/>
        <v>10218.463167313013</v>
      </c>
      <c r="N13" s="834">
        <f t="shared" si="11"/>
        <v>10353.870477542881</v>
      </c>
    </row>
    <row r="14" spans="1:14" s="402" customFormat="1" x14ac:dyDescent="0.25">
      <c r="A14" s="810" t="s">
        <v>22</v>
      </c>
      <c r="B14" s="17"/>
      <c r="C14" s="17"/>
      <c r="D14" s="17"/>
      <c r="E14" s="17"/>
      <c r="F14" s="21">
        <v>-6817</v>
      </c>
      <c r="G14" s="21">
        <v>-6871</v>
      </c>
      <c r="H14" s="17">
        <v>-6902</v>
      </c>
      <c r="I14" s="21">
        <v>-6679</v>
      </c>
      <c r="J14" s="742">
        <f t="shared" ref="J14:N14" si="12">J6*-J15</f>
        <v>-6912.0728849265624</v>
      </c>
      <c r="K14" s="742">
        <f t="shared" si="12"/>
        <v>-7048.9181995329764</v>
      </c>
      <c r="L14" s="742">
        <f t="shared" si="12"/>
        <v>-7192.9255594085153</v>
      </c>
      <c r="M14" s="742">
        <f t="shared" si="12"/>
        <v>-7327.9815542483748</v>
      </c>
      <c r="N14" s="742">
        <f t="shared" si="12"/>
        <v>-7425.0863982379224</v>
      </c>
    </row>
    <row r="15" spans="1:14" s="402" customFormat="1" x14ac:dyDescent="0.25">
      <c r="A15" s="816" t="s">
        <v>174</v>
      </c>
      <c r="B15" s="486"/>
      <c r="C15" s="486"/>
      <c r="D15" s="486"/>
      <c r="E15" s="486"/>
      <c r="F15" s="487">
        <f>-F14/F6</f>
        <v>0.19305052106932488</v>
      </c>
      <c r="G15" s="487">
        <f>-G14/G6</f>
        <v>0.1907021926172634</v>
      </c>
      <c r="H15" s="487">
        <f>-H14/H6</f>
        <v>0.18141674333026678</v>
      </c>
      <c r="I15" s="487">
        <f>-I14/I6</f>
        <v>0.17985243429556225</v>
      </c>
      <c r="J15" s="832">
        <v>0.18</v>
      </c>
      <c r="K15" s="832">
        <v>0.18</v>
      </c>
      <c r="L15" s="832">
        <v>0.18</v>
      </c>
      <c r="M15" s="832">
        <v>0.18</v>
      </c>
      <c r="N15" s="832">
        <v>0.18</v>
      </c>
    </row>
    <row r="16" spans="1:14" s="402" customFormat="1" x14ac:dyDescent="0.25">
      <c r="A16" s="810" t="s">
        <v>67</v>
      </c>
      <c r="B16" s="17"/>
      <c r="C16" s="17"/>
      <c r="D16" s="17"/>
      <c r="E16" s="17"/>
      <c r="F16" s="21">
        <v>526</v>
      </c>
      <c r="G16" s="21">
        <v>542</v>
      </c>
      <c r="H16" s="87">
        <v>0</v>
      </c>
      <c r="I16" s="87">
        <v>0</v>
      </c>
      <c r="J16" s="835">
        <v>0</v>
      </c>
      <c r="K16" s="835">
        <v>0</v>
      </c>
      <c r="L16" s="835">
        <v>0</v>
      </c>
      <c r="M16" s="835">
        <v>0</v>
      </c>
      <c r="N16" s="835">
        <v>0</v>
      </c>
    </row>
    <row r="17" spans="1:14" s="402" customFormat="1" x14ac:dyDescent="0.25">
      <c r="A17" s="810" t="s">
        <v>23</v>
      </c>
      <c r="B17" s="17"/>
      <c r="C17" s="17"/>
      <c r="D17" s="17"/>
      <c r="E17" s="17"/>
      <c r="F17" s="21">
        <v>-1210</v>
      </c>
      <c r="G17" s="21">
        <v>-1303</v>
      </c>
      <c r="H17" s="17">
        <v>-1376</v>
      </c>
      <c r="I17" s="21">
        <v>-1416</v>
      </c>
      <c r="J17" s="742">
        <f t="shared" ref="J17:N17" si="13">J6*-J18</f>
        <v>-1459.2153868178298</v>
      </c>
      <c r="K17" s="742">
        <f t="shared" si="13"/>
        <v>-1488.1049532347395</v>
      </c>
      <c r="L17" s="742">
        <f t="shared" si="13"/>
        <v>-1518.5065069862421</v>
      </c>
      <c r="M17" s="742">
        <f t="shared" si="13"/>
        <v>-1547.0183281191014</v>
      </c>
      <c r="N17" s="742">
        <f t="shared" si="13"/>
        <v>-1567.5182396280059</v>
      </c>
    </row>
    <row r="18" spans="1:14" s="402" customFormat="1" ht="15.75" thickBot="1" x14ac:dyDescent="0.3">
      <c r="A18" s="816" t="s">
        <v>174</v>
      </c>
      <c r="B18" s="486"/>
      <c r="C18" s="486"/>
      <c r="D18" s="486"/>
      <c r="E18" s="486"/>
      <c r="F18" s="487">
        <f>-F17/F6</f>
        <v>3.4265971907566833E-2</v>
      </c>
      <c r="G18" s="487">
        <f>-G17/G6</f>
        <v>3.6164307521509856E-2</v>
      </c>
      <c r="H18" s="487">
        <f>-H17/H6</f>
        <v>3.6167696149296887E-2</v>
      </c>
      <c r="I18" s="487">
        <f>-I17/I6</f>
        <v>3.8130116329168462E-2</v>
      </c>
      <c r="J18" s="743">
        <v>3.7999999999999999E-2</v>
      </c>
      <c r="K18" s="743">
        <v>3.7999999999999999E-2</v>
      </c>
      <c r="L18" s="743">
        <v>3.7999999999999999E-2</v>
      </c>
      <c r="M18" s="743">
        <v>3.7999999999999999E-2</v>
      </c>
      <c r="N18" s="743">
        <v>3.7999999999999999E-2</v>
      </c>
    </row>
    <row r="19" spans="1:14" s="491" customFormat="1" ht="15.75" thickBot="1" x14ac:dyDescent="0.3">
      <c r="A19" s="502" t="s">
        <v>24</v>
      </c>
      <c r="B19" s="503"/>
      <c r="C19" s="503"/>
      <c r="D19" s="503"/>
      <c r="E19" s="503"/>
      <c r="F19" s="504">
        <f>F13+F14+F17+F16</f>
        <v>997</v>
      </c>
      <c r="G19" s="504">
        <f>G13+G14+G17+G16</f>
        <v>1034</v>
      </c>
      <c r="H19" s="504">
        <f>H13+H14+H17+H16</f>
        <v>1213</v>
      </c>
      <c r="I19" s="504">
        <f>I13+I14+I17+I16</f>
        <v>1210</v>
      </c>
      <c r="J19" s="836">
        <f>J13+J14+J17+J16</f>
        <v>1267.2133622365377</v>
      </c>
      <c r="K19" s="836">
        <f t="shared" ref="K19:N19" si="14">K13+K14+K17+K16</f>
        <v>1292.3016699143784</v>
      </c>
      <c r="L19" s="836">
        <f t="shared" si="14"/>
        <v>1318.703019224894</v>
      </c>
      <c r="M19" s="836">
        <f t="shared" si="14"/>
        <v>1343.4632849455372</v>
      </c>
      <c r="N19" s="836">
        <f t="shared" si="14"/>
        <v>1361.2658396769532</v>
      </c>
    </row>
    <row r="20" spans="1:14" s="402" customFormat="1" x14ac:dyDescent="0.25">
      <c r="A20" s="816" t="s">
        <v>268</v>
      </c>
      <c r="B20" s="486"/>
      <c r="C20" s="486"/>
      <c r="D20" s="486"/>
      <c r="E20" s="486"/>
      <c r="F20" s="488">
        <f t="shared" ref="F20:N20" si="15">F19/F6</f>
        <v>2.8234028092433167E-2</v>
      </c>
      <c r="G20" s="488">
        <f t="shared" si="15"/>
        <v>2.8698306966416873E-2</v>
      </c>
      <c r="H20" s="488">
        <f t="shared" si="15"/>
        <v>3.1883296096727562E-2</v>
      </c>
      <c r="I20" s="488">
        <f t="shared" si="15"/>
        <v>3.2582938388625596E-2</v>
      </c>
      <c r="J20" s="837">
        <f>J19/J6</f>
        <v>3.3000000000000029E-2</v>
      </c>
      <c r="K20" s="837">
        <f t="shared" si="15"/>
        <v>3.2999999999999981E-2</v>
      </c>
      <c r="L20" s="837">
        <f t="shared" si="15"/>
        <v>3.2999999999999988E-2</v>
      </c>
      <c r="M20" s="837">
        <f t="shared" si="15"/>
        <v>3.3000000000000043E-2</v>
      </c>
      <c r="N20" s="837">
        <f t="shared" si="15"/>
        <v>3.3000000000000015E-2</v>
      </c>
    </row>
    <row r="21" spans="1:14" s="402" customFormat="1" x14ac:dyDescent="0.25">
      <c r="A21" s="810" t="s">
        <v>25</v>
      </c>
      <c r="B21" s="17"/>
      <c r="C21" s="17"/>
      <c r="D21" s="17"/>
      <c r="E21" s="17"/>
      <c r="F21" s="21">
        <v>498</v>
      </c>
      <c r="G21" s="21">
        <v>242</v>
      </c>
      <c r="H21" s="17">
        <v>185</v>
      </c>
      <c r="I21" s="17">
        <v>423</v>
      </c>
      <c r="J21" s="742">
        <f t="shared" ref="J21:N21" si="16">J22*J6</f>
        <v>422.40445407884545</v>
      </c>
      <c r="K21" s="742">
        <f t="shared" si="16"/>
        <v>391.60656664072093</v>
      </c>
      <c r="L21" s="742">
        <f t="shared" si="16"/>
        <v>399.60697552269528</v>
      </c>
      <c r="M21" s="742">
        <f t="shared" si="16"/>
        <v>407.11008634713198</v>
      </c>
      <c r="N21" s="742">
        <f t="shared" si="16"/>
        <v>412.50479990210681</v>
      </c>
    </row>
    <row r="22" spans="1:14" s="402" customFormat="1" x14ac:dyDescent="0.25">
      <c r="A22" s="816" t="s">
        <v>174</v>
      </c>
      <c r="B22" s="486"/>
      <c r="C22" s="486"/>
      <c r="D22" s="486"/>
      <c r="E22" s="486"/>
      <c r="F22" s="488">
        <f>F21/F6</f>
        <v>1.4102854553692796E-2</v>
      </c>
      <c r="G22" s="488">
        <f>G21/G6</f>
        <v>6.7166250346933111E-3</v>
      </c>
      <c r="H22" s="488">
        <f>H21/H6</f>
        <v>4.8626626363516886E-3</v>
      </c>
      <c r="I22" s="488">
        <f>I21/I6</f>
        <v>1.1390564411891426E-2</v>
      </c>
      <c r="J22" s="743">
        <v>1.0999999999999999E-2</v>
      </c>
      <c r="K22" s="743">
        <v>0.01</v>
      </c>
      <c r="L22" s="743">
        <v>0.01</v>
      </c>
      <c r="M22" s="743">
        <v>0.01</v>
      </c>
      <c r="N22" s="743">
        <v>0.01</v>
      </c>
    </row>
    <row r="23" spans="1:14" s="402" customFormat="1" x14ac:dyDescent="0.25">
      <c r="A23" s="810" t="s">
        <v>26</v>
      </c>
      <c r="B23" s="17"/>
      <c r="C23" s="17"/>
      <c r="D23" s="17"/>
      <c r="E23" s="17"/>
      <c r="F23" s="21">
        <v>-846</v>
      </c>
      <c r="G23" s="21">
        <v>-867</v>
      </c>
      <c r="H23" s="17">
        <v>-666</v>
      </c>
      <c r="I23" s="17">
        <v>-798</v>
      </c>
      <c r="J23" s="742">
        <f t="shared" ref="J23:N23" si="17">J24*J6</f>
        <v>-664.71100910043776</v>
      </c>
      <c r="K23" s="742">
        <f t="shared" si="17"/>
        <v>-587.40984996108136</v>
      </c>
      <c r="L23" s="742">
        <f t="shared" si="17"/>
        <v>-659.35150961244722</v>
      </c>
      <c r="M23" s="742">
        <f t="shared" si="17"/>
        <v>-671.7316424727677</v>
      </c>
      <c r="N23" s="742">
        <f t="shared" si="17"/>
        <v>-680.63291983847625</v>
      </c>
    </row>
    <row r="24" spans="1:14" s="402" customFormat="1" ht="15.75" thickBot="1" x14ac:dyDescent="0.3">
      <c r="A24" s="816" t="s">
        <v>174</v>
      </c>
      <c r="B24" s="486"/>
      <c r="C24" s="486"/>
      <c r="D24" s="486"/>
      <c r="E24" s="486"/>
      <c r="F24" s="488">
        <f>F23/F6</f>
        <v>-2.3957861350249209E-2</v>
      </c>
      <c r="G24" s="488">
        <f>G23/G6</f>
        <v>-2.4063280599500417E-2</v>
      </c>
      <c r="H24" s="488">
        <f>H23/H6</f>
        <v>-1.7505585490866081E-2</v>
      </c>
      <c r="I24" s="488">
        <f>I23/I6</f>
        <v>-2.1488582507539853E-2</v>
      </c>
      <c r="J24" s="838">
        <v>-1.7309999999999999E-2</v>
      </c>
      <c r="K24" s="838">
        <v>-1.4999999999999999E-2</v>
      </c>
      <c r="L24" s="838">
        <v>-1.6500000000000001E-2</v>
      </c>
      <c r="M24" s="838">
        <f>L24</f>
        <v>-1.6500000000000001E-2</v>
      </c>
      <c r="N24" s="838">
        <f t="shared" ref="N24" si="18">M24</f>
        <v>-1.6500000000000001E-2</v>
      </c>
    </row>
    <row r="25" spans="1:14" s="491" customFormat="1" ht="15.75" thickBot="1" x14ac:dyDescent="0.3">
      <c r="A25" s="502" t="s">
        <v>27</v>
      </c>
      <c r="B25" s="503"/>
      <c r="C25" s="503"/>
      <c r="D25" s="503"/>
      <c r="E25" s="503"/>
      <c r="F25" s="504">
        <f t="shared" ref="F25:N25" si="19">F19+F21+F23</f>
        <v>649</v>
      </c>
      <c r="G25" s="504">
        <f t="shared" si="19"/>
        <v>409</v>
      </c>
      <c r="H25" s="503">
        <f t="shared" si="19"/>
        <v>732</v>
      </c>
      <c r="I25" s="504">
        <f t="shared" si="19"/>
        <v>835</v>
      </c>
      <c r="J25" s="834">
        <f t="shared" si="19"/>
        <v>1024.9068072149453</v>
      </c>
      <c r="K25" s="834">
        <f t="shared" si="19"/>
        <v>1096.498386594018</v>
      </c>
      <c r="L25" s="834">
        <f t="shared" si="19"/>
        <v>1058.9584851351422</v>
      </c>
      <c r="M25" s="834">
        <f t="shared" si="19"/>
        <v>1078.8417288199016</v>
      </c>
      <c r="N25" s="834">
        <f t="shared" si="19"/>
        <v>1093.1377197405839</v>
      </c>
    </row>
    <row r="26" spans="1:14" s="402" customFormat="1" x14ac:dyDescent="0.25">
      <c r="A26" s="816" t="s">
        <v>568</v>
      </c>
      <c r="B26" s="486"/>
      <c r="C26" s="486"/>
      <c r="D26" s="486"/>
      <c r="E26" s="486"/>
      <c r="F26" s="487" t="s">
        <v>49</v>
      </c>
      <c r="G26" s="487">
        <f>G27/BS!B24</f>
        <v>2.3975588491717523E-2</v>
      </c>
      <c r="H26" s="487">
        <f>H27/BS!C24</f>
        <v>1.4086956521739131E-2</v>
      </c>
      <c r="I26" s="487">
        <f>I27/BS!D24</f>
        <v>1.091123562370982E-2</v>
      </c>
      <c r="J26" s="839">
        <f>J27/BS!E24</f>
        <v>1.1000000000000001E-2</v>
      </c>
      <c r="K26" s="839">
        <f>K27/BS!F24</f>
        <v>1.0999999999999999E-2</v>
      </c>
      <c r="L26" s="839">
        <f>L27/BS!G24</f>
        <v>1.0999999999999999E-2</v>
      </c>
      <c r="M26" s="839">
        <f>M27/BS!H24</f>
        <v>1.0999999999999999E-2</v>
      </c>
      <c r="N26" s="839">
        <f>N27/BS!I24</f>
        <v>0</v>
      </c>
    </row>
    <row r="27" spans="1:14" s="402" customFormat="1" x14ac:dyDescent="0.25">
      <c r="A27" s="818" t="s">
        <v>28</v>
      </c>
      <c r="B27" s="17"/>
      <c r="C27" s="17"/>
      <c r="D27" s="17"/>
      <c r="E27" s="17"/>
      <c r="F27" s="17">
        <v>128</v>
      </c>
      <c r="G27" s="17">
        <v>110</v>
      </c>
      <c r="H27" s="17">
        <v>81</v>
      </c>
      <c r="I27" s="17">
        <v>37</v>
      </c>
      <c r="J27" s="828">
        <f>J99*BS!E24</f>
        <v>41.03</v>
      </c>
      <c r="K27" s="828">
        <f>K99*BS!F24</f>
        <v>47.713502256532642</v>
      </c>
      <c r="L27" s="828">
        <f>L99*BS!G24</f>
        <v>48.816723188630291</v>
      </c>
      <c r="M27" s="828">
        <f>M99*BS!H24</f>
        <v>44.153073335863844</v>
      </c>
      <c r="N27" s="828">
        <f>N99*BS!I24</f>
        <v>0</v>
      </c>
    </row>
    <row r="28" spans="1:14" s="402" customFormat="1" x14ac:dyDescent="0.25">
      <c r="A28" s="810" t="s">
        <v>29</v>
      </c>
      <c r="B28" s="17"/>
      <c r="C28" s="17"/>
      <c r="D28" s="17"/>
      <c r="E28" s="17"/>
      <c r="F28" s="17">
        <v>-369</v>
      </c>
      <c r="G28" s="21">
        <v>-434</v>
      </c>
      <c r="H28" s="17">
        <v>-449</v>
      </c>
      <c r="I28" s="17">
        <v>-364</v>
      </c>
      <c r="J28" s="742">
        <f>J29*BS!F38</f>
        <v>-430.99155407745775</v>
      </c>
      <c r="K28" s="742">
        <f>K29*BS!G38</f>
        <v>-411.29854521831589</v>
      </c>
      <c r="L28" s="742">
        <f>L29*BS!H38</f>
        <v>-391.62655135542911</v>
      </c>
      <c r="M28" s="742">
        <f>M29*BS!I38</f>
        <v>-370.47648887103134</v>
      </c>
      <c r="N28" s="742">
        <f>N29*BS!J38</f>
        <v>-337.16154411953721</v>
      </c>
    </row>
    <row r="29" spans="1:14" s="402" customFormat="1" ht="15.75" thickBot="1" x14ac:dyDescent="0.3">
      <c r="A29" s="816" t="s">
        <v>541</v>
      </c>
      <c r="B29" s="486"/>
      <c r="C29" s="486"/>
      <c r="D29" s="486"/>
      <c r="E29" s="486"/>
      <c r="F29" s="488">
        <f>F28/F6</f>
        <v>-1.0449705482555506E-2</v>
      </c>
      <c r="G29" s="488">
        <f>G28/BS!C38</f>
        <v>-5.6123108754687699E-2</v>
      </c>
      <c r="H29" s="488">
        <f>H28/BS!D38</f>
        <v>-6.2110942039009548E-2</v>
      </c>
      <c r="I29" s="488">
        <f>I28/BS!E38</f>
        <v>-5.3395921959806365E-2</v>
      </c>
      <c r="J29" s="832">
        <v>-6.5000000000000002E-2</v>
      </c>
      <c r="K29" s="743">
        <v>-6.4500000000000002E-2</v>
      </c>
      <c r="L29" s="743">
        <v>-6.4000000000000001E-2</v>
      </c>
      <c r="M29" s="743">
        <v>-6.4000000000000001E-2</v>
      </c>
      <c r="N29" s="743">
        <v>-6.4000000000000001E-2</v>
      </c>
    </row>
    <row r="30" spans="1:14" s="491" customFormat="1" ht="15.75" thickBot="1" x14ac:dyDescent="0.3">
      <c r="A30" s="502" t="s">
        <v>30</v>
      </c>
      <c r="B30" s="503"/>
      <c r="C30" s="503"/>
      <c r="D30" s="503"/>
      <c r="E30" s="503"/>
      <c r="F30" s="505">
        <f>+F28+F27+1</f>
        <v>-240</v>
      </c>
      <c r="G30" s="503">
        <f>+G28+G27</f>
        <v>-324</v>
      </c>
      <c r="H30" s="503">
        <f>+H28+H27</f>
        <v>-368</v>
      </c>
      <c r="I30" s="503">
        <f t="shared" ref="I30:N30" si="20">I28+I27</f>
        <v>-327</v>
      </c>
      <c r="J30" s="840">
        <f>J28+J27</f>
        <v>-389.96155407745778</v>
      </c>
      <c r="K30" s="840">
        <f t="shared" si="20"/>
        <v>-363.58504296178324</v>
      </c>
      <c r="L30" s="840">
        <f>L28+L27</f>
        <v>-342.80982816679881</v>
      </c>
      <c r="M30" s="840">
        <f t="shared" si="20"/>
        <v>-326.3234155351675</v>
      </c>
      <c r="N30" s="840">
        <f t="shared" si="20"/>
        <v>-337.16154411953721</v>
      </c>
    </row>
    <row r="31" spans="1:14" s="402" customFormat="1" x14ac:dyDescent="0.25">
      <c r="A31" s="810" t="s">
        <v>338</v>
      </c>
      <c r="B31" s="17"/>
      <c r="C31" s="17"/>
      <c r="D31" s="17"/>
      <c r="E31" s="17"/>
      <c r="F31" s="17">
        <v>162</v>
      </c>
      <c r="G31" s="17">
        <v>286</v>
      </c>
      <c r="H31" s="17">
        <v>161</v>
      </c>
      <c r="I31" s="17">
        <v>122</v>
      </c>
      <c r="J31" s="742">
        <f t="shared" ref="J31:N31" si="21">J32*J6</f>
        <v>230.40242949755211</v>
      </c>
      <c r="K31" s="742">
        <f t="shared" si="21"/>
        <v>235.35554655107327</v>
      </c>
      <c r="L31" s="742">
        <f t="shared" si="21"/>
        <v>240.56339926466254</v>
      </c>
      <c r="M31" s="742">
        <f t="shared" si="21"/>
        <v>245.48738206732051</v>
      </c>
      <c r="N31" s="742">
        <f t="shared" si="21"/>
        <v>249.15289914087245</v>
      </c>
    </row>
    <row r="32" spans="1:14" s="402" customFormat="1" x14ac:dyDescent="0.25">
      <c r="A32" s="816" t="s">
        <v>174</v>
      </c>
      <c r="B32" s="486"/>
      <c r="C32" s="486"/>
      <c r="D32" s="486"/>
      <c r="E32" s="486"/>
      <c r="F32" s="488">
        <f>F31/F6</f>
        <v>4.5876755777072946E-3</v>
      </c>
      <c r="G32" s="488">
        <f>G31/G6</f>
        <v>7.9378295864557316E-3</v>
      </c>
      <c r="H32" s="488">
        <f>H31/H6</f>
        <v>4.2318307267709288E-3</v>
      </c>
      <c r="I32" s="488">
        <f>I31/I6</f>
        <v>3.2852218871176216E-3</v>
      </c>
      <c r="J32" s="743">
        <v>6.0000000000000001E-3</v>
      </c>
      <c r="K32" s="865">
        <f>J32+0.001%</f>
        <v>6.0099999999999997E-3</v>
      </c>
      <c r="L32" s="865">
        <f t="shared" ref="L32:N32" si="22">K32+0.001%</f>
        <v>6.0199999999999993E-3</v>
      </c>
      <c r="M32" s="865">
        <f t="shared" si="22"/>
        <v>6.0299999999999989E-3</v>
      </c>
      <c r="N32" s="865">
        <f t="shared" si="22"/>
        <v>6.0399999999999985E-3</v>
      </c>
    </row>
    <row r="33" spans="1:14" s="402" customFormat="1" x14ac:dyDescent="0.25">
      <c r="A33" s="810" t="s">
        <v>31</v>
      </c>
      <c r="B33" s="17"/>
      <c r="C33" s="17"/>
      <c r="D33" s="17"/>
      <c r="E33" s="17"/>
      <c r="F33" s="17">
        <v>-503</v>
      </c>
      <c r="G33" s="17">
        <v>-321</v>
      </c>
      <c r="H33" s="17">
        <v>-239</v>
      </c>
      <c r="I33" s="17">
        <v>-260</v>
      </c>
      <c r="J33" s="833">
        <f t="shared" ref="J33:N33" si="23">J34*J6</f>
        <v>-307.20323933006944</v>
      </c>
      <c r="K33" s="833">
        <f t="shared" si="23"/>
        <v>-313.28525331257674</v>
      </c>
      <c r="L33" s="833">
        <f t="shared" si="23"/>
        <v>-319.68558041815623</v>
      </c>
      <c r="M33" s="833">
        <f t="shared" si="23"/>
        <v>-325.68806907770556</v>
      </c>
      <c r="N33" s="833">
        <f t="shared" si="23"/>
        <v>-330.00383992168548</v>
      </c>
    </row>
    <row r="34" spans="1:14" s="402" customFormat="1" ht="15.75" thickBot="1" x14ac:dyDescent="0.3">
      <c r="A34" s="816" t="s">
        <v>174</v>
      </c>
      <c r="B34" s="486"/>
      <c r="C34" s="486"/>
      <c r="D34" s="486"/>
      <c r="E34" s="486"/>
      <c r="F34" s="488">
        <f>F33/F6</f>
        <v>-1.4244449478930676E-2</v>
      </c>
      <c r="G34" s="487">
        <f>G33/G6</f>
        <v>-8.9092422980849295E-3</v>
      </c>
      <c r="H34" s="487">
        <f>H33/H6</f>
        <v>-6.2820344329083981E-3</v>
      </c>
      <c r="I34" s="487">
        <f>I33/I6</f>
        <v>-7.0012925463162432E-3</v>
      </c>
      <c r="J34" s="878">
        <v>-8.0000000000000002E-3</v>
      </c>
      <c r="K34" s="878">
        <v>-8.0000000000000002E-3</v>
      </c>
      <c r="L34" s="878">
        <v>-8.0000000000000002E-3</v>
      </c>
      <c r="M34" s="878">
        <v>-8.0000000000000002E-3</v>
      </c>
      <c r="N34" s="878">
        <v>-8.0000000000000002E-3</v>
      </c>
    </row>
    <row r="35" spans="1:14" s="491" customFormat="1" ht="15.75" thickBot="1" x14ac:dyDescent="0.3">
      <c r="A35" s="502" t="s">
        <v>68</v>
      </c>
      <c r="B35" s="503"/>
      <c r="C35" s="503"/>
      <c r="D35" s="503"/>
      <c r="E35" s="503"/>
      <c r="F35" s="503">
        <f t="shared" ref="F35:N35" si="24">F25+F30+F31+F33</f>
        <v>68</v>
      </c>
      <c r="G35" s="504">
        <f>G25+G30+G31+G33</f>
        <v>50</v>
      </c>
      <c r="H35" s="503">
        <f>H25+H30+H31+H33</f>
        <v>286</v>
      </c>
      <c r="I35" s="504">
        <f>I25+I30+I31+I33</f>
        <v>370</v>
      </c>
      <c r="J35" s="834">
        <f>J25+J30+J31+J33</f>
        <v>558.1444433049702</v>
      </c>
      <c r="K35" s="834">
        <f t="shared" si="24"/>
        <v>654.98363687073129</v>
      </c>
      <c r="L35" s="834">
        <f t="shared" si="24"/>
        <v>637.02647581484962</v>
      </c>
      <c r="M35" s="834">
        <f t="shared" si="24"/>
        <v>672.3176262743491</v>
      </c>
      <c r="N35" s="834">
        <f t="shared" si="24"/>
        <v>675.12523484023359</v>
      </c>
    </row>
    <row r="36" spans="1:14" s="402" customFormat="1" x14ac:dyDescent="0.25">
      <c r="A36" s="816" t="s">
        <v>268</v>
      </c>
      <c r="B36" s="486"/>
      <c r="C36" s="486"/>
      <c r="D36" s="486"/>
      <c r="E36" s="486"/>
      <c r="F36" s="488">
        <f>F35/F3</f>
        <v>1.9256909832351609E-3</v>
      </c>
      <c r="G36" s="488">
        <f>G35/G3</f>
        <v>1.3877324451845685E-3</v>
      </c>
      <c r="H36" s="488">
        <f>H35/H3</f>
        <v>7.6287009869298482E-3</v>
      </c>
      <c r="I36" s="488">
        <f>I35/I3</f>
        <v>1.0108184897825374E-2</v>
      </c>
      <c r="J36" s="837">
        <f t="shared" ref="J36:N36" si="25">J35/J6</f>
        <v>1.4534858278763945E-2</v>
      </c>
      <c r="K36" s="837">
        <f t="shared" si="25"/>
        <v>1.6725552957125089E-2</v>
      </c>
      <c r="L36" s="837">
        <f t="shared" si="25"/>
        <v>1.594132522290443E-2</v>
      </c>
      <c r="M36" s="837">
        <f t="shared" si="25"/>
        <v>1.6514393743147934E-2</v>
      </c>
      <c r="N36" s="837">
        <f t="shared" si="25"/>
        <v>1.6366481917312242E-2</v>
      </c>
    </row>
    <row r="37" spans="1:14" s="402" customFormat="1" x14ac:dyDescent="0.25">
      <c r="A37" s="810" t="s">
        <v>32</v>
      </c>
      <c r="B37" s="17"/>
      <c r="C37" s="17"/>
      <c r="D37" s="17"/>
      <c r="E37" s="17"/>
      <c r="F37" s="17">
        <v>-13</v>
      </c>
      <c r="G37" s="17">
        <v>-34</v>
      </c>
      <c r="H37" s="17">
        <v>-48</v>
      </c>
      <c r="I37" s="17">
        <v>-204</v>
      </c>
      <c r="J37" s="742">
        <f>J35*J38</f>
        <v>-306.97944381773362</v>
      </c>
      <c r="K37" s="742">
        <f t="shared" ref="K37:N37" si="26">K35*K38</f>
        <v>-360.24100027890222</v>
      </c>
      <c r="L37" s="742">
        <f t="shared" si="26"/>
        <v>-350.36456169816734</v>
      </c>
      <c r="M37" s="742">
        <f t="shared" si="26"/>
        <v>-369.77469445089201</v>
      </c>
      <c r="N37" s="742">
        <f t="shared" si="26"/>
        <v>-371.3188791621285</v>
      </c>
    </row>
    <row r="38" spans="1:14" s="402" customFormat="1" x14ac:dyDescent="0.25">
      <c r="A38" s="816" t="s">
        <v>269</v>
      </c>
      <c r="B38" s="486"/>
      <c r="C38" s="486"/>
      <c r="D38" s="486"/>
      <c r="E38" s="486"/>
      <c r="F38" s="487">
        <f t="shared" ref="F38:H38" si="27">F37/F35</f>
        <v>-0.19117647058823528</v>
      </c>
      <c r="G38" s="487">
        <f t="shared" si="27"/>
        <v>-0.68</v>
      </c>
      <c r="H38" s="487">
        <f t="shared" si="27"/>
        <v>-0.16783216783216784</v>
      </c>
      <c r="I38" s="487">
        <f>I37/I35</f>
        <v>-0.55135135135135138</v>
      </c>
      <c r="J38" s="743">
        <v>-0.55000000000000004</v>
      </c>
      <c r="K38" s="743">
        <v>-0.55000000000000004</v>
      </c>
      <c r="L38" s="743">
        <v>-0.55000000000000004</v>
      </c>
      <c r="M38" s="743">
        <v>-0.55000000000000004</v>
      </c>
      <c r="N38" s="743">
        <v>-0.55000000000000004</v>
      </c>
    </row>
    <row r="39" spans="1:14" s="402" customFormat="1" x14ac:dyDescent="0.25">
      <c r="A39" s="818" t="s">
        <v>33</v>
      </c>
      <c r="B39" s="17"/>
      <c r="C39" s="17"/>
      <c r="D39" s="17"/>
      <c r="E39" s="17"/>
      <c r="F39" s="17">
        <v>57</v>
      </c>
      <c r="G39" s="17">
        <v>20</v>
      </c>
      <c r="H39" s="17">
        <v>13</v>
      </c>
      <c r="I39" s="17">
        <v>17</v>
      </c>
      <c r="J39" s="742"/>
      <c r="K39" s="742"/>
      <c r="L39" s="742"/>
      <c r="M39" s="742"/>
      <c r="N39" s="742"/>
    </row>
    <row r="40" spans="1:14" s="402" customFormat="1" ht="15.75" thickBot="1" x14ac:dyDescent="0.3">
      <c r="A40" s="818"/>
      <c r="B40" s="17"/>
      <c r="C40" s="17"/>
      <c r="D40" s="17"/>
      <c r="E40" s="17"/>
      <c r="F40" s="17"/>
      <c r="G40" s="17"/>
      <c r="H40" s="17"/>
      <c r="I40" s="819">
        <f>I39/I35</f>
        <v>4.5945945945945948E-2</v>
      </c>
      <c r="J40" s="69"/>
      <c r="K40" s="69"/>
      <c r="L40" s="69"/>
      <c r="M40" s="69"/>
      <c r="N40" s="69"/>
    </row>
    <row r="41" spans="1:14" s="491" customFormat="1" ht="15.75" thickBot="1" x14ac:dyDescent="0.3">
      <c r="A41" s="502" t="s">
        <v>34</v>
      </c>
      <c r="B41" s="503"/>
      <c r="C41" s="503"/>
      <c r="D41" s="503"/>
      <c r="E41" s="503"/>
      <c r="F41" s="503">
        <f t="shared" ref="F41:G41" si="28">F35+F37+F39</f>
        <v>112</v>
      </c>
      <c r="G41" s="503">
        <f t="shared" si="28"/>
        <v>36</v>
      </c>
      <c r="H41" s="503">
        <f>H35+H37+H39</f>
        <v>251</v>
      </c>
      <c r="I41" s="504">
        <f>I35+I37+I39</f>
        <v>183</v>
      </c>
      <c r="J41" s="841">
        <f>J35+J37+J39</f>
        <v>251.16499948723657</v>
      </c>
      <c r="K41" s="841">
        <f>K35+K37+K39</f>
        <v>294.74263659182907</v>
      </c>
      <c r="L41" s="841">
        <f t="shared" ref="L41:N41" si="29">L35+L37+L39</f>
        <v>286.66191411668228</v>
      </c>
      <c r="M41" s="841">
        <f t="shared" si="29"/>
        <v>302.54293182345708</v>
      </c>
      <c r="N41" s="841">
        <f t="shared" si="29"/>
        <v>303.80635567810509</v>
      </c>
    </row>
    <row r="42" spans="1:14" s="402" customFormat="1" x14ac:dyDescent="0.25">
      <c r="A42" s="816" t="s">
        <v>268</v>
      </c>
      <c r="B42" s="486"/>
      <c r="C42" s="486"/>
      <c r="D42" s="486"/>
      <c r="E42" s="486"/>
      <c r="F42" s="488">
        <f>F41/F3</f>
        <v>3.1717263253285004E-3</v>
      </c>
      <c r="G42" s="488">
        <f>G41/G3</f>
        <v>9.9916736053288916E-4</v>
      </c>
      <c r="H42" s="488">
        <f>H41/H3</f>
        <v>6.6951186983195523E-3</v>
      </c>
      <c r="I42" s="488">
        <f>I41/I3</f>
        <v>4.9994536116271448E-3</v>
      </c>
      <c r="J42" s="837">
        <f t="shared" ref="J42:N42" si="30">J41/J6</f>
        <v>6.5406862254437752E-3</v>
      </c>
      <c r="K42" s="837">
        <f t="shared" si="30"/>
        <v>7.5264988307062897E-3</v>
      </c>
      <c r="L42" s="837">
        <f t="shared" si="30"/>
        <v>7.1735963503069934E-3</v>
      </c>
      <c r="M42" s="837">
        <f t="shared" si="30"/>
        <v>7.4314771844165703E-3</v>
      </c>
      <c r="N42" s="837">
        <f t="shared" si="30"/>
        <v>7.3649168627905083E-3</v>
      </c>
    </row>
    <row r="43" spans="1:14" s="402" customFormat="1" x14ac:dyDescent="0.25">
      <c r="A43" s="810" t="s">
        <v>35</v>
      </c>
      <c r="B43" s="17"/>
      <c r="C43" s="17"/>
      <c r="D43" s="17"/>
      <c r="E43" s="17"/>
      <c r="F43" s="17">
        <v>-65</v>
      </c>
      <c r="G43" s="17">
        <v>33</v>
      </c>
      <c r="H43" s="17">
        <v>108</v>
      </c>
      <c r="I43" s="17">
        <v>-45</v>
      </c>
      <c r="J43" s="742">
        <f>J41*J44</f>
        <v>-61.76188511981227</v>
      </c>
      <c r="K43" s="742">
        <f t="shared" ref="K43:N43" si="31">K41*K44</f>
        <v>-72.477697522580911</v>
      </c>
      <c r="L43" s="742">
        <f t="shared" si="31"/>
        <v>-70.490634618856291</v>
      </c>
      <c r="M43" s="742">
        <f t="shared" si="31"/>
        <v>-74.395802907407472</v>
      </c>
      <c r="N43" s="742">
        <f t="shared" si="31"/>
        <v>-74.706480904452064</v>
      </c>
    </row>
    <row r="44" spans="1:14" s="402" customFormat="1" x14ac:dyDescent="0.25">
      <c r="A44" s="818"/>
      <c r="B44" s="17"/>
      <c r="C44" s="17"/>
      <c r="D44" s="17"/>
      <c r="E44" s="17"/>
      <c r="F44" s="820">
        <f t="shared" ref="F44:H44" si="32">F43/F41</f>
        <v>-0.5803571428571429</v>
      </c>
      <c r="G44" s="821">
        <f t="shared" si="32"/>
        <v>0.91666666666666663</v>
      </c>
      <c r="H44" s="821">
        <f t="shared" si="32"/>
        <v>0.4302788844621514</v>
      </c>
      <c r="I44" s="821">
        <f>I43/I41</f>
        <v>-0.24590163934426229</v>
      </c>
      <c r="J44" s="842">
        <f>I44</f>
        <v>-0.24590163934426229</v>
      </c>
      <c r="K44" s="842">
        <f t="shared" ref="K44:N44" si="33">J44</f>
        <v>-0.24590163934426229</v>
      </c>
      <c r="L44" s="842">
        <f t="shared" si="33"/>
        <v>-0.24590163934426229</v>
      </c>
      <c r="M44" s="842">
        <f t="shared" si="33"/>
        <v>-0.24590163934426229</v>
      </c>
      <c r="N44" s="842">
        <f t="shared" si="33"/>
        <v>-0.24590163934426229</v>
      </c>
    </row>
    <row r="45" spans="1:14" s="402" customFormat="1" x14ac:dyDescent="0.25">
      <c r="A45" s="810" t="s">
        <v>36</v>
      </c>
      <c r="B45" s="17"/>
      <c r="C45" s="17"/>
      <c r="D45" s="17"/>
      <c r="E45" s="17"/>
      <c r="F45" s="17">
        <v>175</v>
      </c>
      <c r="G45" s="17">
        <v>2</v>
      </c>
      <c r="H45" s="17">
        <v>143</v>
      </c>
      <c r="I45" s="17">
        <v>227</v>
      </c>
      <c r="J45" s="742">
        <f>J46*J41</f>
        <v>311.554398271053</v>
      </c>
      <c r="K45" s="742">
        <f t="shared" ref="K45:N45" si="34">K46*K41</f>
        <v>365.60971861390823</v>
      </c>
      <c r="L45" s="742">
        <f t="shared" si="34"/>
        <v>355.58609018845289</v>
      </c>
      <c r="M45" s="742">
        <f t="shared" si="34"/>
        <v>375.28549466625554</v>
      </c>
      <c r="N45" s="742">
        <f t="shared" si="34"/>
        <v>376.85269256245823</v>
      </c>
    </row>
    <row r="46" spans="1:14" s="402" customFormat="1" x14ac:dyDescent="0.25">
      <c r="A46" s="818"/>
      <c r="B46" s="17"/>
      <c r="C46" s="17"/>
      <c r="D46" s="17"/>
      <c r="E46" s="17"/>
      <c r="F46" s="820">
        <f t="shared" ref="F46:H46" si="35">F45/F41</f>
        <v>1.5625</v>
      </c>
      <c r="G46" s="821">
        <f t="shared" si="35"/>
        <v>5.5555555555555552E-2</v>
      </c>
      <c r="H46" s="821">
        <f t="shared" si="35"/>
        <v>0.56972111553784865</v>
      </c>
      <c r="I46" s="821">
        <f>I45/I41</f>
        <v>1.2404371584699454</v>
      </c>
      <c r="J46" s="879">
        <f>I46</f>
        <v>1.2404371584699454</v>
      </c>
      <c r="K46" s="879">
        <f t="shared" ref="K46:N46" si="36">J46</f>
        <v>1.2404371584699454</v>
      </c>
      <c r="L46" s="879">
        <f t="shared" si="36"/>
        <v>1.2404371584699454</v>
      </c>
      <c r="M46" s="879">
        <f t="shared" si="36"/>
        <v>1.2404371584699454</v>
      </c>
      <c r="N46" s="879">
        <f t="shared" si="36"/>
        <v>1.2404371584699454</v>
      </c>
    </row>
    <row r="47" spans="1:14" s="402" customFormat="1" x14ac:dyDescent="0.25">
      <c r="A47" s="822" t="s">
        <v>37</v>
      </c>
      <c r="B47" s="481"/>
      <c r="C47" s="481"/>
      <c r="D47" s="481"/>
      <c r="E47" s="481"/>
      <c r="F47" s="481"/>
      <c r="G47" s="481"/>
      <c r="H47" s="481"/>
      <c r="I47" s="481"/>
      <c r="J47" s="66"/>
      <c r="K47" s="66"/>
      <c r="L47" s="66"/>
      <c r="M47" s="66"/>
      <c r="N47" s="66"/>
    </row>
    <row r="48" spans="1:14" s="402" customFormat="1" x14ac:dyDescent="0.25">
      <c r="A48" s="818"/>
      <c r="B48" s="17"/>
      <c r="C48" s="17"/>
      <c r="D48" s="17"/>
      <c r="E48" s="17"/>
      <c r="F48" s="17"/>
      <c r="G48" s="17"/>
      <c r="H48" s="17"/>
      <c r="I48" s="17"/>
      <c r="J48" s="66"/>
      <c r="K48" s="66"/>
      <c r="L48" s="66"/>
      <c r="M48" s="66"/>
      <c r="N48" s="66"/>
    </row>
    <row r="49" spans="1:14" s="402" customFormat="1" x14ac:dyDescent="0.25">
      <c r="A49" s="822" t="s">
        <v>38</v>
      </c>
      <c r="B49" s="481"/>
      <c r="C49" s="481"/>
      <c r="D49" s="481"/>
      <c r="E49" s="481"/>
      <c r="F49" s="481">
        <f>F50+F51</f>
        <v>47</v>
      </c>
      <c r="G49" s="481">
        <f t="shared" ref="G49:H49" si="37">G50+G51</f>
        <v>2161</v>
      </c>
      <c r="H49" s="481">
        <f t="shared" si="37"/>
        <v>47</v>
      </c>
      <c r="I49" s="482">
        <f>I50+I51</f>
        <v>-20.9</v>
      </c>
      <c r="J49" s="302"/>
      <c r="K49" s="302"/>
      <c r="L49" s="302"/>
      <c r="M49" s="302"/>
      <c r="N49" s="302"/>
    </row>
    <row r="50" spans="1:14" s="402" customFormat="1" x14ac:dyDescent="0.25">
      <c r="A50" s="818" t="s">
        <v>35</v>
      </c>
      <c r="B50" s="17"/>
      <c r="C50" s="17"/>
      <c r="D50" s="17"/>
      <c r="E50" s="17"/>
      <c r="F50" s="17">
        <v>21</v>
      </c>
      <c r="G50" s="17">
        <v>2645</v>
      </c>
      <c r="H50" s="17">
        <v>-7</v>
      </c>
      <c r="I50" s="111">
        <v>-9.5</v>
      </c>
      <c r="J50" s="736">
        <f>I50</f>
        <v>-9.5</v>
      </c>
      <c r="K50" s="736">
        <f t="shared" ref="K50:N50" si="38">J50</f>
        <v>-9.5</v>
      </c>
      <c r="L50" s="736">
        <f t="shared" si="38"/>
        <v>-9.5</v>
      </c>
      <c r="M50" s="736">
        <f t="shared" si="38"/>
        <v>-9.5</v>
      </c>
      <c r="N50" s="736">
        <f t="shared" si="38"/>
        <v>-9.5</v>
      </c>
    </row>
    <row r="51" spans="1:14" s="402" customFormat="1" x14ac:dyDescent="0.25">
      <c r="A51" s="818" t="s">
        <v>36</v>
      </c>
      <c r="B51" s="17"/>
      <c r="C51" s="17"/>
      <c r="D51" s="17"/>
      <c r="E51" s="17"/>
      <c r="F51" s="17">
        <v>26</v>
      </c>
      <c r="G51" s="17">
        <v>-484</v>
      </c>
      <c r="H51" s="17">
        <v>54</v>
      </c>
      <c r="I51" s="111">
        <v>-11.4</v>
      </c>
      <c r="J51" s="742">
        <f>I51</f>
        <v>-11.4</v>
      </c>
      <c r="K51" s="742">
        <f t="shared" ref="K51:N51" si="39">J51</f>
        <v>-11.4</v>
      </c>
      <c r="L51" s="742">
        <f t="shared" si="39"/>
        <v>-11.4</v>
      </c>
      <c r="M51" s="742">
        <f t="shared" si="39"/>
        <v>-11.4</v>
      </c>
      <c r="N51" s="742">
        <f t="shared" si="39"/>
        <v>-11.4</v>
      </c>
    </row>
    <row r="52" spans="1:14" s="402" customFormat="1" ht="15.75" thickBot="1" x14ac:dyDescent="0.3">
      <c r="A52" s="818" t="s">
        <v>39</v>
      </c>
      <c r="B52" s="17"/>
      <c r="C52" s="17"/>
      <c r="D52" s="17"/>
      <c r="E52" s="17"/>
      <c r="F52" s="17"/>
      <c r="G52" s="17"/>
      <c r="H52" s="17"/>
      <c r="I52" s="17"/>
      <c r="J52" s="69"/>
      <c r="K52" s="69"/>
      <c r="L52" s="69"/>
      <c r="M52" s="69"/>
      <c r="N52" s="69"/>
    </row>
    <row r="53" spans="1:14" s="491" customFormat="1" ht="15.75" thickBot="1" x14ac:dyDescent="0.3">
      <c r="A53" s="502" t="s">
        <v>40</v>
      </c>
      <c r="B53" s="503"/>
      <c r="C53" s="503"/>
      <c r="D53" s="503"/>
      <c r="E53" s="503"/>
      <c r="F53" s="503">
        <f>F54+F56</f>
        <v>158</v>
      </c>
      <c r="G53" s="503">
        <f t="shared" ref="G53:H53" si="40">G54+G56</f>
        <v>2197</v>
      </c>
      <c r="H53" s="503">
        <f t="shared" si="40"/>
        <v>299</v>
      </c>
      <c r="I53" s="503">
        <f>I54+I56</f>
        <v>161</v>
      </c>
      <c r="J53" s="841">
        <f>J49+J41</f>
        <v>251.16499948723657</v>
      </c>
      <c r="K53" s="841">
        <f t="shared" ref="K53:N53" si="41">K49+K41</f>
        <v>294.74263659182907</v>
      </c>
      <c r="L53" s="841">
        <f t="shared" si="41"/>
        <v>286.66191411668228</v>
      </c>
      <c r="M53" s="841">
        <f t="shared" si="41"/>
        <v>302.54293182345708</v>
      </c>
      <c r="N53" s="841">
        <f t="shared" si="41"/>
        <v>303.80635567810509</v>
      </c>
    </row>
    <row r="54" spans="1:14" s="402" customFormat="1" x14ac:dyDescent="0.25">
      <c r="A54" s="818" t="s">
        <v>35</v>
      </c>
      <c r="B54" s="17"/>
      <c r="C54" s="17"/>
      <c r="D54" s="17"/>
      <c r="E54" s="17"/>
      <c r="F54" s="17">
        <v>-43</v>
      </c>
      <c r="G54" s="17">
        <v>2679</v>
      </c>
      <c r="H54" s="17">
        <v>101</v>
      </c>
      <c r="I54" s="17">
        <v>-54</v>
      </c>
      <c r="J54" s="843">
        <f>J53*J55</f>
        <v>-85.396099825660443</v>
      </c>
      <c r="K54" s="843">
        <f t="shared" ref="K54:N54" si="42">K53*K55</f>
        <v>-100.21249644122189</v>
      </c>
      <c r="L54" s="843">
        <f>L53*L55</f>
        <v>-97.465050799671985</v>
      </c>
      <c r="M54" s="843">
        <f t="shared" si="42"/>
        <v>-102.86459681997542</v>
      </c>
      <c r="N54" s="843">
        <f t="shared" si="42"/>
        <v>-103.29416093055573</v>
      </c>
    </row>
    <row r="55" spans="1:14" s="402" customFormat="1" x14ac:dyDescent="0.25">
      <c r="A55" s="818"/>
      <c r="B55" s="17"/>
      <c r="C55" s="17"/>
      <c r="D55" s="17"/>
      <c r="E55" s="17"/>
      <c r="F55" s="17"/>
      <c r="G55" s="17"/>
      <c r="H55" s="17"/>
      <c r="I55" s="819">
        <f>I54/I53</f>
        <v>-0.33540372670807456</v>
      </c>
      <c r="J55" s="844">
        <v>-0.34</v>
      </c>
      <c r="K55" s="844">
        <v>-0.34</v>
      </c>
      <c r="L55" s="844">
        <v>-0.34</v>
      </c>
      <c r="M55" s="844">
        <v>-0.34</v>
      </c>
      <c r="N55" s="844">
        <v>-0.34</v>
      </c>
    </row>
    <row r="56" spans="1:14" s="402" customFormat="1" x14ac:dyDescent="0.25">
      <c r="A56" s="818" t="s">
        <v>36</v>
      </c>
      <c r="B56" s="17"/>
      <c r="C56" s="17"/>
      <c r="D56" s="17"/>
      <c r="E56" s="17"/>
      <c r="F56" s="17">
        <v>201</v>
      </c>
      <c r="G56" s="17">
        <v>-482</v>
      </c>
      <c r="H56" s="17">
        <v>198</v>
      </c>
      <c r="I56" s="17">
        <v>215</v>
      </c>
      <c r="J56" s="845">
        <f>J57*J53</f>
        <v>336.561099312897</v>
      </c>
      <c r="K56" s="845">
        <f t="shared" ref="K56:N56" si="43">K57*K53</f>
        <v>394.95513303305097</v>
      </c>
      <c r="L56" s="845">
        <f>L57*L53</f>
        <v>384.12696491635427</v>
      </c>
      <c r="M56" s="845">
        <f t="shared" si="43"/>
        <v>405.4075286434325</v>
      </c>
      <c r="N56" s="845">
        <f t="shared" si="43"/>
        <v>407.10051660866083</v>
      </c>
    </row>
    <row r="57" spans="1:14" s="402" customFormat="1" x14ac:dyDescent="0.25">
      <c r="A57" s="818"/>
      <c r="B57" s="17"/>
      <c r="C57" s="17"/>
      <c r="D57" s="17"/>
      <c r="E57" s="17"/>
      <c r="F57" s="17"/>
      <c r="G57" s="17"/>
      <c r="H57" s="17"/>
      <c r="I57" s="819">
        <f>I56/I53</f>
        <v>1.3354037267080745</v>
      </c>
      <c r="J57" s="844">
        <v>1.34</v>
      </c>
      <c r="K57" s="844">
        <v>1.34</v>
      </c>
      <c r="L57" s="844">
        <v>1.34</v>
      </c>
      <c r="M57" s="844">
        <v>1.34</v>
      </c>
      <c r="N57" s="844">
        <v>1.34</v>
      </c>
    </row>
    <row r="58" spans="1:14" s="811" customFormat="1" ht="15.75" thickBot="1" x14ac:dyDescent="0.3">
      <c r="A58" s="818" t="s">
        <v>270</v>
      </c>
      <c r="B58" s="17"/>
      <c r="C58" s="17"/>
      <c r="D58" s="17"/>
      <c r="E58" s="17"/>
      <c r="F58" s="17">
        <v>-48</v>
      </c>
      <c r="G58" s="17">
        <v>-49</v>
      </c>
      <c r="H58" s="17">
        <v>-50</v>
      </c>
      <c r="I58" s="17">
        <v>-48</v>
      </c>
      <c r="J58" s="69">
        <v>-48</v>
      </c>
      <c r="K58" s="69">
        <v>-48</v>
      </c>
      <c r="L58" s="69">
        <v>-48</v>
      </c>
      <c r="M58" s="69">
        <v>-48</v>
      </c>
      <c r="N58" s="69">
        <v>-48</v>
      </c>
    </row>
    <row r="59" spans="1:14" s="402" customFormat="1" ht="15.75" thickBot="1" x14ac:dyDescent="0.3">
      <c r="A59" s="497" t="s">
        <v>41</v>
      </c>
      <c r="B59" s="498"/>
      <c r="C59" s="498"/>
      <c r="D59" s="498"/>
      <c r="E59" s="498"/>
      <c r="F59" s="498"/>
      <c r="G59" s="498"/>
      <c r="H59" s="498"/>
      <c r="I59" s="498"/>
      <c r="J59" s="846"/>
      <c r="K59" s="846"/>
      <c r="L59" s="846"/>
      <c r="M59" s="846"/>
      <c r="N59" s="846"/>
    </row>
    <row r="60" spans="1:14" s="402" customFormat="1" ht="15.75" thickBot="1" x14ac:dyDescent="0.3">
      <c r="A60" s="825" t="s">
        <v>565</v>
      </c>
      <c r="B60" s="824"/>
      <c r="C60" s="824"/>
      <c r="D60" s="824"/>
      <c r="E60" s="824"/>
      <c r="F60" s="500"/>
      <c r="G60" s="500"/>
      <c r="H60" s="500"/>
      <c r="I60" s="500"/>
      <c r="J60" s="847"/>
      <c r="K60" s="847"/>
      <c r="L60" s="847"/>
      <c r="M60" s="847"/>
      <c r="N60" s="847"/>
    </row>
    <row r="61" spans="1:14" s="402" customFormat="1" x14ac:dyDescent="0.25">
      <c r="A61" s="494" t="s">
        <v>42</v>
      </c>
      <c r="B61" s="17"/>
      <c r="C61" s="17"/>
      <c r="D61" s="17"/>
      <c r="E61" s="17"/>
      <c r="F61" s="823">
        <f t="shared" ref="F61:N61" si="44">((F43+F58)/F70)*10^6</f>
        <v>-1.0015352382994449</v>
      </c>
      <c r="G61" s="823">
        <f t="shared" si="44"/>
        <v>-0.14390423892420789</v>
      </c>
      <c r="H61" s="823">
        <f t="shared" si="44"/>
        <v>0.5237759324850656</v>
      </c>
      <c r="I61" s="823">
        <f t="shared" si="44"/>
        <v>-0.85802067951621219</v>
      </c>
      <c r="J61" s="848">
        <f>((J43+J58)/J70)*10^6</f>
        <v>-1.0126663145750723</v>
      </c>
      <c r="K61" s="848">
        <f>((K43+K58)/K70)*10^6</f>
        <v>-1.1115307085470274</v>
      </c>
      <c r="L61" s="848">
        <f>((L43+L58)/L70)*10^6</f>
        <v>-1.0931980089460029</v>
      </c>
      <c r="M61" s="848">
        <f>((M43+M58)/M70)*10^6</f>
        <v>-1.1292272040918938</v>
      </c>
      <c r="N61" s="848">
        <f t="shared" si="44"/>
        <v>-1.1320935282438827</v>
      </c>
    </row>
    <row r="62" spans="1:14" s="402" customFormat="1" x14ac:dyDescent="0.25">
      <c r="A62" s="493" t="s">
        <v>43</v>
      </c>
      <c r="B62" s="13"/>
      <c r="C62" s="13"/>
      <c r="D62" s="13"/>
      <c r="E62" s="13"/>
      <c r="F62" s="484">
        <f t="shared" ref="F62:N62" si="45">((F50)/F72)*10^6</f>
        <v>0.18612181614371179</v>
      </c>
      <c r="G62" s="484">
        <f t="shared" si="45"/>
        <v>23.789169497158117</v>
      </c>
      <c r="H62" s="484">
        <f t="shared" si="45"/>
        <v>-6.3214336679232055E-2</v>
      </c>
      <c r="I62" s="484">
        <f t="shared" si="45"/>
        <v>-8.7647273714021673E-2</v>
      </c>
      <c r="J62" s="849">
        <f t="shared" si="45"/>
        <v>-8.7647273714021673E-2</v>
      </c>
      <c r="K62" s="849">
        <f t="shared" si="45"/>
        <v>-8.7647273714021673E-2</v>
      </c>
      <c r="L62" s="849">
        <f t="shared" si="45"/>
        <v>-8.7647273714021673E-2</v>
      </c>
      <c r="M62" s="849">
        <f t="shared" si="45"/>
        <v>-8.7647273714021673E-2</v>
      </c>
      <c r="N62" s="849">
        <f t="shared" si="45"/>
        <v>-8.7647273714021673E-2</v>
      </c>
    </row>
    <row r="63" spans="1:14" s="402" customFormat="1" x14ac:dyDescent="0.25">
      <c r="A63" s="494"/>
      <c r="B63" s="17"/>
      <c r="C63" s="17"/>
      <c r="D63" s="17"/>
      <c r="E63" s="17"/>
      <c r="F63" s="17"/>
      <c r="G63" s="17"/>
      <c r="H63" s="17"/>
      <c r="I63" s="17"/>
      <c r="J63" s="69"/>
      <c r="K63" s="69"/>
      <c r="L63" s="69"/>
      <c r="M63" s="69"/>
      <c r="N63" s="69"/>
    </row>
    <row r="64" spans="1:14" s="402" customFormat="1" ht="31.5" customHeight="1" x14ac:dyDescent="0.25">
      <c r="A64" s="495" t="s">
        <v>44</v>
      </c>
      <c r="B64" s="17"/>
      <c r="C64" s="17"/>
      <c r="D64" s="17"/>
      <c r="E64" s="17"/>
      <c r="F64" s="17"/>
      <c r="G64" s="17"/>
      <c r="H64" s="17"/>
      <c r="I64" s="17"/>
      <c r="J64" s="69"/>
      <c r="K64" s="69"/>
      <c r="L64" s="69"/>
      <c r="M64" s="69"/>
      <c r="N64" s="69"/>
    </row>
    <row r="65" spans="1:14" s="402" customFormat="1" x14ac:dyDescent="0.25">
      <c r="A65" s="492" t="s">
        <v>42</v>
      </c>
      <c r="B65" s="106"/>
      <c r="C65" s="106"/>
      <c r="D65" s="106"/>
      <c r="E65" s="106"/>
      <c r="F65" s="483">
        <f t="shared" ref="F65:N65" si="46">(F58+F43+F50)/F70*10^6</f>
        <v>-0.81540922056237997</v>
      </c>
      <c r="G65" s="483">
        <f t="shared" si="46"/>
        <v>23.645265258233909</v>
      </c>
      <c r="H65" s="483">
        <f t="shared" si="46"/>
        <v>0.46056159580583356</v>
      </c>
      <c r="I65" s="483">
        <f t="shared" si="46"/>
        <v>-0.94566795323023378</v>
      </c>
      <c r="J65" s="850">
        <f t="shared" si="46"/>
        <v>-1.100313588289094</v>
      </c>
      <c r="K65" s="850">
        <f t="shared" si="46"/>
        <v>-1.1991779822610491</v>
      </c>
      <c r="L65" s="850">
        <f t="shared" si="46"/>
        <v>-1.1808452826600246</v>
      </c>
      <c r="M65" s="850">
        <f t="shared" si="46"/>
        <v>-1.2168744778059157</v>
      </c>
      <c r="N65" s="850">
        <f t="shared" si="46"/>
        <v>-1.2197408019579041</v>
      </c>
    </row>
    <row r="66" spans="1:14" s="402" customFormat="1" x14ac:dyDescent="0.25">
      <c r="A66" s="493" t="s">
        <v>43</v>
      </c>
      <c r="B66" s="13"/>
      <c r="C66" s="13"/>
      <c r="D66" s="13"/>
      <c r="E66" s="13"/>
      <c r="F66" s="484">
        <f>(F58+F43+F50)/F72*10^6</f>
        <v>-0.81539081358197552</v>
      </c>
      <c r="G66" s="484">
        <f>(G58+G43+G50-22)/(G72)*10^6</f>
        <v>23.447396929713122</v>
      </c>
      <c r="H66" s="484">
        <f t="shared" ref="H66:N66" si="47">(H58+H43+H50)/H72*10^6</f>
        <v>0.46056159580583356</v>
      </c>
      <c r="I66" s="484">
        <f t="shared" si="47"/>
        <v>-0.94566795323023378</v>
      </c>
      <c r="J66" s="849">
        <f t="shared" si="47"/>
        <v>-1.100313588289094</v>
      </c>
      <c r="K66" s="849">
        <f t="shared" si="47"/>
        <v>-1.1991779822610491</v>
      </c>
      <c r="L66" s="849">
        <f t="shared" si="47"/>
        <v>-1.1808452826600246</v>
      </c>
      <c r="M66" s="849">
        <f t="shared" si="47"/>
        <v>-1.2168744778059157</v>
      </c>
      <c r="N66" s="849">
        <f t="shared" si="47"/>
        <v>-1.2197408019579041</v>
      </c>
    </row>
    <row r="67" spans="1:14" s="402" customFormat="1" x14ac:dyDescent="0.25">
      <c r="A67" s="494"/>
      <c r="B67" s="17"/>
      <c r="C67" s="17"/>
      <c r="D67" s="17"/>
      <c r="E67" s="17"/>
      <c r="F67" s="17"/>
      <c r="G67" s="17"/>
      <c r="H67" s="17"/>
      <c r="I67" s="17"/>
      <c r="J67" s="69"/>
      <c r="K67" s="69"/>
      <c r="L67" s="69"/>
      <c r="M67" s="69"/>
      <c r="N67" s="69"/>
    </row>
    <row r="68" spans="1:14" s="402" customFormat="1" x14ac:dyDescent="0.25">
      <c r="A68" s="494" t="s">
        <v>69</v>
      </c>
      <c r="B68" s="17"/>
      <c r="C68" s="17"/>
      <c r="D68" s="17"/>
      <c r="E68" s="17"/>
      <c r="F68" s="17"/>
      <c r="G68" s="17"/>
      <c r="H68" s="17"/>
      <c r="I68" s="17"/>
      <c r="J68" s="69"/>
      <c r="K68" s="69"/>
      <c r="L68" s="69"/>
      <c r="M68" s="69"/>
      <c r="N68" s="69"/>
    </row>
    <row r="69" spans="1:14" s="402" customFormat="1" x14ac:dyDescent="0.25">
      <c r="A69" s="494"/>
      <c r="B69" s="17"/>
      <c r="C69" s="17"/>
      <c r="D69" s="17"/>
      <c r="E69" s="17"/>
      <c r="F69" s="17"/>
      <c r="G69" s="17"/>
      <c r="H69" s="17"/>
      <c r="I69" s="17"/>
      <c r="J69" s="69"/>
      <c r="K69" s="69"/>
      <c r="L69" s="69"/>
      <c r="M69" s="69"/>
      <c r="N69" s="69"/>
    </row>
    <row r="70" spans="1:14" s="402" customFormat="1" x14ac:dyDescent="0.25">
      <c r="A70" s="495" t="s">
        <v>70</v>
      </c>
      <c r="B70" s="106"/>
      <c r="C70" s="106"/>
      <c r="D70" s="106"/>
      <c r="E70" s="106"/>
      <c r="F70" s="117">
        <v>112826784</v>
      </c>
      <c r="G70" s="117">
        <v>111185050</v>
      </c>
      <c r="H70" s="117">
        <v>110734374</v>
      </c>
      <c r="I70" s="117">
        <v>108388996</v>
      </c>
      <c r="J70" s="851">
        <v>108388996</v>
      </c>
      <c r="K70" s="851">
        <v>108388996</v>
      </c>
      <c r="L70" s="851">
        <v>108388996</v>
      </c>
      <c r="M70" s="851">
        <v>108388996</v>
      </c>
      <c r="N70" s="851">
        <v>108388996</v>
      </c>
    </row>
    <row r="71" spans="1:14" s="402" customFormat="1" x14ac:dyDescent="0.25">
      <c r="A71" s="494"/>
      <c r="B71" s="17"/>
      <c r="C71" s="17"/>
      <c r="D71" s="17"/>
      <c r="E71" s="17"/>
      <c r="F71" s="17"/>
      <c r="G71" s="17"/>
      <c r="H71" s="17"/>
      <c r="I71" s="17"/>
      <c r="J71" s="69"/>
      <c r="K71" s="69"/>
      <c r="L71" s="69"/>
      <c r="M71" s="69"/>
      <c r="N71" s="69"/>
    </row>
    <row r="72" spans="1:14" s="402" customFormat="1" ht="15.75" thickBot="1" x14ac:dyDescent="0.3">
      <c r="A72" s="496" t="s">
        <v>71</v>
      </c>
      <c r="B72" s="500"/>
      <c r="C72" s="500"/>
      <c r="D72" s="500"/>
      <c r="E72" s="500"/>
      <c r="F72" s="501">
        <v>112829331</v>
      </c>
      <c r="G72" s="501">
        <v>111185050</v>
      </c>
      <c r="H72" s="501">
        <v>110734374</v>
      </c>
      <c r="I72" s="501">
        <v>108388996</v>
      </c>
      <c r="J72" s="852">
        <v>108388996</v>
      </c>
      <c r="K72" s="852">
        <v>108388996</v>
      </c>
      <c r="L72" s="852">
        <v>108388996</v>
      </c>
      <c r="M72" s="852">
        <v>108388996</v>
      </c>
      <c r="N72" s="852">
        <v>108388996</v>
      </c>
    </row>
    <row r="73" spans="1:14" s="402" customFormat="1" x14ac:dyDescent="0.25">
      <c r="A73"/>
      <c r="B73"/>
      <c r="C73"/>
      <c r="D73"/>
      <c r="E73"/>
      <c r="F73"/>
      <c r="G73"/>
      <c r="H73"/>
      <c r="I73"/>
      <c r="J73" s="5"/>
      <c r="K73" s="5"/>
      <c r="L73" s="5"/>
      <c r="M73" s="5"/>
      <c r="N73" s="5"/>
    </row>
    <row r="75" spans="1:14" x14ac:dyDescent="0.25">
      <c r="G75" s="115"/>
    </row>
    <row r="78" spans="1:14" ht="15.75" thickBot="1" x14ac:dyDescent="0.3"/>
    <row r="79" spans="1:14" x14ac:dyDescent="0.25">
      <c r="A79" s="513" t="s">
        <v>428</v>
      </c>
      <c r="B79" s="290"/>
      <c r="C79" s="290"/>
      <c r="D79" s="290"/>
      <c r="E79" s="290"/>
      <c r="F79" s="509">
        <f t="shared" ref="F79:N79" si="48">F19</f>
        <v>997</v>
      </c>
      <c r="G79" s="509">
        <f t="shared" si="48"/>
        <v>1034</v>
      </c>
      <c r="H79" s="509">
        <f t="shared" si="48"/>
        <v>1213</v>
      </c>
      <c r="I79" s="509">
        <f t="shared" si="48"/>
        <v>1210</v>
      </c>
      <c r="J79" s="853">
        <f t="shared" si="48"/>
        <v>1267.2133622365377</v>
      </c>
      <c r="K79" s="853">
        <f t="shared" si="48"/>
        <v>1292.3016699143784</v>
      </c>
      <c r="L79" s="853">
        <f t="shared" si="48"/>
        <v>1318.703019224894</v>
      </c>
      <c r="M79" s="853">
        <f t="shared" si="48"/>
        <v>1343.4632849455372</v>
      </c>
      <c r="N79" s="853">
        <f t="shared" si="48"/>
        <v>1361.2658396769532</v>
      </c>
    </row>
    <row r="80" spans="1:14" x14ac:dyDescent="0.25">
      <c r="A80" s="463" t="s">
        <v>435</v>
      </c>
      <c r="B80" s="4"/>
      <c r="C80" s="4"/>
      <c r="D80" s="4"/>
      <c r="E80" s="4"/>
      <c r="F80" s="4"/>
      <c r="G80" s="359"/>
      <c r="H80" s="359">
        <f t="shared" ref="H80:N80" si="49">H79/G79-1</f>
        <v>0.17311411992263048</v>
      </c>
      <c r="I80" s="359">
        <f t="shared" si="49"/>
        <v>-2.473206924979432E-3</v>
      </c>
      <c r="J80" s="854">
        <f t="shared" si="49"/>
        <v>4.7283770443419693E-2</v>
      </c>
      <c r="K80" s="854">
        <f t="shared" si="49"/>
        <v>1.9798013835303774E-2</v>
      </c>
      <c r="L80" s="854">
        <f t="shared" si="49"/>
        <v>2.0429710744136687E-2</v>
      </c>
      <c r="M80" s="854">
        <f t="shared" si="49"/>
        <v>1.8776225851971473E-2</v>
      </c>
      <c r="N80" s="854">
        <f t="shared" si="49"/>
        <v>1.3251240231799688E-2</v>
      </c>
    </row>
    <row r="81" spans="1:14" x14ac:dyDescent="0.25">
      <c r="A81" s="463" t="s">
        <v>429</v>
      </c>
      <c r="B81" s="4"/>
      <c r="C81" s="4"/>
      <c r="D81" s="4"/>
      <c r="E81" s="4"/>
      <c r="F81" s="4"/>
      <c r="G81" s="4">
        <f>LFL!F5</f>
        <v>18939</v>
      </c>
      <c r="H81" s="4">
        <f>LFL!K5</f>
        <v>18903</v>
      </c>
      <c r="I81" s="4">
        <f>LFL!P5</f>
        <v>18999</v>
      </c>
      <c r="J81" s="855">
        <f>LFL!U5</f>
        <v>18943.011166666667</v>
      </c>
      <c r="K81" s="855">
        <f>LFL!Z5</f>
        <v>19059.90802008185</v>
      </c>
      <c r="L81" s="855">
        <f>LFL!AE5</f>
        <v>19144.412494962464</v>
      </c>
      <c r="M81" s="855">
        <f>LFL!AJ5</f>
        <v>19171.589899941977</v>
      </c>
      <c r="N81" s="855">
        <f>LFL!AO5</f>
        <v>19153.308731491761</v>
      </c>
    </row>
    <row r="82" spans="1:14" x14ac:dyDescent="0.25">
      <c r="A82" s="463" t="s">
        <v>47</v>
      </c>
      <c r="B82" s="4"/>
      <c r="C82" s="4"/>
      <c r="D82" s="4"/>
      <c r="E82" s="4"/>
      <c r="F82" s="4"/>
      <c r="G82" s="41">
        <f>LFL!F2</f>
        <v>36832</v>
      </c>
      <c r="H82" s="41">
        <f>LFL!K2</f>
        <v>37821</v>
      </c>
      <c r="I82" s="41">
        <f>LFL!P2</f>
        <v>36604</v>
      </c>
      <c r="J82" s="856">
        <f>LFL!U2</f>
        <v>37851.557334902594</v>
      </c>
      <c r="K82" s="856">
        <f>LFL!Z2</f>
        <v>38600.942990706841</v>
      </c>
      <c r="L82" s="856">
        <f>LFL!AE2</f>
        <v>39389.549090457891</v>
      </c>
      <c r="M82" s="856">
        <f>LFL!AJ2</f>
        <v>40129.136160387578</v>
      </c>
      <c r="N82" s="856">
        <f>LFL!AO2</f>
        <v>40660.896983943501</v>
      </c>
    </row>
    <row r="83" spans="1:14" ht="15.75" thickBot="1" x14ac:dyDescent="0.3">
      <c r="A83" s="463"/>
      <c r="B83" s="4"/>
      <c r="C83" s="4"/>
      <c r="D83" s="4"/>
      <c r="E83" s="4"/>
      <c r="F83" s="4"/>
      <c r="G83" s="4"/>
      <c r="H83" s="4"/>
      <c r="I83" s="4"/>
    </row>
    <row r="84" spans="1:14" ht="15.75" thickBot="1" x14ac:dyDescent="0.3">
      <c r="A84" s="515" t="s">
        <v>431</v>
      </c>
      <c r="B84" s="278"/>
      <c r="C84" s="278"/>
      <c r="D84" s="278"/>
      <c r="E84" s="278"/>
      <c r="F84" s="278"/>
      <c r="G84" s="517">
        <f>G81/G82</f>
        <v>0.51419960903562123</v>
      </c>
      <c r="H84" s="517">
        <f t="shared" ref="H84:N84" si="50">H81/H82</f>
        <v>0.49980169746965969</v>
      </c>
      <c r="I84" s="517">
        <f t="shared" si="50"/>
        <v>0.51904163479401155</v>
      </c>
      <c r="J84" s="857">
        <f>J81/J82</f>
        <v>0.50045526526327311</v>
      </c>
      <c r="K84" s="857">
        <f t="shared" si="50"/>
        <v>0.49376793786282669</v>
      </c>
      <c r="L84" s="857">
        <f t="shared" si="50"/>
        <v>0.4860277138739878</v>
      </c>
      <c r="M84" s="857">
        <f t="shared" si="50"/>
        <v>0.47774738592221949</v>
      </c>
      <c r="N84" s="857">
        <f t="shared" si="50"/>
        <v>0.47104983294035968</v>
      </c>
    </row>
    <row r="85" spans="1:14" x14ac:dyDescent="0.25">
      <c r="A85" s="463" t="s">
        <v>433</v>
      </c>
      <c r="B85" s="4"/>
      <c r="C85" s="4"/>
      <c r="D85" s="4"/>
      <c r="E85" s="4"/>
      <c r="F85" s="4"/>
      <c r="G85" s="360">
        <f>G84*G79</f>
        <v>531.68239574283234</v>
      </c>
      <c r="H85" s="360">
        <f t="shared" ref="H85:N85" si="51">H84*H79</f>
        <v>606.25945903069726</v>
      </c>
      <c r="I85" s="360">
        <f t="shared" si="51"/>
        <v>628.04037810075397</v>
      </c>
      <c r="J85" s="855">
        <f>J84*J79</f>
        <v>634.18359934325065</v>
      </c>
      <c r="K85" s="855">
        <f t="shared" si="51"/>
        <v>638.09713065030996</v>
      </c>
      <c r="L85" s="855">
        <f t="shared" si="51"/>
        <v>640.92621371260066</v>
      </c>
      <c r="M85" s="855">
        <f t="shared" si="51"/>
        <v>641.8360724652083</v>
      </c>
      <c r="N85" s="855">
        <f t="shared" si="51"/>
        <v>641.2240463672473</v>
      </c>
    </row>
    <row r="86" spans="1:14" x14ac:dyDescent="0.25">
      <c r="A86" s="463" t="s">
        <v>430</v>
      </c>
      <c r="B86" s="4"/>
      <c r="C86" s="4"/>
      <c r="D86" s="4"/>
      <c r="E86" s="4"/>
      <c r="F86" s="4"/>
      <c r="G86" s="4"/>
      <c r="H86" s="4"/>
      <c r="I86" s="4"/>
      <c r="J86" s="858">
        <v>0.1</v>
      </c>
      <c r="K86" s="858">
        <v>0.1</v>
      </c>
      <c r="L86" s="858">
        <v>0.1</v>
      </c>
      <c r="M86" s="858">
        <v>0.1</v>
      </c>
      <c r="N86" s="858">
        <v>0.1</v>
      </c>
    </row>
    <row r="87" spans="1:14" x14ac:dyDescent="0.25">
      <c r="A87" s="463"/>
      <c r="B87" s="4"/>
      <c r="C87" s="4"/>
      <c r="D87" s="4"/>
      <c r="E87" s="4"/>
      <c r="F87" s="4"/>
      <c r="G87" s="4"/>
      <c r="H87" s="4"/>
      <c r="I87" s="4"/>
    </row>
    <row r="88" spans="1:14" x14ac:dyDescent="0.25">
      <c r="A88" s="463" t="s">
        <v>432</v>
      </c>
      <c r="B88" s="4"/>
      <c r="C88" s="4"/>
      <c r="D88" s="4"/>
      <c r="E88" s="4"/>
      <c r="F88" s="4"/>
      <c r="G88" s="4"/>
      <c r="H88" s="4"/>
      <c r="I88" s="4"/>
      <c r="J88" s="855">
        <f>I85*(1+J86)</f>
        <v>690.84441591082941</v>
      </c>
      <c r="K88" s="855">
        <f>J85*(1+K86)</f>
        <v>697.60195927757582</v>
      </c>
      <c r="L88" s="855">
        <f t="shared" ref="L88:N88" si="52">K85*(1+L86)</f>
        <v>701.90684371534098</v>
      </c>
      <c r="M88" s="855">
        <f t="shared" si="52"/>
        <v>705.01883508386084</v>
      </c>
      <c r="N88" s="855">
        <f t="shared" si="52"/>
        <v>706.01967971172917</v>
      </c>
    </row>
    <row r="89" spans="1:14" ht="15.75" thickBot="1" x14ac:dyDescent="0.3">
      <c r="A89" s="463"/>
      <c r="B89" s="4"/>
      <c r="C89" s="4"/>
      <c r="D89" s="4"/>
      <c r="E89" s="4"/>
      <c r="F89" s="4"/>
      <c r="G89" s="4"/>
      <c r="H89" s="4"/>
      <c r="I89" s="4"/>
    </row>
    <row r="90" spans="1:14" ht="15.75" thickBot="1" x14ac:dyDescent="0.3">
      <c r="A90" s="515" t="s">
        <v>434</v>
      </c>
      <c r="B90" s="278"/>
      <c r="C90" s="278"/>
      <c r="D90" s="278"/>
      <c r="E90" s="278"/>
      <c r="F90" s="278"/>
      <c r="G90" s="278"/>
      <c r="H90" s="278"/>
      <c r="I90" s="278"/>
      <c r="J90" s="859">
        <f>J88-J85</f>
        <v>56.660816567578763</v>
      </c>
      <c r="K90" s="859">
        <f>K88-K85</f>
        <v>59.504828627265852</v>
      </c>
      <c r="L90" s="859">
        <f t="shared" ref="L90:N90" si="53">L88-L85</f>
        <v>60.980630002740327</v>
      </c>
      <c r="M90" s="859">
        <f t="shared" si="53"/>
        <v>63.182762618652532</v>
      </c>
      <c r="N90" s="859">
        <f t="shared" si="53"/>
        <v>64.795633344481871</v>
      </c>
    </row>
    <row r="91" spans="1:14" ht="15.75" thickBot="1" x14ac:dyDescent="0.3">
      <c r="A91" s="463"/>
      <c r="B91" s="4"/>
      <c r="C91" s="4"/>
      <c r="D91" s="4"/>
      <c r="E91" s="4"/>
      <c r="F91" s="4"/>
      <c r="G91" s="4"/>
      <c r="H91" s="4"/>
      <c r="I91" s="4"/>
    </row>
    <row r="92" spans="1:14" ht="15.75" thickBot="1" x14ac:dyDescent="0.3">
      <c r="A92" s="515" t="s">
        <v>436</v>
      </c>
      <c r="B92" s="278"/>
      <c r="C92" s="278"/>
      <c r="D92" s="278"/>
      <c r="E92" s="278"/>
      <c r="F92" s="278"/>
      <c r="G92" s="516">
        <f t="shared" ref="G92:H92" si="54">G79</f>
        <v>1034</v>
      </c>
      <c r="H92" s="516">
        <f t="shared" si="54"/>
        <v>1213</v>
      </c>
      <c r="I92" s="516">
        <f>I79</f>
        <v>1210</v>
      </c>
      <c r="J92" s="860">
        <f>J79+J90</f>
        <v>1323.8741788041166</v>
      </c>
      <c r="K92" s="860">
        <f t="shared" ref="K92:N92" si="55">K79+K90</f>
        <v>1351.8064985416443</v>
      </c>
      <c r="L92" s="860">
        <f t="shared" si="55"/>
        <v>1379.6836492276343</v>
      </c>
      <c r="M92" s="860">
        <f t="shared" si="55"/>
        <v>1406.6460475641898</v>
      </c>
      <c r="N92" s="860">
        <f t="shared" si="55"/>
        <v>1426.0614730214352</v>
      </c>
    </row>
    <row r="93" spans="1:14" ht="15.75" thickBot="1" x14ac:dyDescent="0.3">
      <c r="A93" s="514"/>
      <c r="B93" s="465"/>
      <c r="C93" s="465"/>
      <c r="D93" s="465"/>
      <c r="E93" s="465"/>
      <c r="F93" s="465"/>
      <c r="G93" s="511"/>
      <c r="H93" s="511">
        <f t="shared" ref="H93" si="56">H92/G92-1</f>
        <v>0.17311411992263048</v>
      </c>
      <c r="I93" s="511">
        <f t="shared" ref="I93" si="57">I92/H92-1</f>
        <v>-2.473206924979432E-3</v>
      </c>
      <c r="J93" s="861">
        <f t="shared" ref="J93" si="58">J92/I92-1</f>
        <v>9.4110891573650157E-2</v>
      </c>
      <c r="K93" s="861">
        <f t="shared" ref="K93:N93" si="59">K92/J92-1</f>
        <v>2.1098923284960103E-2</v>
      </c>
      <c r="L93" s="861">
        <f t="shared" si="59"/>
        <v>2.0622145784965795E-2</v>
      </c>
      <c r="M93" s="861">
        <f t="shared" si="59"/>
        <v>1.9542449714214927E-2</v>
      </c>
      <c r="N93" s="861">
        <f t="shared" si="59"/>
        <v>1.3802637480029967E-2</v>
      </c>
    </row>
    <row r="96" spans="1:14" x14ac:dyDescent="0.25">
      <c r="A96" t="str">
        <f>A27</f>
        <v>Income from cash and equivalent</v>
      </c>
      <c r="B96">
        <f>B27</f>
        <v>0</v>
      </c>
      <c r="C96">
        <f>C27</f>
        <v>0</v>
      </c>
      <c r="D96">
        <f>D27</f>
        <v>0</v>
      </c>
      <c r="E96">
        <f>E27</f>
        <v>0</v>
      </c>
      <c r="F96">
        <f>F27</f>
        <v>128</v>
      </c>
      <c r="G96">
        <f>G27</f>
        <v>110</v>
      </c>
      <c r="H96">
        <f>H27</f>
        <v>81</v>
      </c>
      <c r="J96" s="862">
        <f>J97*J99</f>
        <v>48.816723188630291</v>
      </c>
      <c r="K96" s="862">
        <f>K97*K99</f>
        <v>44.153073335863844</v>
      </c>
      <c r="L96" s="862">
        <f>L97*L99</f>
        <v>38.472698167320949</v>
      </c>
      <c r="M96" s="862">
        <f>M97*M99</f>
        <v>29.871955070299148</v>
      </c>
    </row>
    <row r="97" spans="1:13" x14ac:dyDescent="0.25">
      <c r="F97">
        <f>BS!C24</f>
        <v>5750</v>
      </c>
      <c r="G97">
        <f>BS!D24</f>
        <v>3391</v>
      </c>
      <c r="H97">
        <f>BS!E24</f>
        <v>3730</v>
      </c>
      <c r="I97">
        <f>BS!F24</f>
        <v>4337.5911142302402</v>
      </c>
      <c r="J97" s="5">
        <f>BS!G24</f>
        <v>4437.8839262391175</v>
      </c>
      <c r="K97" s="5">
        <f>BS!H24</f>
        <v>4013.9157578058043</v>
      </c>
      <c r="L97" s="5">
        <f>BS!I24</f>
        <v>3497.5180152109956</v>
      </c>
      <c r="M97" s="5">
        <f>BS!J24</f>
        <v>2715.6322791181046</v>
      </c>
    </row>
    <row r="99" spans="1:13" x14ac:dyDescent="0.25">
      <c r="F99" s="773">
        <f>F96/F97</f>
        <v>2.2260869565217393E-2</v>
      </c>
      <c r="G99" s="773">
        <f t="shared" ref="G99:I99" si="60">G96/G97</f>
        <v>3.2438808611029192E-2</v>
      </c>
      <c r="H99" s="773">
        <f t="shared" si="60"/>
        <v>2.1715817694369973E-2</v>
      </c>
      <c r="I99" s="773">
        <f t="shared" si="60"/>
        <v>0</v>
      </c>
      <c r="J99" s="863">
        <v>1.0999999999999999E-2</v>
      </c>
      <c r="K99" s="863">
        <v>1.0999999999999999E-2</v>
      </c>
      <c r="L99" s="863">
        <v>1.0999999999999999E-2</v>
      </c>
      <c r="M99" s="863">
        <v>1.0999999999999999E-2</v>
      </c>
    </row>
    <row r="100" spans="1:13" x14ac:dyDescent="0.25">
      <c r="A100" s="454"/>
      <c r="B100" s="454"/>
      <c r="C100" s="454"/>
      <c r="D100" s="454"/>
      <c r="E100" s="454"/>
      <c r="F100" s="454"/>
      <c r="G100" s="454"/>
    </row>
    <row r="101" spans="1:13" x14ac:dyDescent="0.25">
      <c r="A101" s="454"/>
      <c r="B101" s="454"/>
      <c r="C101" s="454"/>
      <c r="D101" s="454"/>
      <c r="E101" s="454"/>
      <c r="F101" s="454"/>
      <c r="G101" s="454"/>
    </row>
    <row r="102" spans="1:13" x14ac:dyDescent="0.25">
      <c r="A102" s="454"/>
      <c r="B102" s="454"/>
      <c r="C102" s="454"/>
      <c r="D102" s="454"/>
      <c r="E102" s="454"/>
      <c r="F102" s="454"/>
      <c r="G102" s="454"/>
    </row>
  </sheetData>
  <conditionalFormatting sqref="J1:N19">
    <cfRule type="expression" dxfId="0" priority="4">
      <formula>ISFORMULA</formula>
    </cfRule>
  </conditionalFormatting>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82"/>
  <sheetViews>
    <sheetView zoomScale="85" zoomScaleNormal="85" workbookViewId="0">
      <pane xSplit="1" ySplit="1" topLeftCell="C2" activePane="bottomRight" state="frozen"/>
      <selection pane="topRight" activeCell="C1" sqref="C1"/>
      <selection pane="bottomLeft" activeCell="A2" sqref="A2"/>
      <selection pane="bottomRight" activeCell="M19" sqref="M19"/>
    </sheetView>
  </sheetViews>
  <sheetFormatPr defaultRowHeight="15" x14ac:dyDescent="0.25"/>
  <cols>
    <col min="1" max="1" width="56.140625" customWidth="1"/>
    <col min="2" max="2" width="0" hidden="1" customWidth="1"/>
    <col min="5" max="5" width="10.7109375" bestFit="1" customWidth="1"/>
    <col min="6" max="6" width="10.28515625" customWidth="1"/>
    <col min="7" max="10" width="13" bestFit="1" customWidth="1"/>
    <col min="11" max="11" width="9.5703125" bestFit="1" customWidth="1"/>
  </cols>
  <sheetData>
    <row r="1" spans="1:21" s="334" customFormat="1" ht="21" x14ac:dyDescent="0.35">
      <c r="A1" s="519" t="s">
        <v>167</v>
      </c>
      <c r="B1" s="520">
        <v>2015</v>
      </c>
      <c r="C1" s="521">
        <v>2016</v>
      </c>
      <c r="D1" s="521">
        <v>2017</v>
      </c>
      <c r="E1" s="522">
        <v>2018</v>
      </c>
      <c r="F1" s="333" t="str">
        <f>BS!F3</f>
        <v>2019 E</v>
      </c>
      <c r="G1" s="333" t="str">
        <f>BS!G3</f>
        <v>2020 E</v>
      </c>
      <c r="H1" s="333" t="str">
        <f>BS!H3</f>
        <v>2021 E</v>
      </c>
      <c r="I1" s="333" t="str">
        <f>BS!I3</f>
        <v>2022 E</v>
      </c>
      <c r="J1" s="333" t="str">
        <f>BS!J3</f>
        <v>2023 E</v>
      </c>
    </row>
    <row r="2" spans="1:21" s="88" customFormat="1" ht="15.75" thickBot="1" x14ac:dyDescent="0.3">
      <c r="A2" s="99"/>
      <c r="B2" s="500"/>
      <c r="C2" s="500"/>
      <c r="D2" s="500"/>
      <c r="E2" s="776"/>
      <c r="F2" s="332"/>
      <c r="G2" s="332"/>
      <c r="H2" s="332"/>
      <c r="I2" s="332"/>
      <c r="J2" s="332"/>
    </row>
    <row r="3" spans="1:21" x14ac:dyDescent="0.25">
      <c r="A3" s="98"/>
      <c r="B3" s="99"/>
      <c r="C3" s="17"/>
      <c r="D3" s="17"/>
      <c r="E3" s="100"/>
      <c r="F3" s="295"/>
      <c r="G3" s="295"/>
      <c r="H3" s="295"/>
      <c r="I3" s="295"/>
      <c r="J3" s="295"/>
    </row>
    <row r="4" spans="1:21" x14ac:dyDescent="0.25">
      <c r="A4" s="101" t="s">
        <v>118</v>
      </c>
      <c r="B4" s="99">
        <f>IS!F35</f>
        <v>68</v>
      </c>
      <c r="C4" s="17">
        <f>IS!G35</f>
        <v>50</v>
      </c>
      <c r="D4" s="17">
        <f>IS!H35</f>
        <v>286</v>
      </c>
      <c r="E4" s="100">
        <f>IS!I35</f>
        <v>370</v>
      </c>
      <c r="F4" s="328">
        <f>IS!J35</f>
        <v>558.1444433049702</v>
      </c>
      <c r="G4" s="328">
        <f>IS!K35</f>
        <v>654.98363687073129</v>
      </c>
      <c r="H4" s="328">
        <f>IS!L35</f>
        <v>637.02647581484962</v>
      </c>
      <c r="I4" s="328">
        <f>IS!M35</f>
        <v>672.3176262743491</v>
      </c>
      <c r="J4" s="328">
        <f>IS!N35</f>
        <v>675.12523484023359</v>
      </c>
      <c r="K4" s="751"/>
      <c r="L4" s="751"/>
      <c r="M4" s="751"/>
      <c r="N4" s="751"/>
      <c r="O4" s="751"/>
      <c r="P4" s="751"/>
      <c r="Q4" s="751"/>
      <c r="R4" s="751"/>
      <c r="S4" s="751"/>
      <c r="T4" s="751"/>
      <c r="U4" s="751"/>
    </row>
    <row r="5" spans="1:21" x14ac:dyDescent="0.25">
      <c r="A5" s="101" t="s">
        <v>119</v>
      </c>
      <c r="B5" s="99">
        <v>88</v>
      </c>
      <c r="C5" s="17">
        <v>2198</v>
      </c>
      <c r="D5" s="17">
        <v>74</v>
      </c>
      <c r="E5" s="100">
        <v>-46</v>
      </c>
      <c r="F5" s="329">
        <f>IS!J49</f>
        <v>0</v>
      </c>
      <c r="G5" s="329">
        <f>IS!K49</f>
        <v>0</v>
      </c>
      <c r="H5" s="329">
        <f>IS!L49</f>
        <v>0</v>
      </c>
      <c r="I5" s="329">
        <f>IS!M49</f>
        <v>0</v>
      </c>
      <c r="J5" s="329">
        <f>IS!N49</f>
        <v>0</v>
      </c>
      <c r="K5" s="751"/>
      <c r="L5" s="751"/>
      <c r="M5" s="751"/>
      <c r="N5" s="751"/>
      <c r="O5" s="751"/>
      <c r="P5" s="751"/>
      <c r="Q5" s="751"/>
      <c r="R5" s="751"/>
      <c r="S5" s="751"/>
      <c r="T5" s="751"/>
      <c r="U5" s="751"/>
    </row>
    <row r="6" spans="1:21" x14ac:dyDescent="0.25">
      <c r="A6" s="102"/>
      <c r="B6" s="103"/>
      <c r="C6" s="13"/>
      <c r="D6" s="13"/>
      <c r="E6" s="104"/>
      <c r="F6" s="295"/>
      <c r="G6" s="295"/>
      <c r="H6" s="295"/>
      <c r="I6" s="295"/>
      <c r="J6" s="295"/>
      <c r="K6" s="751"/>
      <c r="L6" s="751"/>
      <c r="M6" s="751"/>
      <c r="N6" s="751"/>
      <c r="O6" s="751"/>
      <c r="P6" s="751"/>
      <c r="Q6" s="751"/>
      <c r="R6" s="751"/>
      <c r="S6" s="751"/>
      <c r="T6" s="751"/>
      <c r="U6" s="751"/>
    </row>
    <row r="7" spans="1:21" s="27" customFormat="1" ht="15.75" thickBot="1" x14ac:dyDescent="0.3">
      <c r="A7" s="90" t="s">
        <v>120</v>
      </c>
      <c r="B7" s="90">
        <f t="shared" ref="B7:D7" si="0">B4+B5</f>
        <v>156</v>
      </c>
      <c r="C7" s="23">
        <f t="shared" si="0"/>
        <v>2248</v>
      </c>
      <c r="D7" s="23">
        <f t="shared" si="0"/>
        <v>360</v>
      </c>
      <c r="E7" s="91">
        <v>323</v>
      </c>
      <c r="F7" s="518">
        <f>F4+F5</f>
        <v>558.1444433049702</v>
      </c>
      <c r="G7" s="518">
        <f t="shared" ref="G7:J7" si="1">G4+G5</f>
        <v>654.98363687073129</v>
      </c>
      <c r="H7" s="518">
        <f t="shared" si="1"/>
        <v>637.02647581484962</v>
      </c>
      <c r="I7" s="518">
        <f t="shared" si="1"/>
        <v>672.3176262743491</v>
      </c>
      <c r="J7" s="518">
        <f t="shared" si="1"/>
        <v>675.12523484023359</v>
      </c>
      <c r="K7" s="753"/>
      <c r="L7" s="753"/>
      <c r="M7" s="753"/>
      <c r="N7" s="753"/>
      <c r="O7" s="753"/>
      <c r="P7" s="753"/>
      <c r="Q7" s="753"/>
      <c r="R7" s="753"/>
      <c r="S7" s="753"/>
      <c r="T7" s="753"/>
      <c r="U7" s="753"/>
    </row>
    <row r="8" spans="1:21" x14ac:dyDescent="0.25">
      <c r="A8" s="98" t="s">
        <v>121</v>
      </c>
      <c r="B8" s="105">
        <v>692</v>
      </c>
      <c r="C8" s="106">
        <v>663</v>
      </c>
      <c r="D8" s="106">
        <v>688</v>
      </c>
      <c r="E8" s="107">
        <v>656</v>
      </c>
      <c r="F8" s="330">
        <f>-DEP!F45</f>
        <v>613.19522882542196</v>
      </c>
      <c r="G8" s="330">
        <f>-DEP!G45</f>
        <v>613.75499355223872</v>
      </c>
      <c r="H8" s="330">
        <f>-DEP!H45</f>
        <v>614.47696581114303</v>
      </c>
      <c r="I8" s="330">
        <f>-DEP!I45</f>
        <v>601.93704240581371</v>
      </c>
      <c r="J8" s="330">
        <f>-DEP!J45</f>
        <v>597.71518566396946</v>
      </c>
      <c r="K8" s="751"/>
      <c r="L8" s="751"/>
      <c r="M8" s="751"/>
      <c r="N8" s="751"/>
      <c r="O8" s="751"/>
      <c r="P8" s="751"/>
      <c r="Q8" s="751"/>
      <c r="R8" s="751"/>
      <c r="S8" s="751"/>
      <c r="T8" s="751"/>
      <c r="U8" s="751"/>
    </row>
    <row r="9" spans="1:21" hidden="1" x14ac:dyDescent="0.25">
      <c r="A9" s="101" t="s">
        <v>122</v>
      </c>
      <c r="B9" s="99">
        <v>125</v>
      </c>
      <c r="C9" s="17">
        <v>216</v>
      </c>
      <c r="D9" s="17">
        <v>51.5</v>
      </c>
      <c r="E9" s="100">
        <v>221</v>
      </c>
      <c r="F9" s="66">
        <v>0</v>
      </c>
      <c r="G9" s="66">
        <v>0</v>
      </c>
      <c r="H9" s="66">
        <v>0</v>
      </c>
      <c r="I9" s="66">
        <v>0</v>
      </c>
      <c r="J9" s="66">
        <v>0</v>
      </c>
      <c r="K9" s="751"/>
      <c r="L9" s="751"/>
      <c r="M9" s="751"/>
      <c r="N9" s="751"/>
      <c r="O9" s="751"/>
      <c r="P9" s="751"/>
      <c r="Q9" s="751"/>
      <c r="R9" s="751"/>
      <c r="S9" s="751"/>
      <c r="T9" s="751"/>
      <c r="U9" s="751"/>
    </row>
    <row r="10" spans="1:21" hidden="1" x14ac:dyDescent="0.25">
      <c r="A10" s="101" t="s">
        <v>123</v>
      </c>
      <c r="B10" s="99">
        <v>327</v>
      </c>
      <c r="C10" s="17">
        <v>-69</v>
      </c>
      <c r="D10" s="17">
        <v>-47</v>
      </c>
      <c r="E10" s="100">
        <v>45</v>
      </c>
      <c r="F10" s="66">
        <v>0</v>
      </c>
      <c r="G10" s="66">
        <v>0</v>
      </c>
      <c r="H10" s="66">
        <v>0</v>
      </c>
      <c r="I10" s="66">
        <v>0</v>
      </c>
      <c r="J10" s="66">
        <v>0</v>
      </c>
      <c r="K10" s="751"/>
      <c r="L10" s="751"/>
      <c r="M10" s="751"/>
      <c r="N10" s="751"/>
      <c r="O10" s="751"/>
      <c r="P10" s="751"/>
      <c r="Q10" s="751"/>
      <c r="R10" s="751"/>
      <c r="S10" s="751"/>
      <c r="T10" s="751"/>
      <c r="U10" s="751"/>
    </row>
    <row r="11" spans="1:21" hidden="1" x14ac:dyDescent="0.25">
      <c r="A11" s="101" t="s">
        <v>124</v>
      </c>
      <c r="B11" s="99">
        <v>7</v>
      </c>
      <c r="C11" s="17">
        <v>15</v>
      </c>
      <c r="D11" s="17">
        <v>18</v>
      </c>
      <c r="E11" s="100">
        <v>21</v>
      </c>
      <c r="F11" s="66">
        <v>0</v>
      </c>
      <c r="G11" s="66">
        <v>0</v>
      </c>
      <c r="H11" s="66">
        <v>0</v>
      </c>
      <c r="I11" s="66">
        <v>0</v>
      </c>
      <c r="J11" s="66">
        <v>0</v>
      </c>
      <c r="K11" s="751"/>
      <c r="L11" s="754"/>
      <c r="M11" s="754"/>
      <c r="N11" s="751"/>
      <c r="O11" s="751"/>
      <c r="P11" s="751"/>
      <c r="Q11" s="751"/>
      <c r="R11" s="751"/>
      <c r="S11" s="751"/>
      <c r="T11" s="751"/>
      <c r="U11" s="751"/>
    </row>
    <row r="12" spans="1:21" hidden="1" x14ac:dyDescent="0.25">
      <c r="A12" s="101" t="s">
        <v>125</v>
      </c>
      <c r="B12" s="99">
        <v>-17</v>
      </c>
      <c r="C12" s="17">
        <v>-18</v>
      </c>
      <c r="D12" s="17">
        <v>-47</v>
      </c>
      <c r="E12" s="100">
        <v>60</v>
      </c>
      <c r="F12" s="66">
        <v>0</v>
      </c>
      <c r="G12" s="66">
        <v>0</v>
      </c>
      <c r="H12" s="66">
        <v>0</v>
      </c>
      <c r="I12" s="66">
        <v>0</v>
      </c>
      <c r="J12" s="66">
        <v>0</v>
      </c>
      <c r="K12" s="751"/>
      <c r="L12" s="751"/>
      <c r="M12" s="751"/>
      <c r="N12" s="751"/>
      <c r="O12" s="751"/>
      <c r="P12" s="751"/>
      <c r="Q12" s="751"/>
      <c r="R12" s="751"/>
      <c r="S12" s="751"/>
      <c r="T12" s="751"/>
      <c r="U12" s="751"/>
    </row>
    <row r="13" spans="1:21" ht="14.25" hidden="1" customHeight="1" x14ac:dyDescent="0.25">
      <c r="A13" s="101" t="s">
        <v>126</v>
      </c>
      <c r="B13" s="99">
        <v>-3</v>
      </c>
      <c r="C13" s="17">
        <v>-1</v>
      </c>
      <c r="D13" s="17">
        <v>11</v>
      </c>
      <c r="E13" s="100">
        <v>-231</v>
      </c>
      <c r="F13" s="66">
        <v>0</v>
      </c>
      <c r="G13" s="66">
        <v>0</v>
      </c>
      <c r="H13" s="66">
        <v>0</v>
      </c>
      <c r="I13" s="66">
        <v>0</v>
      </c>
      <c r="J13" s="66">
        <v>0</v>
      </c>
      <c r="K13" s="751"/>
      <c r="L13" s="751"/>
      <c r="M13" s="751"/>
      <c r="N13" s="751"/>
      <c r="O13" s="751"/>
      <c r="P13" s="751"/>
      <c r="Q13" s="751"/>
      <c r="R13" s="751"/>
      <c r="S13" s="751"/>
      <c r="T13" s="751"/>
      <c r="U13" s="751"/>
    </row>
    <row r="14" spans="1:21" s="26" customFormat="1" ht="29.25" hidden="1" customHeight="1" x14ac:dyDescent="0.25">
      <c r="A14" s="108" t="s">
        <v>127</v>
      </c>
      <c r="B14" s="109">
        <v>-263</v>
      </c>
      <c r="C14" s="110">
        <v>76</v>
      </c>
      <c r="D14" s="110">
        <v>29</v>
      </c>
      <c r="E14" s="777">
        <v>-29</v>
      </c>
      <c r="F14" s="66">
        <v>0</v>
      </c>
      <c r="G14" s="66">
        <v>0</v>
      </c>
      <c r="H14" s="66">
        <v>0</v>
      </c>
      <c r="I14" s="66">
        <v>0</v>
      </c>
      <c r="J14" s="66">
        <v>0</v>
      </c>
      <c r="K14" s="755"/>
      <c r="L14" s="755"/>
      <c r="M14" s="755"/>
      <c r="N14" s="755"/>
      <c r="O14" s="755"/>
      <c r="P14" s="755"/>
      <c r="Q14" s="755"/>
      <c r="R14" s="755"/>
      <c r="S14" s="755"/>
      <c r="T14" s="755"/>
      <c r="U14" s="755"/>
    </row>
    <row r="15" spans="1:21" hidden="1" x14ac:dyDescent="0.25">
      <c r="A15" s="101" t="s">
        <v>128</v>
      </c>
      <c r="B15" s="99">
        <v>116</v>
      </c>
      <c r="C15" s="17">
        <v>39</v>
      </c>
      <c r="D15" s="17">
        <v>101</v>
      </c>
      <c r="E15" s="100">
        <v>55</v>
      </c>
      <c r="F15" s="66">
        <v>0</v>
      </c>
      <c r="G15" s="66">
        <v>0</v>
      </c>
      <c r="H15" s="66">
        <v>0</v>
      </c>
      <c r="I15" s="66">
        <v>0</v>
      </c>
      <c r="J15" s="66">
        <v>0</v>
      </c>
      <c r="K15" s="751"/>
      <c r="L15" s="751"/>
      <c r="M15" s="751"/>
      <c r="N15" s="751"/>
      <c r="O15" s="751"/>
      <c r="P15" s="751"/>
      <c r="Q15" s="751"/>
      <c r="R15" s="751"/>
      <c r="S15" s="751"/>
      <c r="T15" s="751"/>
      <c r="U15" s="751"/>
    </row>
    <row r="16" spans="1:21" x14ac:dyDescent="0.25">
      <c r="A16" s="101" t="s">
        <v>129</v>
      </c>
      <c r="B16" s="100">
        <f>-IS!F30</f>
        <v>240</v>
      </c>
      <c r="C16" s="100">
        <f>-IS!G30</f>
        <v>324</v>
      </c>
      <c r="D16" s="100">
        <f>-IS!H30</f>
        <v>368</v>
      </c>
      <c r="E16" s="100">
        <f>-IS!I30</f>
        <v>327</v>
      </c>
      <c r="F16" s="289">
        <f>-IS!J30</f>
        <v>389.96155407745778</v>
      </c>
      <c r="G16" s="289">
        <f>-IS!K30</f>
        <v>363.58504296178324</v>
      </c>
      <c r="H16" s="289">
        <f>-IS!L30</f>
        <v>342.80982816679881</v>
      </c>
      <c r="I16" s="289">
        <f>-IS!M30</f>
        <v>326.3234155351675</v>
      </c>
      <c r="J16" s="289">
        <f>-IS!N30</f>
        <v>337.16154411953721</v>
      </c>
      <c r="K16" s="751"/>
      <c r="L16" s="752"/>
      <c r="M16" s="751"/>
      <c r="N16" s="751"/>
      <c r="O16" s="751"/>
      <c r="P16" s="751"/>
      <c r="Q16" s="751"/>
      <c r="R16" s="751"/>
      <c r="S16" s="751"/>
      <c r="T16" s="751"/>
      <c r="U16" s="751"/>
    </row>
    <row r="17" spans="1:21" hidden="1" x14ac:dyDescent="0.25">
      <c r="A17" s="101" t="s">
        <v>130</v>
      </c>
      <c r="B17" s="99">
        <v>53</v>
      </c>
      <c r="C17" s="17">
        <v>78</v>
      </c>
      <c r="D17" s="17">
        <v>83</v>
      </c>
      <c r="E17" s="100">
        <v>81</v>
      </c>
      <c r="F17" s="330">
        <v>0</v>
      </c>
      <c r="G17" s="330">
        <v>0</v>
      </c>
      <c r="H17" s="330">
        <v>0</v>
      </c>
      <c r="I17" s="330">
        <v>0</v>
      </c>
      <c r="J17" s="330">
        <v>0</v>
      </c>
      <c r="K17" s="751"/>
      <c r="L17" s="752"/>
      <c r="M17" s="751"/>
      <c r="N17" s="751"/>
      <c r="O17" s="751"/>
      <c r="P17" s="751"/>
      <c r="Q17" s="751"/>
      <c r="R17" s="751"/>
      <c r="S17" s="751"/>
      <c r="T17" s="751"/>
      <c r="U17" s="751"/>
    </row>
    <row r="18" spans="1:21" hidden="1" x14ac:dyDescent="0.25">
      <c r="A18" s="101" t="s">
        <v>131</v>
      </c>
      <c r="B18" s="99" t="s">
        <v>49</v>
      </c>
      <c r="C18" s="17">
        <v>-2893</v>
      </c>
      <c r="D18" s="17">
        <v>0</v>
      </c>
      <c r="E18" s="100">
        <v>0</v>
      </c>
      <c r="F18" s="66">
        <v>0</v>
      </c>
      <c r="G18" s="66">
        <v>0</v>
      </c>
      <c r="H18" s="66">
        <v>0</v>
      </c>
      <c r="I18" s="66">
        <v>0</v>
      </c>
      <c r="J18" s="66">
        <v>0</v>
      </c>
      <c r="K18" s="751"/>
      <c r="L18" s="751"/>
      <c r="M18" s="751"/>
      <c r="N18" s="751"/>
      <c r="O18" s="751"/>
      <c r="P18" s="751"/>
      <c r="Q18" s="751"/>
      <c r="R18" s="751"/>
      <c r="S18" s="751"/>
      <c r="T18" s="751"/>
      <c r="U18" s="751"/>
    </row>
    <row r="19" spans="1:21" x14ac:dyDescent="0.25">
      <c r="A19" s="101" t="s">
        <v>550</v>
      </c>
      <c r="B19" s="99">
        <v>519</v>
      </c>
      <c r="C19" s="17">
        <v>947</v>
      </c>
      <c r="D19" s="17">
        <v>387</v>
      </c>
      <c r="E19" s="100">
        <v>131</v>
      </c>
      <c r="F19" s="330">
        <f>-DEP!K9</f>
        <v>220.20637780064408</v>
      </c>
      <c r="G19" s="330">
        <f>-DEP!L9</f>
        <v>208.67669780776123</v>
      </c>
      <c r="H19" s="330">
        <f>-DEP!M9</f>
        <v>208.92216837578871</v>
      </c>
      <c r="I19" s="330">
        <f>-DEP!N9</f>
        <v>204.65859441797602</v>
      </c>
      <c r="J19" s="330">
        <f>-DEP!O9</f>
        <v>203.22316312574912</v>
      </c>
      <c r="K19" s="751"/>
      <c r="L19" s="751"/>
      <c r="M19" s="751"/>
      <c r="N19" s="751"/>
      <c r="O19" s="751"/>
      <c r="P19" s="751"/>
      <c r="Q19" s="751"/>
      <c r="R19" s="751"/>
      <c r="S19" s="751"/>
      <c r="T19" s="751"/>
      <c r="U19" s="751"/>
    </row>
    <row r="20" spans="1:21" x14ac:dyDescent="0.25">
      <c r="A20" s="102"/>
      <c r="B20" s="103"/>
      <c r="C20" s="13"/>
      <c r="D20" s="13"/>
      <c r="E20" s="104"/>
      <c r="F20" s="295"/>
      <c r="G20" s="295"/>
      <c r="H20" s="295"/>
      <c r="I20" s="295"/>
      <c r="J20" s="295"/>
      <c r="K20" s="751"/>
      <c r="L20" s="751"/>
      <c r="M20" s="751"/>
      <c r="N20" s="751"/>
      <c r="O20" s="751"/>
      <c r="P20" s="751"/>
      <c r="Q20" s="751"/>
      <c r="R20" s="751"/>
      <c r="S20" s="751"/>
      <c r="T20" s="751"/>
      <c r="U20" s="751"/>
    </row>
    <row r="21" spans="1:21" s="28" customFormat="1" ht="30" customHeight="1" thickBot="1" x14ac:dyDescent="0.3">
      <c r="A21" s="778" t="s">
        <v>132</v>
      </c>
      <c r="B21" s="92" t="e">
        <f>SUM(B7:B19)-#REF!</f>
        <v>#REF!</v>
      </c>
      <c r="C21" s="827">
        <f t="shared" ref="C21:F21" si="2">SUM(C7:C19)</f>
        <v>1625</v>
      </c>
      <c r="D21" s="827">
        <f t="shared" si="2"/>
        <v>2002.5</v>
      </c>
      <c r="E21" s="827">
        <f t="shared" si="2"/>
        <v>1660</v>
      </c>
      <c r="F21" s="744">
        <f t="shared" si="2"/>
        <v>1781.5076040084939</v>
      </c>
      <c r="G21" s="744">
        <f>SUM(G7:G19)</f>
        <v>1841.0003711925144</v>
      </c>
      <c r="H21" s="744">
        <f t="shared" ref="H21:J21" si="3">SUM(H7:H19)</f>
        <v>1803.2354381685802</v>
      </c>
      <c r="I21" s="744">
        <f t="shared" si="3"/>
        <v>1805.2366786333064</v>
      </c>
      <c r="J21" s="744">
        <f t="shared" si="3"/>
        <v>1813.2251277494893</v>
      </c>
      <c r="K21" s="756"/>
      <c r="L21" s="756"/>
      <c r="M21" s="756"/>
      <c r="N21" s="756"/>
      <c r="O21" s="756"/>
      <c r="P21" s="756"/>
      <c r="Q21" s="756"/>
      <c r="R21" s="756"/>
      <c r="S21" s="756"/>
      <c r="T21" s="756"/>
      <c r="U21" s="756"/>
    </row>
    <row r="22" spans="1:21" x14ac:dyDescent="0.25">
      <c r="A22" s="98" t="s">
        <v>133</v>
      </c>
      <c r="B22" s="105">
        <v>-158</v>
      </c>
      <c r="C22" s="106">
        <v>-226</v>
      </c>
      <c r="D22" s="106">
        <v>-114</v>
      </c>
      <c r="E22" s="107">
        <v>-241</v>
      </c>
      <c r="F22" s="331">
        <f>IS!J37</f>
        <v>-306.97944381773362</v>
      </c>
      <c r="G22" s="331">
        <f>IS!K37</f>
        <v>-360.24100027890222</v>
      </c>
      <c r="H22" s="331">
        <f>IS!L37</f>
        <v>-350.36456169816734</v>
      </c>
      <c r="I22" s="331">
        <f>IS!M37</f>
        <v>-369.77469445089201</v>
      </c>
      <c r="J22" s="331">
        <f>IS!N37</f>
        <v>-371.3188791621285</v>
      </c>
      <c r="K22" s="751"/>
      <c r="L22" s="751"/>
      <c r="M22" s="751"/>
      <c r="N22" s="751"/>
      <c r="O22" s="751"/>
      <c r="P22" s="751"/>
      <c r="Q22" s="751"/>
      <c r="R22" s="751"/>
      <c r="S22" s="751"/>
      <c r="T22" s="751"/>
      <c r="U22" s="751"/>
    </row>
    <row r="23" spans="1:21" x14ac:dyDescent="0.25">
      <c r="A23" s="101" t="s">
        <v>134</v>
      </c>
      <c r="B23" s="99">
        <v>710</v>
      </c>
      <c r="C23" s="17">
        <v>640</v>
      </c>
      <c r="D23" s="21">
        <f>WC!F19</f>
        <v>-303</v>
      </c>
      <c r="E23" s="779">
        <f>WC!G19</f>
        <v>-192</v>
      </c>
      <c r="F23" s="328">
        <f>BS!E20-BS!F20+BS!E21-BS!F21+BS!E22-BS!F22+BS!F45-BS!E45+BS!F49-BS!E49</f>
        <v>-49.622737340042477</v>
      </c>
      <c r="G23" s="328">
        <f>BS!F20-BS!G20+BS!F21-BS!G21+BS!F22-BS!G22+BS!G45-BS!F45+BS!G49-BS!F49</f>
        <v>-233.03886448158937</v>
      </c>
      <c r="H23" s="328">
        <f>BS!G20-BS!H20+BS!G21-BS!H21+BS!G22-BS!H22+BS!H45-BS!G45+BS!H49-BS!G49</f>
        <v>-250.34417402188319</v>
      </c>
      <c r="I23" s="328">
        <f>BS!H20-BS!I20+BS!H21-BS!I21+BS!H22-BS!I22+BS!I45-BS!H45+BS!I49-BS!H49</f>
        <v>-259.83818091365083</v>
      </c>
      <c r="J23" s="328">
        <f>BS!I20-BS!J20+BS!I21-BS!J21+BS!I22-BS!J22+BS!J45-BS!I45+BS!J49-BS!I49</f>
        <v>-267.89245271200343</v>
      </c>
      <c r="K23" s="751"/>
      <c r="L23" s="757"/>
      <c r="M23" s="751"/>
      <c r="N23" s="751"/>
      <c r="O23" s="751"/>
      <c r="P23" s="751"/>
      <c r="Q23" s="751"/>
      <c r="R23" s="751"/>
      <c r="S23" s="751"/>
      <c r="T23" s="751"/>
      <c r="U23" s="751"/>
    </row>
    <row r="24" spans="1:21" ht="24" hidden="1" customHeight="1" x14ac:dyDescent="0.25">
      <c r="A24" s="101" t="s">
        <v>135</v>
      </c>
      <c r="B24" s="99">
        <v>417</v>
      </c>
      <c r="C24" s="17">
        <v>-375</v>
      </c>
      <c r="D24" s="111">
        <v>-78.5</v>
      </c>
      <c r="E24" s="100">
        <v>266</v>
      </c>
      <c r="F24" s="66">
        <v>0</v>
      </c>
      <c r="G24" s="66">
        <v>0</v>
      </c>
      <c r="H24" s="66">
        <v>0</v>
      </c>
      <c r="I24" s="66">
        <v>0</v>
      </c>
      <c r="J24" s="66">
        <v>0</v>
      </c>
      <c r="K24" s="751"/>
      <c r="L24" s="751"/>
      <c r="M24" s="751"/>
      <c r="N24" s="751"/>
      <c r="O24" s="751"/>
      <c r="P24" s="751"/>
      <c r="Q24" s="751"/>
      <c r="R24" s="751"/>
      <c r="S24" s="751"/>
      <c r="T24" s="751"/>
      <c r="U24" s="751"/>
    </row>
    <row r="25" spans="1:21" x14ac:dyDescent="0.25">
      <c r="A25" s="102"/>
      <c r="B25" s="103"/>
      <c r="C25" s="13"/>
      <c r="D25" s="13"/>
      <c r="E25" s="104"/>
      <c r="F25" s="295"/>
      <c r="G25" s="295"/>
      <c r="H25" s="295"/>
      <c r="I25" s="295"/>
      <c r="J25" s="295"/>
      <c r="K25" s="751"/>
      <c r="L25" s="751"/>
      <c r="M25" s="751"/>
      <c r="N25" s="751"/>
      <c r="O25" s="751"/>
      <c r="P25" s="751"/>
      <c r="Q25" s="751"/>
      <c r="R25" s="751"/>
      <c r="S25" s="751"/>
      <c r="T25" s="751"/>
      <c r="U25" s="751"/>
    </row>
    <row r="26" spans="1:21" s="27" customFormat="1" ht="15.75" thickBot="1" x14ac:dyDescent="0.3">
      <c r="A26" s="93" t="s">
        <v>163</v>
      </c>
      <c r="B26" s="93" t="e">
        <f t="shared" ref="B26:D26" si="4">B21+B22+B23+B24</f>
        <v>#REF!</v>
      </c>
      <c r="C26" s="88">
        <f t="shared" si="4"/>
        <v>1664</v>
      </c>
      <c r="D26" s="89">
        <f t="shared" si="4"/>
        <v>1507</v>
      </c>
      <c r="E26" s="94">
        <f>E21+E22+E23+E24</f>
        <v>1493</v>
      </c>
      <c r="F26" s="745">
        <f>F21+F22+F23+F24</f>
        <v>1424.9054228507177</v>
      </c>
      <c r="G26" s="745">
        <f>G21+G22+G23+G24</f>
        <v>1247.7205064320228</v>
      </c>
      <c r="H26" s="745">
        <f t="shared" ref="G26:I26" si="5">H21+H22+H23+H24</f>
        <v>1202.5267024485297</v>
      </c>
      <c r="I26" s="745">
        <f t="shared" si="5"/>
        <v>1175.6238032687636</v>
      </c>
      <c r="J26" s="745">
        <f>J21+J22+J23+J24</f>
        <v>1174.0137958753573</v>
      </c>
      <c r="K26" s="753"/>
      <c r="L26" s="753"/>
      <c r="M26" s="753"/>
      <c r="N26" s="753"/>
      <c r="O26" s="753"/>
      <c r="P26" s="753"/>
      <c r="Q26" s="753"/>
      <c r="R26" s="753"/>
      <c r="S26" s="753"/>
      <c r="T26" s="753"/>
      <c r="U26" s="753"/>
    </row>
    <row r="27" spans="1:21" s="369" customFormat="1" ht="15.75" thickBot="1" x14ac:dyDescent="0.3">
      <c r="A27" s="105" t="s">
        <v>164</v>
      </c>
      <c r="B27" s="105">
        <v>1896</v>
      </c>
      <c r="C27" s="106">
        <v>1786</v>
      </c>
      <c r="D27" s="106">
        <v>1123</v>
      </c>
      <c r="E27" s="107">
        <v>1141</v>
      </c>
      <c r="F27" s="746">
        <f>F26</f>
        <v>1424.9054228507177</v>
      </c>
      <c r="G27" s="746">
        <f t="shared" ref="G27:J27" si="6">G26</f>
        <v>1247.7205064320228</v>
      </c>
      <c r="H27" s="746">
        <f t="shared" si="6"/>
        <v>1202.5267024485297</v>
      </c>
      <c r="I27" s="746">
        <f t="shared" si="6"/>
        <v>1175.6238032687636</v>
      </c>
      <c r="J27" s="746">
        <f t="shared" si="6"/>
        <v>1174.0137958753573</v>
      </c>
      <c r="K27" s="753"/>
      <c r="L27" s="753"/>
      <c r="M27" s="753"/>
      <c r="N27" s="753"/>
      <c r="O27" s="753"/>
      <c r="P27" s="753"/>
      <c r="Q27" s="753"/>
      <c r="R27" s="753"/>
      <c r="S27" s="753"/>
      <c r="T27" s="753"/>
      <c r="U27" s="753"/>
    </row>
    <row r="28" spans="1:21" x14ac:dyDescent="0.25">
      <c r="A28" s="105" t="s">
        <v>136</v>
      </c>
      <c r="B28" s="105"/>
      <c r="C28" s="106"/>
      <c r="D28" s="106"/>
      <c r="E28" s="107"/>
      <c r="F28" s="295"/>
      <c r="G28" s="295"/>
      <c r="H28" s="295"/>
      <c r="I28" s="295"/>
      <c r="J28" s="295"/>
      <c r="K28" s="751"/>
      <c r="L28" s="751"/>
      <c r="M28" s="751"/>
      <c r="N28" s="751"/>
      <c r="O28" s="751"/>
      <c r="P28" s="751"/>
      <c r="Q28" s="751"/>
      <c r="R28" s="751"/>
      <c r="S28" s="751"/>
      <c r="T28" s="751"/>
      <c r="U28" s="751"/>
    </row>
    <row r="29" spans="1:21" x14ac:dyDescent="0.25">
      <c r="A29" s="98" t="s">
        <v>137</v>
      </c>
      <c r="B29" s="208">
        <f>DEP!B29</f>
        <v>-1222</v>
      </c>
      <c r="C29" s="208">
        <f>DEP!C29</f>
        <v>-1160</v>
      </c>
      <c r="D29" s="208">
        <f>DEP!D29</f>
        <v>-1247</v>
      </c>
      <c r="E29" s="208">
        <f>DEP!E29</f>
        <v>-1185</v>
      </c>
      <c r="F29" s="330">
        <f>DEP!F29</f>
        <v>-1021.99204804237</v>
      </c>
      <c r="G29" s="330">
        <f>DEP!G29</f>
        <v>-1022.9249892537313</v>
      </c>
      <c r="H29" s="330">
        <f>DEP!H29</f>
        <v>-1024.128276351905</v>
      </c>
      <c r="I29" s="330">
        <f>DEP!I29</f>
        <v>-1003.2284040096895</v>
      </c>
      <c r="J29" s="330">
        <f>DEP!J29</f>
        <v>-996.19197610661581</v>
      </c>
      <c r="K29" s="751"/>
      <c r="L29" s="751"/>
      <c r="M29" s="751"/>
      <c r="N29" s="751"/>
      <c r="O29" s="751"/>
      <c r="P29" s="751"/>
      <c r="Q29" s="751"/>
      <c r="R29" s="751"/>
      <c r="S29" s="751"/>
      <c r="T29" s="751"/>
      <c r="U29" s="751"/>
    </row>
    <row r="30" spans="1:21" hidden="1" x14ac:dyDescent="0.25">
      <c r="A30" s="101" t="s">
        <v>169</v>
      </c>
      <c r="B30" s="99">
        <v>-42</v>
      </c>
      <c r="C30" s="17">
        <v>-118</v>
      </c>
      <c r="D30" s="17">
        <v>-39</v>
      </c>
      <c r="E30" s="100">
        <v>-53</v>
      </c>
      <c r="F30" s="295">
        <v>0</v>
      </c>
      <c r="G30" s="295">
        <v>0</v>
      </c>
      <c r="H30" s="295">
        <v>0</v>
      </c>
      <c r="I30" s="295">
        <v>0</v>
      </c>
      <c r="J30" s="295">
        <v>0</v>
      </c>
      <c r="K30" s="751"/>
      <c r="L30" s="751"/>
      <c r="M30" s="751"/>
      <c r="N30" s="751"/>
      <c r="O30" s="751"/>
      <c r="P30" s="751"/>
      <c r="Q30" s="751"/>
      <c r="R30" s="751"/>
      <c r="S30" s="751"/>
      <c r="T30" s="751"/>
      <c r="U30" s="751"/>
    </row>
    <row r="31" spans="1:21" x14ac:dyDescent="0.25">
      <c r="A31" s="527" t="s">
        <v>165</v>
      </c>
      <c r="B31" s="99"/>
      <c r="C31" s="17"/>
      <c r="D31" s="17"/>
      <c r="E31" s="100"/>
      <c r="F31" s="295"/>
      <c r="G31" s="330"/>
      <c r="H31" s="295"/>
      <c r="I31" s="295"/>
      <c r="J31" s="295"/>
      <c r="K31" s="751"/>
      <c r="L31" s="751"/>
      <c r="M31" s="751"/>
      <c r="N31" s="751"/>
      <c r="O31" s="751"/>
      <c r="P31" s="751"/>
      <c r="Q31" s="751"/>
      <c r="R31" s="751"/>
      <c r="S31" s="751"/>
      <c r="T31" s="751"/>
      <c r="U31" s="751"/>
    </row>
    <row r="32" spans="1:21" x14ac:dyDescent="0.25">
      <c r="A32" s="98" t="s">
        <v>137</v>
      </c>
      <c r="B32" s="99">
        <v>150</v>
      </c>
      <c r="C32" s="17">
        <v>368</v>
      </c>
      <c r="D32" s="17">
        <v>303</v>
      </c>
      <c r="E32" s="100">
        <v>1241</v>
      </c>
      <c r="F32" s="330">
        <v>1271</v>
      </c>
      <c r="G32" s="330">
        <v>645</v>
      </c>
      <c r="H32" s="330">
        <v>150</v>
      </c>
      <c r="I32" s="330">
        <v>120</v>
      </c>
      <c r="J32" s="330">
        <v>50</v>
      </c>
      <c r="K32" s="751"/>
      <c r="L32" s="864"/>
      <c r="M32" s="751"/>
      <c r="N32" s="751"/>
      <c r="O32" s="752"/>
      <c r="P32" s="752"/>
      <c r="Q32" s="752"/>
      <c r="R32" s="752"/>
      <c r="S32" s="752"/>
      <c r="T32" s="751"/>
      <c r="U32" s="751"/>
    </row>
    <row r="33" spans="1:21" hidden="1" x14ac:dyDescent="0.25">
      <c r="A33" s="101" t="s">
        <v>138</v>
      </c>
      <c r="B33" s="99">
        <v>7</v>
      </c>
      <c r="C33" s="17">
        <v>11</v>
      </c>
      <c r="D33" s="17">
        <v>12</v>
      </c>
      <c r="E33" s="100">
        <v>31</v>
      </c>
      <c r="F33" s="330"/>
      <c r="G33" s="330"/>
      <c r="H33" s="330"/>
      <c r="I33" s="330"/>
      <c r="J33" s="330"/>
      <c r="K33" s="751"/>
      <c r="L33" s="751"/>
      <c r="M33" s="751"/>
      <c r="N33" s="751"/>
      <c r="O33" s="751"/>
      <c r="P33" s="751"/>
      <c r="Q33" s="751"/>
      <c r="R33" s="751"/>
      <c r="S33" s="751"/>
      <c r="T33" s="751"/>
      <c r="U33" s="751"/>
    </row>
    <row r="34" spans="1:21" ht="15.75" hidden="1" thickBot="1" x14ac:dyDescent="0.3">
      <c r="A34" s="101" t="s">
        <v>139</v>
      </c>
      <c r="B34" s="99">
        <v>-160</v>
      </c>
      <c r="C34" s="17">
        <v>-116</v>
      </c>
      <c r="D34" s="17">
        <v>-69</v>
      </c>
      <c r="E34" s="100">
        <v>-95</v>
      </c>
      <c r="F34" s="295">
        <v>0</v>
      </c>
      <c r="G34" s="295">
        <f t="shared" ref="G34:J34" si="7">F34</f>
        <v>0</v>
      </c>
      <c r="H34" s="295">
        <f t="shared" si="7"/>
        <v>0</v>
      </c>
      <c r="I34" s="295">
        <f t="shared" si="7"/>
        <v>0</v>
      </c>
      <c r="J34" s="295">
        <f t="shared" si="7"/>
        <v>0</v>
      </c>
      <c r="K34" s="751"/>
      <c r="L34" s="751"/>
      <c r="M34" s="751"/>
      <c r="N34" s="751"/>
      <c r="O34" s="751"/>
      <c r="P34" s="751"/>
      <c r="Q34" s="751"/>
      <c r="R34" s="751"/>
      <c r="S34" s="751"/>
      <c r="T34" s="751"/>
      <c r="U34" s="751"/>
    </row>
    <row r="35" spans="1:21" hidden="1" x14ac:dyDescent="0.25">
      <c r="A35" s="101" t="s">
        <v>140</v>
      </c>
      <c r="B35" s="99" t="s">
        <v>49</v>
      </c>
      <c r="C35" s="17">
        <v>-5</v>
      </c>
      <c r="D35" s="17">
        <v>-17</v>
      </c>
      <c r="E35" s="100">
        <v>170</v>
      </c>
      <c r="F35" s="438">
        <v>0</v>
      </c>
      <c r="G35" s="438">
        <v>0</v>
      </c>
      <c r="H35" s="438">
        <v>0</v>
      </c>
      <c r="I35" s="438">
        <v>0</v>
      </c>
      <c r="J35" s="438">
        <v>0</v>
      </c>
      <c r="K35" s="751"/>
      <c r="L35" s="751"/>
      <c r="M35" s="751"/>
      <c r="N35" s="751"/>
      <c r="O35" s="751"/>
      <c r="P35" s="751"/>
      <c r="Q35" s="751"/>
      <c r="R35" s="751"/>
      <c r="S35" s="751"/>
      <c r="T35" s="751"/>
      <c r="U35" s="751"/>
    </row>
    <row r="36" spans="1:21" hidden="1" x14ac:dyDescent="0.25">
      <c r="A36" s="101" t="s">
        <v>141</v>
      </c>
      <c r="B36" s="99">
        <v>-165</v>
      </c>
      <c r="C36" s="17">
        <v>-48</v>
      </c>
      <c r="D36" s="17">
        <v>-47</v>
      </c>
      <c r="E36" s="100">
        <v>-21</v>
      </c>
      <c r="F36" s="294">
        <v>0</v>
      </c>
      <c r="G36" s="294">
        <v>0</v>
      </c>
      <c r="H36" s="294">
        <v>0</v>
      </c>
      <c r="I36" s="294">
        <v>0</v>
      </c>
      <c r="J36" s="294">
        <v>0</v>
      </c>
      <c r="K36" s="751"/>
      <c r="L36" s="751"/>
      <c r="M36" s="751"/>
      <c r="N36" s="751"/>
      <c r="O36" s="751"/>
      <c r="P36" s="751"/>
      <c r="Q36" s="751"/>
      <c r="R36" s="751"/>
      <c r="S36" s="751"/>
      <c r="T36" s="751"/>
      <c r="U36" s="751"/>
    </row>
    <row r="37" spans="1:21" ht="15.75" hidden="1" thickBot="1" x14ac:dyDescent="0.3">
      <c r="A37" s="102" t="s">
        <v>142</v>
      </c>
      <c r="B37" s="99">
        <v>-113</v>
      </c>
      <c r="C37" s="17">
        <v>3669</v>
      </c>
      <c r="D37" s="17">
        <v>-97</v>
      </c>
      <c r="E37" s="100">
        <v>-119</v>
      </c>
      <c r="F37" s="439">
        <v>0</v>
      </c>
      <c r="G37" s="439">
        <v>0</v>
      </c>
      <c r="H37" s="439">
        <v>0</v>
      </c>
      <c r="I37" s="439">
        <v>0</v>
      </c>
      <c r="J37" s="439">
        <v>0</v>
      </c>
      <c r="K37" s="751"/>
      <c r="L37" s="751"/>
      <c r="M37" s="751"/>
      <c r="N37" s="751"/>
      <c r="O37" s="751"/>
      <c r="P37" s="751"/>
      <c r="Q37" s="751"/>
      <c r="R37" s="751"/>
      <c r="S37" s="751"/>
      <c r="T37" s="751"/>
      <c r="U37" s="751"/>
    </row>
    <row r="38" spans="1:21" x14ac:dyDescent="0.25">
      <c r="A38" s="99"/>
      <c r="B38" s="103"/>
      <c r="C38" s="13"/>
      <c r="D38" s="13"/>
      <c r="E38" s="104"/>
      <c r="F38" s="295"/>
      <c r="G38" s="295"/>
      <c r="H38" s="295"/>
      <c r="I38" s="295"/>
      <c r="J38" s="295"/>
      <c r="K38" s="751"/>
      <c r="L38" s="751"/>
      <c r="M38" s="751"/>
      <c r="N38" s="751"/>
      <c r="O38" s="751"/>
      <c r="P38" s="751"/>
      <c r="Q38" s="751"/>
      <c r="R38" s="751"/>
      <c r="S38" s="751"/>
      <c r="T38" s="751"/>
      <c r="U38" s="751"/>
    </row>
    <row r="39" spans="1:21" s="22" customFormat="1" ht="15.75" thickBot="1" x14ac:dyDescent="0.3">
      <c r="A39" s="780" t="s">
        <v>166</v>
      </c>
      <c r="B39" s="206">
        <f>SUM(B29:B37)</f>
        <v>-1545</v>
      </c>
      <c r="C39" s="206">
        <f>SUM(C29:C37)</f>
        <v>2601</v>
      </c>
      <c r="D39" s="206">
        <f>SUM(D29:D37)</f>
        <v>-1201</v>
      </c>
      <c r="E39" s="206">
        <f>SUM(E29:E37)</f>
        <v>-31</v>
      </c>
      <c r="F39" s="541">
        <f>SUM(F29:F37)</f>
        <v>249.00795195762998</v>
      </c>
      <c r="G39" s="541">
        <f t="shared" ref="G39:I39" si="8">SUM(G29:G37)</f>
        <v>-377.92498925373127</v>
      </c>
      <c r="H39" s="541">
        <f>SUM(H29:H37)</f>
        <v>-874.12827635190501</v>
      </c>
      <c r="I39" s="541">
        <f t="shared" si="8"/>
        <v>-883.22840400968948</v>
      </c>
      <c r="J39" s="541">
        <f>SUM(J29:J37)</f>
        <v>-946.19197610661581</v>
      </c>
      <c r="K39" s="751"/>
      <c r="L39" s="751"/>
      <c r="M39" s="751"/>
      <c r="N39" s="751"/>
      <c r="O39" s="751"/>
      <c r="P39" s="751"/>
      <c r="Q39" s="751"/>
      <c r="R39" s="751"/>
      <c r="S39" s="751"/>
      <c r="T39" s="751"/>
      <c r="U39" s="751"/>
    </row>
    <row r="40" spans="1:21" s="365" customFormat="1" ht="15.75" thickBot="1" x14ac:dyDescent="0.3">
      <c r="A40" s="781" t="s">
        <v>155</v>
      </c>
      <c r="B40" s="366">
        <v>-1432</v>
      </c>
      <c r="C40" s="367">
        <v>-1067</v>
      </c>
      <c r="D40" s="367">
        <v>-1105</v>
      </c>
      <c r="E40" s="368">
        <v>89</v>
      </c>
      <c r="F40" s="747">
        <f>F39</f>
        <v>249.00795195762998</v>
      </c>
      <c r="G40" s="747">
        <f t="shared" ref="G40:J40" si="9">G39</f>
        <v>-377.92498925373127</v>
      </c>
      <c r="H40" s="747">
        <f t="shared" si="9"/>
        <v>-874.12827635190501</v>
      </c>
      <c r="I40" s="747">
        <f t="shared" si="9"/>
        <v>-883.22840400968948</v>
      </c>
      <c r="J40" s="747">
        <f t="shared" si="9"/>
        <v>-946.19197610661581</v>
      </c>
      <c r="K40" s="753"/>
      <c r="L40" s="753"/>
      <c r="M40" s="753"/>
      <c r="N40" s="753"/>
      <c r="O40" s="753"/>
      <c r="P40" s="753"/>
      <c r="Q40" s="753"/>
      <c r="R40" s="753"/>
      <c r="S40" s="753"/>
      <c r="T40" s="753"/>
      <c r="U40" s="753"/>
    </row>
    <row r="41" spans="1:21" x14ac:dyDescent="0.25">
      <c r="A41" s="782" t="s">
        <v>143</v>
      </c>
      <c r="B41" s="105"/>
      <c r="C41" s="106"/>
      <c r="D41" s="106"/>
      <c r="E41" s="107"/>
      <c r="K41" s="751"/>
      <c r="L41" s="751"/>
      <c r="M41" s="751"/>
      <c r="N41" s="751"/>
      <c r="O41" s="751"/>
      <c r="P41" s="751"/>
      <c r="Q41" s="751"/>
      <c r="R41" s="751"/>
      <c r="S41" s="751"/>
      <c r="T41" s="751"/>
      <c r="U41" s="751"/>
    </row>
    <row r="42" spans="1:21" x14ac:dyDescent="0.25">
      <c r="A42" s="98" t="s">
        <v>144</v>
      </c>
      <c r="B42" s="99">
        <v>-352</v>
      </c>
      <c r="C42" s="17">
        <v>-521</v>
      </c>
      <c r="D42" s="17">
        <v>-346</v>
      </c>
      <c r="E42" s="100">
        <v>-338</v>
      </c>
      <c r="F42" s="543">
        <f>E42</f>
        <v>-338</v>
      </c>
      <c r="G42" s="543">
        <v>0</v>
      </c>
      <c r="H42" s="543">
        <f t="shared" ref="H42:J42" si="10">G42</f>
        <v>0</v>
      </c>
      <c r="I42" s="543">
        <f t="shared" si="10"/>
        <v>0</v>
      </c>
      <c r="J42" s="543">
        <f t="shared" si="10"/>
        <v>0</v>
      </c>
      <c r="K42" s="751"/>
      <c r="L42" s="751"/>
      <c r="M42" s="751"/>
      <c r="N42" s="751"/>
      <c r="O42" s="751"/>
      <c r="P42" s="751"/>
      <c r="Q42" s="751"/>
      <c r="R42" s="751"/>
      <c r="S42" s="751"/>
      <c r="T42" s="751"/>
      <c r="U42" s="751"/>
    </row>
    <row r="43" spans="1:21" x14ac:dyDescent="0.25">
      <c r="A43" s="101" t="s">
        <v>145</v>
      </c>
      <c r="B43" s="99">
        <v>-88</v>
      </c>
      <c r="C43" s="17">
        <v>-78</v>
      </c>
      <c r="D43" s="17">
        <v>-52</v>
      </c>
      <c r="E43" s="100">
        <v>-104</v>
      </c>
      <c r="F43" s="543">
        <f>E43</f>
        <v>-104</v>
      </c>
      <c r="G43" s="543">
        <f t="shared" ref="G43:J43" si="11">F43</f>
        <v>-104</v>
      </c>
      <c r="H43" s="543">
        <f t="shared" si="11"/>
        <v>-104</v>
      </c>
      <c r="I43" s="543">
        <f t="shared" si="11"/>
        <v>-104</v>
      </c>
      <c r="J43" s="543">
        <f t="shared" si="11"/>
        <v>-104</v>
      </c>
      <c r="K43" s="751"/>
      <c r="L43" s="751"/>
      <c r="M43" s="751"/>
      <c r="N43" s="751"/>
      <c r="O43" s="751"/>
      <c r="P43" s="751"/>
      <c r="Q43" s="751"/>
      <c r="R43" s="751"/>
      <c r="S43" s="751"/>
      <c r="T43" s="751"/>
      <c r="U43" s="751"/>
    </row>
    <row r="44" spans="1:21" x14ac:dyDescent="0.25">
      <c r="A44" s="101" t="s">
        <v>146</v>
      </c>
      <c r="B44" s="99">
        <v>-48</v>
      </c>
      <c r="C44" s="17">
        <v>-47</v>
      </c>
      <c r="D44" s="17">
        <v>-47</v>
      </c>
      <c r="E44" s="100">
        <v>-48</v>
      </c>
      <c r="F44" s="543">
        <f>E44</f>
        <v>-48</v>
      </c>
      <c r="G44" s="543">
        <f t="shared" ref="G44:J44" si="12">F44</f>
        <v>-48</v>
      </c>
      <c r="H44" s="543">
        <f t="shared" si="12"/>
        <v>-48</v>
      </c>
      <c r="I44" s="543">
        <f t="shared" si="12"/>
        <v>-48</v>
      </c>
      <c r="J44" s="543">
        <f t="shared" si="12"/>
        <v>-48</v>
      </c>
      <c r="K44" s="751"/>
      <c r="L44" s="751"/>
      <c r="M44" s="751"/>
      <c r="N44" s="751"/>
      <c r="O44" s="751"/>
      <c r="P44" s="751"/>
      <c r="Q44" s="751"/>
      <c r="R44" s="751"/>
      <c r="S44" s="751"/>
      <c r="T44" s="751"/>
      <c r="U44" s="751"/>
    </row>
    <row r="45" spans="1:21" hidden="1" x14ac:dyDescent="0.25">
      <c r="A45" s="101" t="s">
        <v>168</v>
      </c>
      <c r="B45" s="99">
        <v>0</v>
      </c>
      <c r="C45" s="17">
        <v>-500</v>
      </c>
      <c r="D45" s="17"/>
      <c r="E45" s="100"/>
      <c r="F45" s="543">
        <v>0</v>
      </c>
      <c r="G45" s="543">
        <v>0</v>
      </c>
      <c r="H45" s="543">
        <v>0</v>
      </c>
      <c r="I45" s="543">
        <v>0</v>
      </c>
      <c r="J45" s="543">
        <v>0</v>
      </c>
      <c r="K45" s="751"/>
      <c r="L45" s="751"/>
      <c r="M45" s="751"/>
      <c r="N45" s="751"/>
      <c r="O45" s="751"/>
      <c r="P45" s="751"/>
      <c r="Q45" s="751"/>
      <c r="R45" s="751"/>
      <c r="S45" s="751"/>
      <c r="T45" s="751"/>
      <c r="U45" s="751"/>
    </row>
    <row r="46" spans="1:21" hidden="1" x14ac:dyDescent="0.25">
      <c r="A46" s="101" t="s">
        <v>147</v>
      </c>
      <c r="B46" s="99">
        <v>0</v>
      </c>
      <c r="C46" s="17">
        <v>0</v>
      </c>
      <c r="D46" s="17">
        <v>0</v>
      </c>
      <c r="E46" s="100">
        <v>0</v>
      </c>
      <c r="F46" s="543">
        <v>0</v>
      </c>
      <c r="G46" s="544">
        <v>0</v>
      </c>
      <c r="H46" s="544">
        <v>0</v>
      </c>
      <c r="I46" s="544">
        <v>0</v>
      </c>
      <c r="J46" s="544">
        <v>0</v>
      </c>
      <c r="K46" s="751"/>
      <c r="L46" s="751"/>
      <c r="M46" s="751"/>
      <c r="N46" s="751"/>
      <c r="O46" s="751"/>
      <c r="P46" s="751"/>
      <c r="Q46" s="751"/>
      <c r="R46" s="751"/>
      <c r="S46" s="751"/>
      <c r="T46" s="751"/>
      <c r="U46" s="751"/>
    </row>
    <row r="47" spans="1:21" hidden="1" x14ac:dyDescent="0.25">
      <c r="A47" s="101" t="s">
        <v>148</v>
      </c>
      <c r="B47" s="99">
        <v>23</v>
      </c>
      <c r="C47" s="17">
        <v>99</v>
      </c>
      <c r="D47" s="17">
        <v>-117</v>
      </c>
      <c r="E47" s="100">
        <v>232</v>
      </c>
      <c r="F47" s="543">
        <v>0</v>
      </c>
      <c r="G47" s="544">
        <v>0</v>
      </c>
      <c r="H47" s="544">
        <v>0</v>
      </c>
      <c r="I47" s="544">
        <v>0</v>
      </c>
      <c r="J47" s="544">
        <v>0</v>
      </c>
      <c r="K47" s="751"/>
      <c r="L47" s="751"/>
      <c r="M47" s="751"/>
      <c r="N47" s="751"/>
      <c r="O47" s="751"/>
      <c r="P47" s="751"/>
      <c r="Q47" s="751"/>
      <c r="R47" s="751"/>
      <c r="S47" s="751"/>
      <c r="T47" s="751"/>
      <c r="U47" s="751"/>
    </row>
    <row r="48" spans="1:21" ht="15.75" hidden="1" thickBot="1" x14ac:dyDescent="0.3">
      <c r="A48" s="101" t="s">
        <v>149</v>
      </c>
      <c r="B48" s="99">
        <v>-82</v>
      </c>
      <c r="C48" s="17">
        <v>-30</v>
      </c>
      <c r="D48" s="17">
        <v>-11</v>
      </c>
      <c r="E48" s="100">
        <v>-103</v>
      </c>
      <c r="F48" s="543">
        <v>0</v>
      </c>
      <c r="G48" s="544">
        <v>0</v>
      </c>
      <c r="H48" s="544">
        <v>0</v>
      </c>
      <c r="I48" s="544">
        <v>0</v>
      </c>
      <c r="J48" s="544">
        <v>0</v>
      </c>
      <c r="K48" s="751"/>
      <c r="L48" s="751"/>
      <c r="M48" s="751"/>
      <c r="N48" s="751"/>
      <c r="O48" s="751"/>
      <c r="P48" s="751"/>
      <c r="Q48" s="751"/>
      <c r="R48" s="751"/>
      <c r="S48" s="751"/>
      <c r="T48" s="751"/>
      <c r="U48" s="751"/>
    </row>
    <row r="49" spans="1:21" hidden="1" x14ac:dyDescent="0.25">
      <c r="A49" s="101" t="s">
        <v>150</v>
      </c>
      <c r="B49" s="99">
        <v>2993</v>
      </c>
      <c r="C49" s="17">
        <v>995</v>
      </c>
      <c r="D49" s="17">
        <v>1589</v>
      </c>
      <c r="E49" s="100">
        <v>1542</v>
      </c>
      <c r="F49" s="774"/>
      <c r="G49" s="545"/>
      <c r="H49" s="545"/>
      <c r="I49" s="545"/>
      <c r="J49" s="545"/>
      <c r="K49" s="751"/>
      <c r="L49" s="751"/>
      <c r="M49" s="758"/>
      <c r="N49" s="751"/>
      <c r="O49" s="751"/>
      <c r="P49" s="751"/>
      <c r="Q49" s="751"/>
      <c r="R49" s="751"/>
      <c r="S49" s="751"/>
      <c r="T49" s="751"/>
      <c r="U49" s="751"/>
    </row>
    <row r="50" spans="1:21" ht="15.75" thickBot="1" x14ac:dyDescent="0.3">
      <c r="A50" s="101" t="s">
        <v>151</v>
      </c>
      <c r="B50" s="99">
        <v>-4349</v>
      </c>
      <c r="C50" s="17">
        <v>-1955</v>
      </c>
      <c r="D50" s="17">
        <v>-2534</v>
      </c>
      <c r="E50" s="100">
        <v>-1346</v>
      </c>
      <c r="F50" s="775">
        <f>BS!F38-BS!E38</f>
        <v>-186.36070650064994</v>
      </c>
      <c r="G50" s="546">
        <f>BS!G38-BS!F38</f>
        <v>-253.91766220763111</v>
      </c>
      <c r="H50" s="546">
        <f>BS!H38-BS!G38</f>
        <v>-257.5567663631391</v>
      </c>
      <c r="I50" s="546">
        <f>BS!I38-BS!H38</f>
        <v>-330.4697263187154</v>
      </c>
      <c r="J50" s="546">
        <f>BS!J38-BS!I38</f>
        <v>-520.54601174209529</v>
      </c>
      <c r="K50" s="751"/>
      <c r="L50" s="751"/>
      <c r="M50" s="751"/>
      <c r="N50" s="751"/>
      <c r="O50" s="751"/>
      <c r="P50" s="751"/>
      <c r="Q50" s="751"/>
      <c r="R50" s="751"/>
      <c r="S50" s="751"/>
      <c r="T50" s="751"/>
      <c r="U50" s="751"/>
    </row>
    <row r="51" spans="1:21" x14ac:dyDescent="0.25">
      <c r="A51" s="101" t="s">
        <v>152</v>
      </c>
      <c r="B51" s="99">
        <v>-371</v>
      </c>
      <c r="C51" s="17">
        <v>-165</v>
      </c>
      <c r="D51" s="17">
        <v>-505</v>
      </c>
      <c r="E51" s="100">
        <v>-424</v>
      </c>
      <c r="F51" s="330">
        <f>-(F16+F17)</f>
        <v>-389.96155407745778</v>
      </c>
      <c r="G51" s="330">
        <f>-(G16+G17)</f>
        <v>-363.58504296178324</v>
      </c>
      <c r="H51" s="330">
        <f>-(H16+H17)</f>
        <v>-342.80982816679881</v>
      </c>
      <c r="I51" s="330">
        <f>-(I16+I17)</f>
        <v>-326.3234155351675</v>
      </c>
      <c r="J51" s="330">
        <f>-(J16+J17)</f>
        <v>-337.16154411953721</v>
      </c>
      <c r="K51" s="751"/>
      <c r="L51" s="751"/>
      <c r="M51" s="751"/>
      <c r="N51" s="751"/>
      <c r="O51" s="751"/>
      <c r="P51" s="751"/>
      <c r="Q51" s="751"/>
      <c r="R51" s="751"/>
      <c r="S51" s="751"/>
      <c r="T51" s="751"/>
      <c r="U51" s="751"/>
    </row>
    <row r="52" spans="1:21" x14ac:dyDescent="0.25">
      <c r="A52" s="102" t="s">
        <v>153</v>
      </c>
      <c r="B52" s="103">
        <v>-718</v>
      </c>
      <c r="C52" s="13">
        <v>-573</v>
      </c>
      <c r="D52" s="13">
        <v>-451</v>
      </c>
      <c r="E52" s="104">
        <v>-167</v>
      </c>
      <c r="F52" s="295"/>
      <c r="G52" s="295"/>
      <c r="H52" s="295"/>
      <c r="I52" s="295"/>
      <c r="J52" s="295"/>
      <c r="K52" s="751"/>
      <c r="L52" s="751"/>
      <c r="M52" s="751"/>
      <c r="N52" s="751"/>
      <c r="O52" s="751"/>
      <c r="P52" s="751"/>
      <c r="Q52" s="751"/>
      <c r="R52" s="751"/>
      <c r="S52" s="751"/>
      <c r="T52" s="751"/>
      <c r="U52" s="751"/>
    </row>
    <row r="53" spans="1:21" s="19" customFormat="1" x14ac:dyDescent="0.25">
      <c r="A53" s="96" t="s">
        <v>154</v>
      </c>
      <c r="B53" s="96">
        <f t="shared" ref="B53:D53" si="13">SUM(B42:B52)</f>
        <v>-2992</v>
      </c>
      <c r="C53" s="24">
        <f t="shared" si="13"/>
        <v>-2775</v>
      </c>
      <c r="D53" s="24">
        <f t="shared" si="13"/>
        <v>-2474</v>
      </c>
      <c r="E53" s="97">
        <f>SUM(E42:E52)</f>
        <v>-756</v>
      </c>
      <c r="F53" s="748">
        <f>SUM(F42:F52)</f>
        <v>-1066.3222605781077</v>
      </c>
      <c r="G53" s="748">
        <f t="shared" ref="G53:J53" si="14">SUM(G42:G52)</f>
        <v>-769.50270516941441</v>
      </c>
      <c r="H53" s="748">
        <f>SUM(H42:H52)</f>
        <v>-752.36659452993786</v>
      </c>
      <c r="I53" s="748">
        <f t="shared" si="14"/>
        <v>-808.79314185388284</v>
      </c>
      <c r="J53" s="748">
        <f t="shared" si="14"/>
        <v>-1009.7075558616325</v>
      </c>
      <c r="K53" s="759"/>
      <c r="L53" s="759"/>
      <c r="M53" s="759"/>
      <c r="N53" s="759"/>
      <c r="O53" s="759"/>
      <c r="P53" s="759"/>
      <c r="Q53" s="759"/>
      <c r="R53" s="759"/>
      <c r="S53" s="759"/>
      <c r="T53" s="759"/>
      <c r="U53" s="759"/>
    </row>
    <row r="54" spans="1:21" s="19" customFormat="1" x14ac:dyDescent="0.25">
      <c r="A54" s="528" t="s">
        <v>155</v>
      </c>
      <c r="B54" s="528">
        <v>-2274</v>
      </c>
      <c r="C54" s="29">
        <v>-2202</v>
      </c>
      <c r="D54" s="29">
        <v>-2022</v>
      </c>
      <c r="E54" s="95">
        <v>-588</v>
      </c>
      <c r="F54" s="749">
        <v>0</v>
      </c>
      <c r="G54" s="749">
        <v>0</v>
      </c>
      <c r="H54" s="749">
        <v>0</v>
      </c>
      <c r="I54" s="749">
        <v>0</v>
      </c>
      <c r="J54" s="749">
        <v>0</v>
      </c>
      <c r="K54" s="759"/>
      <c r="L54" s="759"/>
      <c r="M54" s="759"/>
      <c r="N54" s="759"/>
      <c r="O54" s="759"/>
      <c r="P54" s="759"/>
      <c r="Q54" s="759"/>
      <c r="R54" s="759"/>
      <c r="S54" s="759"/>
      <c r="T54" s="759"/>
      <c r="U54" s="759"/>
    </row>
    <row r="55" spans="1:21" s="26" customFormat="1" ht="29.25" hidden="1" customHeight="1" x14ac:dyDescent="0.25">
      <c r="A55" s="25" t="s">
        <v>156</v>
      </c>
      <c r="B55" s="112">
        <v>-614</v>
      </c>
      <c r="C55" s="113">
        <v>458</v>
      </c>
      <c r="D55" s="113">
        <v>-333</v>
      </c>
      <c r="E55" s="114">
        <v>-232</v>
      </c>
      <c r="F55" s="750">
        <v>0</v>
      </c>
      <c r="G55" s="750">
        <f t="shared" ref="G55:J55" si="15">F55</f>
        <v>0</v>
      </c>
      <c r="H55" s="750">
        <f t="shared" si="15"/>
        <v>0</v>
      </c>
      <c r="I55" s="750">
        <f t="shared" si="15"/>
        <v>0</v>
      </c>
      <c r="J55" s="750">
        <f t="shared" si="15"/>
        <v>0</v>
      </c>
      <c r="K55" s="755"/>
      <c r="L55" s="755"/>
      <c r="M55" s="755"/>
      <c r="N55" s="755"/>
      <c r="O55" s="755"/>
      <c r="P55" s="755"/>
      <c r="Q55" s="755"/>
      <c r="R55" s="755"/>
      <c r="S55" s="755"/>
      <c r="T55" s="755"/>
      <c r="U55" s="755"/>
    </row>
    <row r="56" spans="1:21" ht="27" hidden="1" customHeight="1" x14ac:dyDescent="0.25">
      <c r="A56" s="25" t="s">
        <v>157</v>
      </c>
      <c r="B56" s="103">
        <v>-433</v>
      </c>
      <c r="C56" s="13">
        <v>304</v>
      </c>
      <c r="D56" s="13">
        <v>-148</v>
      </c>
      <c r="E56" s="104">
        <v>-96</v>
      </c>
      <c r="F56" s="540">
        <v>0</v>
      </c>
      <c r="G56" s="540">
        <f t="shared" ref="G56:J56" si="16">F56</f>
        <v>0</v>
      </c>
      <c r="H56" s="540">
        <f t="shared" si="16"/>
        <v>0</v>
      </c>
      <c r="I56" s="540">
        <f t="shared" si="16"/>
        <v>0</v>
      </c>
      <c r="J56" s="540">
        <f t="shared" si="16"/>
        <v>0</v>
      </c>
      <c r="K56" s="751"/>
      <c r="L56" s="751"/>
      <c r="M56" s="751"/>
      <c r="N56" s="751"/>
      <c r="O56" s="751"/>
      <c r="P56" s="751"/>
      <c r="Q56" s="751"/>
      <c r="R56" s="751"/>
      <c r="S56" s="751"/>
      <c r="T56" s="751"/>
      <c r="U56" s="751"/>
    </row>
    <row r="57" spans="1:21" s="19" customFormat="1" x14ac:dyDescent="0.25">
      <c r="A57" s="96" t="s">
        <v>158</v>
      </c>
      <c r="B57" s="783" t="e">
        <f t="shared" ref="B57:G57" si="17">B56+B55+B53+B39+B26</f>
        <v>#REF!</v>
      </c>
      <c r="C57" s="783">
        <f t="shared" si="17"/>
        <v>2252</v>
      </c>
      <c r="D57" s="783">
        <f t="shared" si="17"/>
        <v>-2649</v>
      </c>
      <c r="E57" s="783">
        <f>E56+E55+E53+E39+E26</f>
        <v>378</v>
      </c>
      <c r="F57" s="541">
        <f>F56+F55+F53+F39+F26</f>
        <v>607.59111423024001</v>
      </c>
      <c r="G57" s="541">
        <f t="shared" si="17"/>
        <v>100.29281200887726</v>
      </c>
      <c r="H57" s="541">
        <f>H56+H55+H53+H39+H26</f>
        <v>-423.96816843331317</v>
      </c>
      <c r="I57" s="541">
        <f t="shared" ref="I57" si="18">I56+I55+I53+I39+I26</f>
        <v>-516.39774259480873</v>
      </c>
      <c r="J57" s="541">
        <f>J56+J55+J53+J39+J26</f>
        <v>-781.88573609289097</v>
      </c>
      <c r="K57" s="759"/>
      <c r="L57" s="759"/>
      <c r="M57" s="759"/>
      <c r="N57" s="759"/>
      <c r="O57" s="759"/>
      <c r="P57" s="759"/>
      <c r="Q57" s="759"/>
      <c r="R57" s="759"/>
      <c r="S57" s="759"/>
      <c r="T57" s="759"/>
      <c r="U57" s="759"/>
    </row>
    <row r="58" spans="1:21" hidden="1" x14ac:dyDescent="0.25">
      <c r="A58" s="98" t="s">
        <v>159</v>
      </c>
      <c r="B58" s="105">
        <v>7197</v>
      </c>
      <c r="C58" s="106">
        <v>4534</v>
      </c>
      <c r="D58" s="106">
        <v>6787</v>
      </c>
      <c r="E58" s="107">
        <f>E59+E60</f>
        <v>4137</v>
      </c>
      <c r="F58" s="452"/>
      <c r="G58" s="452"/>
      <c r="H58" s="452"/>
      <c r="I58" s="452"/>
      <c r="J58" s="452"/>
    </row>
    <row r="59" spans="1:21" hidden="1" x14ac:dyDescent="0.25">
      <c r="A59" s="101" t="s">
        <v>160</v>
      </c>
      <c r="B59" s="99">
        <v>7197</v>
      </c>
      <c r="C59" s="17">
        <v>4405</v>
      </c>
      <c r="D59" s="17">
        <v>5614</v>
      </c>
      <c r="E59" s="100">
        <v>3236</v>
      </c>
      <c r="F59" s="363"/>
      <c r="G59" s="363"/>
      <c r="H59" s="363"/>
      <c r="I59" s="363"/>
      <c r="J59" s="363"/>
    </row>
    <row r="60" spans="1:21" hidden="1" x14ac:dyDescent="0.25">
      <c r="A60" s="101" t="s">
        <v>161</v>
      </c>
      <c r="B60" s="99">
        <v>0</v>
      </c>
      <c r="C60" s="17">
        <v>129</v>
      </c>
      <c r="D60" s="17">
        <v>1174</v>
      </c>
      <c r="E60" s="100">
        <v>901</v>
      </c>
      <c r="F60" s="363"/>
      <c r="G60" s="363"/>
      <c r="H60" s="363"/>
      <c r="I60" s="363"/>
      <c r="J60" s="363"/>
    </row>
    <row r="61" spans="1:21" hidden="1" x14ac:dyDescent="0.25">
      <c r="A61" s="101" t="s">
        <v>162</v>
      </c>
      <c r="B61" s="17">
        <f>C58</f>
        <v>4534</v>
      </c>
      <c r="C61" s="17">
        <f t="shared" ref="C61" si="19">D58</f>
        <v>6787</v>
      </c>
      <c r="D61" s="100">
        <f>D62+D63</f>
        <v>4137</v>
      </c>
      <c r="E61" s="100">
        <f>E62+E63</f>
        <v>4514</v>
      </c>
      <c r="F61" s="100"/>
      <c r="G61" s="100"/>
      <c r="H61" s="100"/>
      <c r="I61" s="100"/>
      <c r="J61" s="100"/>
    </row>
    <row r="62" spans="1:21" hidden="1" x14ac:dyDescent="0.25">
      <c r="A62" s="101" t="s">
        <v>160</v>
      </c>
      <c r="B62" s="99">
        <v>4405</v>
      </c>
      <c r="C62" s="17">
        <v>5614</v>
      </c>
      <c r="D62" s="17">
        <v>3236</v>
      </c>
      <c r="E62" s="100">
        <v>3592</v>
      </c>
      <c r="F62" s="364"/>
      <c r="G62" s="364"/>
      <c r="H62" s="364"/>
      <c r="I62" s="364"/>
      <c r="J62" s="364"/>
    </row>
    <row r="63" spans="1:21" hidden="1" x14ac:dyDescent="0.25">
      <c r="A63" s="101" t="s">
        <v>161</v>
      </c>
      <c r="B63" s="99">
        <v>129</v>
      </c>
      <c r="C63" s="17">
        <v>1174</v>
      </c>
      <c r="D63" s="17">
        <v>901</v>
      </c>
      <c r="E63" s="100">
        <v>922</v>
      </c>
      <c r="F63" s="364"/>
      <c r="G63" s="364"/>
      <c r="H63" s="364"/>
      <c r="I63" s="364"/>
      <c r="J63" s="364"/>
    </row>
    <row r="64" spans="1:21" x14ac:dyDescent="0.25">
      <c r="A64" s="402"/>
      <c r="B64" s="402"/>
      <c r="C64" s="402"/>
      <c r="D64" s="402"/>
      <c r="E64" s="402"/>
      <c r="F64" s="402"/>
      <c r="G64" s="402"/>
      <c r="H64" s="402"/>
      <c r="I64" s="402"/>
      <c r="J64" s="402"/>
      <c r="K64" s="402"/>
      <c r="L64" s="402"/>
    </row>
    <row r="65" spans="1:12" x14ac:dyDescent="0.25">
      <c r="A65" s="402"/>
      <c r="B65" s="403"/>
      <c r="C65" s="403"/>
      <c r="D65" s="403"/>
      <c r="E65" s="403"/>
      <c r="F65" s="403"/>
      <c r="G65" s="403"/>
      <c r="H65" s="403"/>
      <c r="I65" s="403"/>
      <c r="J65" s="403"/>
      <c r="K65" s="402"/>
      <c r="L65" s="402"/>
    </row>
    <row r="66" spans="1:12" ht="15.75" thickBot="1" x14ac:dyDescent="0.3">
      <c r="A66" s="402"/>
      <c r="B66" s="402"/>
      <c r="C66" s="402"/>
      <c r="D66" s="402"/>
      <c r="E66" s="403"/>
      <c r="F66" s="402"/>
      <c r="G66" s="402"/>
      <c r="H66" s="402"/>
      <c r="I66" s="402"/>
      <c r="J66" s="402"/>
      <c r="K66" s="402"/>
      <c r="L66" s="402"/>
    </row>
    <row r="67" spans="1:12" x14ac:dyDescent="0.25">
      <c r="A67" s="202" t="s">
        <v>471</v>
      </c>
      <c r="B67" s="530">
        <f>B32/BS!B25</f>
        <v>0.27881040892193309</v>
      </c>
      <c r="C67" s="530">
        <f>C32/BS!C25</f>
        <v>6.0130718954248367E-2</v>
      </c>
      <c r="D67" s="530">
        <f>D32/BS!D25</f>
        <v>4.5957834066434097E-2</v>
      </c>
      <c r="E67" s="530">
        <f>E32/BS!E25</f>
        <v>0.17575414247273757</v>
      </c>
      <c r="F67" s="531">
        <v>0.18</v>
      </c>
      <c r="G67" s="531">
        <v>0.18</v>
      </c>
      <c r="H67" s="531">
        <v>0.05</v>
      </c>
      <c r="I67" s="531">
        <v>0.05</v>
      </c>
      <c r="J67" s="532">
        <v>0.05</v>
      </c>
      <c r="K67" s="402"/>
      <c r="L67" s="402"/>
    </row>
    <row r="68" spans="1:12" x14ac:dyDescent="0.25">
      <c r="A68" s="461"/>
      <c r="B68" s="4"/>
      <c r="C68" s="4"/>
      <c r="D68" s="4"/>
      <c r="E68" s="4"/>
      <c r="F68" s="4"/>
      <c r="G68" s="4"/>
      <c r="H68" s="4"/>
      <c r="I68" s="4"/>
      <c r="J68" s="462"/>
      <c r="K68" s="402"/>
      <c r="L68" s="402"/>
    </row>
    <row r="69" spans="1:12" x14ac:dyDescent="0.25">
      <c r="A69" s="461" t="s">
        <v>470</v>
      </c>
      <c r="B69" s="533">
        <f>B51/(BS!B46+BS!B38)</f>
        <v>-3.1617521731719792E-2</v>
      </c>
      <c r="C69" s="533">
        <f>C51/(BS!C46+BS!C38)</f>
        <v>-1.6152716593245228E-2</v>
      </c>
      <c r="D69" s="533">
        <f>D51/(BS!D46+BS!D38)</f>
        <v>-5.7899564320110064E-2</v>
      </c>
      <c r="E69" s="533">
        <f>E51/(BS!E46+BS!E38)</f>
        <v>-4.6964997784669914E-2</v>
      </c>
      <c r="F69" s="534">
        <v>-4.4999999999999998E-2</v>
      </c>
      <c r="G69" s="534">
        <v>-4.4999999999999998E-2</v>
      </c>
      <c r="H69" s="534">
        <v>-4.4999999999999998E-2</v>
      </c>
      <c r="I69" s="534">
        <v>-4.4999999999999998E-2</v>
      </c>
      <c r="J69" s="535">
        <v>-4.4999999999999998E-2</v>
      </c>
      <c r="K69" s="402"/>
      <c r="L69" s="402"/>
    </row>
    <row r="70" spans="1:12" x14ac:dyDescent="0.25">
      <c r="A70" s="461"/>
      <c r="B70" s="4"/>
      <c r="C70" s="4"/>
      <c r="D70" s="4"/>
      <c r="E70" s="4"/>
      <c r="F70" s="4"/>
      <c r="G70" s="4"/>
      <c r="H70" s="4"/>
      <c r="I70" s="4"/>
      <c r="J70" s="462"/>
    </row>
    <row r="71" spans="1:12" ht="15.75" thickBot="1" x14ac:dyDescent="0.3">
      <c r="A71" s="464" t="s">
        <v>473</v>
      </c>
      <c r="B71" s="536">
        <f>B13/B32</f>
        <v>-0.02</v>
      </c>
      <c r="C71" s="536">
        <f>C13/C32</f>
        <v>-2.717391304347826E-3</v>
      </c>
      <c r="D71" s="536">
        <f>D13/D32</f>
        <v>3.6303630363036306E-2</v>
      </c>
      <c r="E71" s="536">
        <f>E13/E32</f>
        <v>-0.18614020950846091</v>
      </c>
      <c r="F71" s="537">
        <v>-0.19</v>
      </c>
      <c r="G71" s="537">
        <v>-0.18</v>
      </c>
      <c r="H71" s="538">
        <v>1.4999999999999999E-2</v>
      </c>
      <c r="I71" s="538">
        <v>1.4999999999999999E-2</v>
      </c>
      <c r="J71" s="539">
        <v>1.4999999999999999E-2</v>
      </c>
    </row>
    <row r="75" spans="1:12" x14ac:dyDescent="0.25">
      <c r="A75" s="402"/>
      <c r="B75" s="402"/>
      <c r="C75" s="402"/>
      <c r="D75" s="402"/>
      <c r="E75" s="402"/>
      <c r="F75" s="402"/>
      <c r="G75" s="402"/>
      <c r="H75" s="402"/>
      <c r="I75" s="402"/>
    </row>
    <row r="76" spans="1:12" x14ac:dyDescent="0.25">
      <c r="A76" s="402"/>
      <c r="B76" s="402"/>
      <c r="C76" s="402"/>
      <c r="D76" s="402"/>
      <c r="E76" s="402"/>
      <c r="F76" s="402"/>
      <c r="G76" s="402"/>
      <c r="H76" s="402"/>
      <c r="I76" s="402"/>
    </row>
    <row r="77" spans="1:12" x14ac:dyDescent="0.25">
      <c r="A77" s="402"/>
      <c r="B77" s="402"/>
      <c r="C77" s="402"/>
      <c r="D77" s="402"/>
      <c r="E77" s="402"/>
      <c r="F77" s="402"/>
      <c r="G77" s="402"/>
      <c r="H77" s="402"/>
      <c r="I77" s="402"/>
    </row>
    <row r="78" spans="1:12" x14ac:dyDescent="0.25">
      <c r="A78" s="402"/>
      <c r="B78" s="402"/>
      <c r="C78" s="402"/>
      <c r="D78" s="402"/>
      <c r="E78" s="402"/>
      <c r="F78" s="402"/>
      <c r="G78" s="402"/>
      <c r="H78" s="402"/>
      <c r="I78" s="402"/>
    </row>
    <row r="79" spans="1:12" x14ac:dyDescent="0.25">
      <c r="A79" s="402"/>
      <c r="B79" s="402"/>
      <c r="C79" s="402"/>
      <c r="D79" s="402"/>
      <c r="E79" s="402"/>
      <c r="F79" s="402"/>
      <c r="G79" s="402"/>
      <c r="H79" s="402"/>
      <c r="I79" s="402"/>
    </row>
    <row r="80" spans="1:12" x14ac:dyDescent="0.25">
      <c r="A80" s="402"/>
      <c r="B80" s="402"/>
      <c r="C80" s="402"/>
      <c r="D80" s="402"/>
      <c r="E80" s="402"/>
      <c r="F80" s="402"/>
      <c r="G80" s="402"/>
      <c r="H80" s="402"/>
      <c r="I80" s="402"/>
    </row>
    <row r="81" spans="1:9" x14ac:dyDescent="0.25">
      <c r="A81" s="402"/>
      <c r="B81" s="402"/>
      <c r="C81" s="402"/>
      <c r="D81" s="402"/>
      <c r="E81" s="402"/>
      <c r="F81" s="402"/>
      <c r="G81" s="402"/>
      <c r="H81" s="402"/>
      <c r="I81" s="402"/>
    </row>
    <row r="82" spans="1:9" x14ac:dyDescent="0.25">
      <c r="A82" s="402"/>
      <c r="B82" s="402"/>
      <c r="C82" s="402"/>
      <c r="D82" s="402"/>
      <c r="E82" s="402"/>
      <c r="F82" s="402"/>
      <c r="G82" s="402"/>
      <c r="H82" s="402"/>
      <c r="I82" s="402"/>
    </row>
  </sheetData>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74"/>
  <sheetViews>
    <sheetView zoomScale="85" zoomScaleNormal="85" workbookViewId="0">
      <pane xSplit="1" ySplit="3" topLeftCell="B30" activePane="bottomRight" state="frozen"/>
      <selection pane="topRight" activeCell="B1" sqref="B1"/>
      <selection pane="bottomLeft" activeCell="A4" sqref="A4"/>
      <selection pane="bottomRight" activeCell="L20" sqref="L20"/>
    </sheetView>
  </sheetViews>
  <sheetFormatPr defaultRowHeight="15" x14ac:dyDescent="0.25"/>
  <cols>
    <col min="1" max="1" width="44" customWidth="1"/>
    <col min="2" max="2" width="11.5703125" hidden="1" customWidth="1"/>
    <col min="3" max="5" width="11.5703125" bestFit="1" customWidth="1"/>
    <col min="6" max="6" width="16.85546875" customWidth="1"/>
    <col min="7" max="9" width="10.7109375" customWidth="1"/>
    <col min="10" max="10" width="10.7109375" bestFit="1" customWidth="1"/>
    <col min="13" max="13" width="18.7109375" bestFit="1" customWidth="1"/>
  </cols>
  <sheetData>
    <row r="1" spans="1:31" ht="21" x14ac:dyDescent="0.35">
      <c r="A1" s="15" t="s">
        <v>72</v>
      </c>
    </row>
    <row r="2" spans="1:31" hidden="1" x14ac:dyDescent="0.25">
      <c r="B2" s="299"/>
      <c r="C2" s="299"/>
      <c r="D2" s="299"/>
      <c r="E2" s="299"/>
    </row>
    <row r="3" spans="1:31" s="3" customFormat="1" ht="15.75" x14ac:dyDescent="0.25">
      <c r="A3" s="562" t="s">
        <v>111</v>
      </c>
      <c r="B3" s="506">
        <v>2015</v>
      </c>
      <c r="C3" s="506">
        <v>2016</v>
      </c>
      <c r="D3" s="506">
        <v>2017</v>
      </c>
      <c r="E3" s="506">
        <v>2018</v>
      </c>
      <c r="F3" s="553" t="s">
        <v>113</v>
      </c>
      <c r="G3" s="553" t="s">
        <v>114</v>
      </c>
      <c r="H3" s="553" t="s">
        <v>115</v>
      </c>
      <c r="I3" s="553" t="s">
        <v>116</v>
      </c>
      <c r="J3" s="553" t="s">
        <v>117</v>
      </c>
      <c r="K3" s="130"/>
      <c r="L3" s="130"/>
      <c r="M3" s="130"/>
      <c r="N3" s="130"/>
      <c r="O3" s="130"/>
      <c r="P3" s="130"/>
      <c r="Q3" s="130"/>
      <c r="R3" s="130"/>
      <c r="S3" s="130"/>
      <c r="T3" s="130"/>
      <c r="U3" s="130"/>
      <c r="V3" s="130"/>
      <c r="W3" s="130"/>
      <c r="X3" s="130"/>
      <c r="Y3" s="130"/>
      <c r="Z3" s="130"/>
      <c r="AA3" s="130"/>
      <c r="AB3" s="130"/>
      <c r="AC3" s="130"/>
      <c r="AD3" s="130"/>
      <c r="AE3" s="130"/>
    </row>
    <row r="4" spans="1:31" x14ac:dyDescent="0.25">
      <c r="A4" s="6" t="s">
        <v>73</v>
      </c>
      <c r="B4" s="6">
        <v>10351</v>
      </c>
      <c r="C4" s="6">
        <v>9595</v>
      </c>
      <c r="D4" s="6">
        <v>9031</v>
      </c>
      <c r="E4" s="6">
        <v>8690</v>
      </c>
      <c r="F4" s="330">
        <f>E4</f>
        <v>8690</v>
      </c>
      <c r="G4" s="330">
        <f t="shared" ref="G4:J4" si="0">F4</f>
        <v>8690</v>
      </c>
      <c r="H4" s="330">
        <f t="shared" si="0"/>
        <v>8690</v>
      </c>
      <c r="I4" s="330">
        <f t="shared" si="0"/>
        <v>8690</v>
      </c>
      <c r="J4" s="330">
        <f t="shared" si="0"/>
        <v>8690</v>
      </c>
      <c r="K4" s="402"/>
      <c r="L4" s="402"/>
      <c r="M4" s="402"/>
      <c r="N4" s="402"/>
      <c r="O4" s="403"/>
      <c r="P4" s="402"/>
      <c r="Q4" s="402"/>
      <c r="R4" s="402"/>
      <c r="S4" s="402"/>
      <c r="T4" s="402"/>
      <c r="U4" s="402"/>
      <c r="V4" s="402"/>
      <c r="W4" s="402"/>
      <c r="X4" s="402"/>
      <c r="Y4" s="402"/>
      <c r="Z4" s="402"/>
      <c r="AA4" s="402"/>
      <c r="AB4" s="402"/>
      <c r="AC4" s="402"/>
      <c r="AD4" s="402"/>
      <c r="AE4" s="402"/>
    </row>
    <row r="5" spans="1:31" x14ac:dyDescent="0.25">
      <c r="A5" s="6" t="s">
        <v>74</v>
      </c>
      <c r="B5" s="6">
        <f>SUM(B7:B10)</f>
        <v>3622</v>
      </c>
      <c r="C5" s="6">
        <f>SUM(C7:C10)</f>
        <v>3109</v>
      </c>
      <c r="D5" s="6">
        <f>SUM(D7:D10)</f>
        <v>2879</v>
      </c>
      <c r="E5" s="6">
        <f>SUM(E7:E10)</f>
        <v>2906</v>
      </c>
      <c r="F5" s="330">
        <f>E5</f>
        <v>2906</v>
      </c>
      <c r="G5" s="330">
        <f t="shared" ref="G5:J5" si="1">F5</f>
        <v>2906</v>
      </c>
      <c r="H5" s="330">
        <f t="shared" si="1"/>
        <v>2906</v>
      </c>
      <c r="I5" s="330">
        <f t="shared" si="1"/>
        <v>2906</v>
      </c>
      <c r="J5" s="330">
        <f t="shared" si="1"/>
        <v>2906</v>
      </c>
      <c r="K5" s="402"/>
      <c r="L5" s="402"/>
      <c r="M5" s="402"/>
      <c r="N5" s="402"/>
      <c r="O5" s="403"/>
      <c r="P5" s="402"/>
      <c r="Q5" s="402"/>
      <c r="R5" s="402"/>
      <c r="S5" s="402"/>
      <c r="T5" s="402"/>
      <c r="U5" s="402"/>
      <c r="V5" s="402"/>
      <c r="W5" s="402"/>
      <c r="X5" s="402"/>
      <c r="Y5" s="402"/>
      <c r="Z5" s="402"/>
      <c r="AA5" s="402"/>
      <c r="AB5" s="402"/>
      <c r="AC5" s="402"/>
      <c r="AD5" s="402"/>
      <c r="AE5" s="402"/>
    </row>
    <row r="6" spans="1:31" hidden="1" x14ac:dyDescent="0.25">
      <c r="A6" s="6" t="s">
        <v>441</v>
      </c>
      <c r="B6" s="6"/>
      <c r="C6" s="204">
        <f>C5/IS!G3</f>
        <v>8.6289203441576465E-2</v>
      </c>
      <c r="D6" s="204">
        <f>D5/IS!H3</f>
        <v>7.6793811683115498E-2</v>
      </c>
      <c r="E6" s="204">
        <f>E5/IS!I3</f>
        <v>7.9390230575893339E-2</v>
      </c>
      <c r="F6" s="555"/>
      <c r="G6" s="555"/>
      <c r="H6" s="555"/>
      <c r="I6" s="555"/>
      <c r="J6" s="555"/>
      <c r="K6" s="402"/>
      <c r="L6" s="402"/>
      <c r="M6" s="402"/>
      <c r="N6" s="402"/>
      <c r="O6" s="403"/>
      <c r="P6" s="402"/>
      <c r="Q6" s="402"/>
      <c r="R6" s="402"/>
      <c r="S6" s="402"/>
      <c r="T6" s="402"/>
      <c r="U6" s="402"/>
      <c r="V6" s="402"/>
      <c r="W6" s="402"/>
      <c r="X6" s="402"/>
      <c r="Y6" s="402"/>
      <c r="Z6" s="402"/>
      <c r="AA6" s="402"/>
      <c r="AB6" s="402"/>
      <c r="AC6" s="402"/>
      <c r="AD6" s="402"/>
      <c r="AE6" s="402"/>
    </row>
    <row r="7" spans="1:31" hidden="1" x14ac:dyDescent="0.25">
      <c r="A7" s="524" t="s">
        <v>330</v>
      </c>
      <c r="B7" s="198">
        <v>2083</v>
      </c>
      <c r="C7" s="198">
        <v>1777</v>
      </c>
      <c r="D7" s="198">
        <v>1618</v>
      </c>
      <c r="E7" s="198">
        <v>1516</v>
      </c>
      <c r="F7" s="330"/>
      <c r="G7" s="330"/>
      <c r="H7" s="330"/>
      <c r="I7" s="330"/>
      <c r="J7" s="330"/>
      <c r="K7" s="402"/>
      <c r="L7" s="402"/>
      <c r="M7" s="402"/>
      <c r="N7" s="402"/>
      <c r="O7" s="403"/>
      <c r="P7" s="402"/>
      <c r="Q7" s="402"/>
      <c r="R7" s="402"/>
      <c r="S7" s="402"/>
      <c r="T7" s="402"/>
      <c r="U7" s="402"/>
      <c r="V7" s="402"/>
      <c r="W7" s="402"/>
      <c r="X7" s="402"/>
      <c r="Y7" s="402"/>
      <c r="Z7" s="402"/>
      <c r="AA7" s="402"/>
      <c r="AB7" s="402"/>
      <c r="AC7" s="402"/>
      <c r="AD7" s="402"/>
      <c r="AE7" s="402"/>
    </row>
    <row r="8" spans="1:31" hidden="1" x14ac:dyDescent="0.25">
      <c r="A8" s="8" t="s">
        <v>331</v>
      </c>
      <c r="B8" s="198">
        <v>907</v>
      </c>
      <c r="C8" s="198">
        <v>766</v>
      </c>
      <c r="D8" s="198">
        <v>708</v>
      </c>
      <c r="E8" s="198">
        <v>777</v>
      </c>
      <c r="F8" s="330"/>
      <c r="G8" s="330"/>
      <c r="H8" s="330"/>
      <c r="I8" s="330"/>
      <c r="J8" s="330"/>
      <c r="K8" s="402"/>
      <c r="L8" s="402"/>
      <c r="M8" s="402"/>
      <c r="N8" s="402"/>
      <c r="O8" s="403"/>
      <c r="P8" s="402"/>
      <c r="Q8" s="402"/>
      <c r="R8" s="402"/>
      <c r="S8" s="402"/>
      <c r="T8" s="402"/>
      <c r="U8" s="402"/>
      <c r="V8" s="402"/>
      <c r="W8" s="402"/>
      <c r="X8" s="402"/>
      <c r="Y8" s="402"/>
      <c r="Z8" s="402"/>
      <c r="AA8" s="402"/>
      <c r="AB8" s="402"/>
      <c r="AC8" s="402"/>
      <c r="AD8" s="402"/>
      <c r="AE8" s="402"/>
    </row>
    <row r="9" spans="1:31" hidden="1" x14ac:dyDescent="0.25">
      <c r="A9" s="8" t="s">
        <v>332</v>
      </c>
      <c r="B9" s="198">
        <v>466</v>
      </c>
      <c r="C9" s="198">
        <v>423</v>
      </c>
      <c r="D9" s="198">
        <v>394</v>
      </c>
      <c r="E9" s="198">
        <v>403</v>
      </c>
      <c r="F9" s="295"/>
      <c r="G9" s="295"/>
      <c r="H9" s="295"/>
      <c r="I9" s="295"/>
      <c r="J9" s="295"/>
      <c r="K9" s="402"/>
      <c r="L9" s="402"/>
      <c r="M9" s="402"/>
      <c r="N9" s="402"/>
      <c r="O9" s="403"/>
      <c r="P9" s="402"/>
      <c r="Q9" s="402"/>
      <c r="R9" s="402"/>
      <c r="S9" s="402"/>
      <c r="T9" s="402"/>
      <c r="U9" s="402"/>
      <c r="V9" s="402"/>
      <c r="W9" s="402"/>
      <c r="X9" s="402"/>
      <c r="Y9" s="402"/>
      <c r="Z9" s="402"/>
      <c r="AA9" s="402"/>
      <c r="AB9" s="402"/>
      <c r="AC9" s="402"/>
      <c r="AD9" s="402"/>
      <c r="AE9" s="402"/>
    </row>
    <row r="10" spans="1:31" hidden="1" x14ac:dyDescent="0.25">
      <c r="A10" s="55" t="s">
        <v>333</v>
      </c>
      <c r="B10" s="198">
        <v>166</v>
      </c>
      <c r="C10" s="198">
        <v>143</v>
      </c>
      <c r="D10" s="198">
        <v>159</v>
      </c>
      <c r="E10" s="198">
        <v>210</v>
      </c>
      <c r="F10" s="295"/>
      <c r="G10" s="295"/>
      <c r="H10" s="295"/>
      <c r="I10" s="295"/>
      <c r="J10" s="295"/>
      <c r="K10" s="402"/>
      <c r="L10" s="402"/>
      <c r="M10" s="402"/>
      <c r="N10" s="402"/>
      <c r="O10" s="403"/>
      <c r="P10" s="402"/>
      <c r="Q10" s="402"/>
      <c r="R10" s="402"/>
      <c r="S10" s="402"/>
      <c r="T10" s="402"/>
      <c r="U10" s="402"/>
      <c r="V10" s="402"/>
      <c r="W10" s="402"/>
      <c r="X10" s="402"/>
      <c r="Y10" s="402"/>
      <c r="Z10" s="402"/>
      <c r="AA10" s="402"/>
      <c r="AB10" s="402"/>
      <c r="AC10" s="402"/>
      <c r="AD10" s="402"/>
      <c r="AE10" s="402"/>
    </row>
    <row r="11" spans="1:31" x14ac:dyDescent="0.25">
      <c r="A11" s="6" t="s">
        <v>75</v>
      </c>
      <c r="B11" s="6">
        <f>SUM(B12:B14)</f>
        <v>8769</v>
      </c>
      <c r="C11" s="6">
        <f>SUM(C12:C14)</f>
        <v>8123</v>
      </c>
      <c r="D11" s="6">
        <f>SUM(D12:D14)</f>
        <v>7289</v>
      </c>
      <c r="E11" s="6">
        <f>SUM(E12:E14)</f>
        <v>5878</v>
      </c>
      <c r="F11" s="330">
        <f>DEP!F18</f>
        <v>6066.5904414163042</v>
      </c>
      <c r="G11" s="330">
        <f>DEP!G18</f>
        <v>6267.0837393100364</v>
      </c>
      <c r="H11" s="330">
        <f>DEP!H18</f>
        <v>6467.8128814750089</v>
      </c>
      <c r="I11" s="330">
        <f>DEP!I18</f>
        <v>6664.4456486609079</v>
      </c>
      <c r="J11" s="330">
        <f>DEP!J18</f>
        <v>6859.699275977805</v>
      </c>
      <c r="K11" s="402"/>
      <c r="L11" s="402"/>
      <c r="M11" s="402"/>
      <c r="N11" s="402"/>
      <c r="O11" s="403"/>
      <c r="P11" s="402"/>
      <c r="Q11" s="402"/>
      <c r="R11" s="402"/>
      <c r="S11" s="402"/>
      <c r="T11" s="402"/>
      <c r="U11" s="402"/>
      <c r="V11" s="402"/>
      <c r="W11" s="402" t="s">
        <v>442</v>
      </c>
      <c r="X11" s="402"/>
      <c r="Y11" s="402"/>
      <c r="Z11" s="402" t="s">
        <v>443</v>
      </c>
      <c r="AA11" s="403">
        <f>AA13-Z13</f>
        <v>4.5600000000000023</v>
      </c>
      <c r="AB11" s="403">
        <f t="shared" ref="AB11:AE11" si="2">AB13-AA13</f>
        <v>4.6147199999999771</v>
      </c>
      <c r="AC11" s="403">
        <f t="shared" si="2"/>
        <v>4.670096639999997</v>
      </c>
      <c r="AD11" s="403">
        <f t="shared" si="2"/>
        <v>4.726137799680032</v>
      </c>
      <c r="AE11" s="403">
        <f t="shared" si="2"/>
        <v>4.7828514532761801</v>
      </c>
    </row>
    <row r="12" spans="1:31" hidden="1" x14ac:dyDescent="0.25">
      <c r="A12" s="6" t="s">
        <v>335</v>
      </c>
      <c r="B12" s="198">
        <v>2103</v>
      </c>
      <c r="C12" s="198">
        <v>2038</v>
      </c>
      <c r="D12" s="198">
        <v>1839</v>
      </c>
      <c r="E12" s="198">
        <v>1148</v>
      </c>
      <c r="F12" s="295">
        <f>DEP!F7</f>
        <v>0</v>
      </c>
      <c r="G12" s="295">
        <f>DEP!G7</f>
        <v>0</v>
      </c>
      <c r="H12" s="295">
        <f>DEP!H7</f>
        <v>0</v>
      </c>
      <c r="I12" s="295">
        <f>DEP!I7</f>
        <v>0</v>
      </c>
      <c r="J12" s="295">
        <f>DEP!J7</f>
        <v>0</v>
      </c>
      <c r="K12" s="402"/>
      <c r="L12" s="402"/>
      <c r="M12" s="402"/>
      <c r="N12" s="402"/>
      <c r="O12" s="403"/>
      <c r="P12" s="402"/>
      <c r="Q12" s="402"/>
      <c r="R12" s="402"/>
      <c r="S12" s="402"/>
      <c r="T12" s="402"/>
      <c r="U12" s="402"/>
      <c r="V12" s="402"/>
      <c r="W12" s="402">
        <f t="shared" ref="W12:AE12" si="3">B3</f>
        <v>2015</v>
      </c>
      <c r="X12" s="402">
        <f t="shared" si="3"/>
        <v>2016</v>
      </c>
      <c r="Y12" s="402">
        <f t="shared" si="3"/>
        <v>2017</v>
      </c>
      <c r="Z12" s="402">
        <f t="shared" si="3"/>
        <v>2018</v>
      </c>
      <c r="AA12" s="402" t="str">
        <f t="shared" si="3"/>
        <v>2019 E</v>
      </c>
      <c r="AB12" s="402" t="str">
        <f t="shared" si="3"/>
        <v>2020 E</v>
      </c>
      <c r="AC12" s="402" t="str">
        <f t="shared" si="3"/>
        <v>2021 E</v>
      </c>
      <c r="AD12" s="402" t="str">
        <f t="shared" si="3"/>
        <v>2022 E</v>
      </c>
      <c r="AE12" s="402" t="str">
        <f t="shared" si="3"/>
        <v>2023 E</v>
      </c>
    </row>
    <row r="13" spans="1:31" hidden="1" x14ac:dyDescent="0.25">
      <c r="A13" s="6" t="s">
        <v>334</v>
      </c>
      <c r="B13" s="198">
        <v>3546</v>
      </c>
      <c r="C13" s="198">
        <v>3234</v>
      </c>
      <c r="D13" s="198">
        <v>2794</v>
      </c>
      <c r="E13" s="198">
        <v>2289</v>
      </c>
      <c r="F13" s="295">
        <f>DEP!F11</f>
        <v>0</v>
      </c>
      <c r="G13" s="295">
        <f>DEP!G11</f>
        <v>0</v>
      </c>
      <c r="H13" s="295">
        <f>DEP!H11</f>
        <v>0</v>
      </c>
      <c r="I13" s="295">
        <f>DEP!I11</f>
        <v>0</v>
      </c>
      <c r="J13" s="295">
        <f>DEP!J11</f>
        <v>0</v>
      </c>
      <c r="K13" s="402"/>
      <c r="L13" s="402"/>
      <c r="M13" s="402"/>
      <c r="N13" s="402"/>
      <c r="O13" s="403"/>
      <c r="P13" s="402"/>
      <c r="Q13" s="402"/>
      <c r="R13" s="402"/>
      <c r="S13" s="402"/>
      <c r="T13" s="402"/>
      <c r="U13" s="402"/>
      <c r="V13" s="402"/>
      <c r="W13" s="402">
        <v>294</v>
      </c>
      <c r="X13" s="402">
        <v>210</v>
      </c>
      <c r="Y13" s="402">
        <v>296</v>
      </c>
      <c r="Z13" s="402">
        <f>76*5</f>
        <v>380</v>
      </c>
      <c r="AA13" s="402">
        <f>Z13*(1+AA14)</f>
        <v>384.56</v>
      </c>
      <c r="AB13" s="402">
        <f t="shared" ref="AB13:AE13" si="4">AA13*(1+AB14)</f>
        <v>389.17471999999998</v>
      </c>
      <c r="AC13" s="402">
        <f t="shared" si="4"/>
        <v>393.84481663999998</v>
      </c>
      <c r="AD13" s="402">
        <f t="shared" si="4"/>
        <v>398.57095443968001</v>
      </c>
      <c r="AE13" s="402">
        <f t="shared" si="4"/>
        <v>403.35380589295619</v>
      </c>
    </row>
    <row r="14" spans="1:31" hidden="1" x14ac:dyDescent="0.25">
      <c r="A14" s="6" t="s">
        <v>333</v>
      </c>
      <c r="B14" s="198">
        <v>3120</v>
      </c>
      <c r="C14" s="198">
        <v>2851</v>
      </c>
      <c r="D14" s="198">
        <v>2656</v>
      </c>
      <c r="E14" s="198">
        <v>2441</v>
      </c>
      <c r="F14" s="295">
        <f>DEP!F14</f>
        <v>0</v>
      </c>
      <c r="G14" s="295">
        <f>DEP!G14</f>
        <v>0</v>
      </c>
      <c r="H14" s="295">
        <f>DEP!H14</f>
        <v>0</v>
      </c>
      <c r="I14" s="295">
        <f>DEP!I14</f>
        <v>0</v>
      </c>
      <c r="J14" s="295">
        <f>DEP!J14</f>
        <v>0</v>
      </c>
      <c r="K14" s="402"/>
      <c r="L14" s="402"/>
      <c r="M14" s="402"/>
      <c r="N14" s="402"/>
      <c r="O14" s="403"/>
      <c r="P14" s="402"/>
      <c r="Q14" s="402"/>
      <c r="R14" s="402"/>
      <c r="S14" s="402"/>
      <c r="T14" s="402"/>
      <c r="U14" s="402"/>
      <c r="V14" s="402"/>
      <c r="W14" s="402"/>
      <c r="X14" s="548">
        <f>X13/IS!G3</f>
        <v>5.8284762697751874E-3</v>
      </c>
      <c r="Y14" s="548">
        <f>Y13/IS!H3</f>
        <v>7.8954387836756464E-3</v>
      </c>
      <c r="Z14" s="548">
        <f>Z13/IS!I3</f>
        <v>1.0381379084253087E-2</v>
      </c>
      <c r="AA14" s="549">
        <v>1.2E-2</v>
      </c>
      <c r="AB14" s="549">
        <v>1.2E-2</v>
      </c>
      <c r="AC14" s="549">
        <v>1.2E-2</v>
      </c>
      <c r="AD14" s="549">
        <v>1.2E-2</v>
      </c>
      <c r="AE14" s="549">
        <v>1.2E-2</v>
      </c>
    </row>
    <row r="15" spans="1:31" x14ac:dyDescent="0.25">
      <c r="A15" s="6" t="s">
        <v>76</v>
      </c>
      <c r="B15" s="6">
        <v>771</v>
      </c>
      <c r="C15" s="6">
        <v>411</v>
      </c>
      <c r="D15" s="6">
        <v>460</v>
      </c>
      <c r="E15" s="6">
        <v>497</v>
      </c>
      <c r="F15" s="556">
        <f>E15</f>
        <v>497</v>
      </c>
      <c r="G15" s="556">
        <f t="shared" ref="G15:J15" si="5">F15</f>
        <v>497</v>
      </c>
      <c r="H15" s="556">
        <f t="shared" si="5"/>
        <v>497</v>
      </c>
      <c r="I15" s="556">
        <f t="shared" si="5"/>
        <v>497</v>
      </c>
      <c r="J15" s="556">
        <f t="shared" si="5"/>
        <v>497</v>
      </c>
      <c r="K15" s="402"/>
      <c r="L15" s="402"/>
      <c r="M15" s="402"/>
      <c r="N15" s="402"/>
      <c r="O15" s="403"/>
      <c r="P15" s="402"/>
      <c r="Q15" s="402"/>
      <c r="R15" s="402"/>
      <c r="S15" s="402"/>
      <c r="T15" s="402"/>
      <c r="U15" s="402"/>
      <c r="V15" s="402"/>
      <c r="W15" s="402"/>
      <c r="X15" s="402"/>
      <c r="Y15" s="402"/>
      <c r="Z15" s="402"/>
      <c r="AA15" s="402"/>
      <c r="AB15" s="402"/>
      <c r="AC15" s="402"/>
      <c r="AD15" s="402"/>
      <c r="AE15" s="402"/>
    </row>
    <row r="16" spans="1:31" x14ac:dyDescent="0.25">
      <c r="A16" s="6" t="s">
        <v>77</v>
      </c>
      <c r="B16" s="6">
        <v>629</v>
      </c>
      <c r="C16" s="6">
        <v>625</v>
      </c>
      <c r="D16" s="6">
        <v>575</v>
      </c>
      <c r="E16" s="6">
        <v>500</v>
      </c>
      <c r="F16" s="295">
        <f>E16</f>
        <v>500</v>
      </c>
      <c r="G16" s="295">
        <f t="shared" ref="G16:J16" si="6">F16</f>
        <v>500</v>
      </c>
      <c r="H16" s="295">
        <f t="shared" si="6"/>
        <v>500</v>
      </c>
      <c r="I16" s="295">
        <f t="shared" si="6"/>
        <v>500</v>
      </c>
      <c r="J16" s="295">
        <f t="shared" si="6"/>
        <v>500</v>
      </c>
      <c r="K16" s="402"/>
      <c r="L16" s="402"/>
      <c r="M16" s="402"/>
      <c r="N16" s="402"/>
      <c r="O16" s="403"/>
      <c r="P16" s="402"/>
      <c r="Q16" s="402"/>
      <c r="R16" s="402"/>
      <c r="S16" s="402"/>
      <c r="T16" s="402"/>
      <c r="U16" s="402"/>
      <c r="V16" s="402"/>
      <c r="W16" s="402"/>
      <c r="X16" s="402"/>
      <c r="Y16" s="402"/>
      <c r="Z16" s="402"/>
      <c r="AA16" s="402"/>
      <c r="AB16" s="402"/>
      <c r="AC16" s="402"/>
      <c r="AD16" s="402"/>
      <c r="AE16" s="402"/>
    </row>
    <row r="17" spans="1:31" x14ac:dyDescent="0.25">
      <c r="A17" s="6" t="s">
        <v>78</v>
      </c>
      <c r="B17" s="6">
        <v>1858</v>
      </c>
      <c r="C17" s="6">
        <v>1080</v>
      </c>
      <c r="D17" s="6">
        <v>1199</v>
      </c>
      <c r="E17" s="6">
        <v>1275</v>
      </c>
      <c r="F17" s="295">
        <f t="shared" ref="F17:J18" si="7">E17</f>
        <v>1275</v>
      </c>
      <c r="G17" s="295">
        <f t="shared" si="7"/>
        <v>1275</v>
      </c>
      <c r="H17" s="295">
        <f t="shared" si="7"/>
        <v>1275</v>
      </c>
      <c r="I17" s="295">
        <f t="shared" si="7"/>
        <v>1275</v>
      </c>
      <c r="J17" s="295">
        <f t="shared" si="7"/>
        <v>1275</v>
      </c>
      <c r="K17" s="402"/>
      <c r="L17" s="402"/>
      <c r="M17" s="402"/>
      <c r="N17" s="402"/>
      <c r="O17" s="403"/>
      <c r="P17" s="402"/>
      <c r="Q17" s="402"/>
      <c r="R17" s="402"/>
      <c r="S17" s="402"/>
      <c r="T17" s="402"/>
      <c r="U17" s="402"/>
      <c r="V17" s="402"/>
      <c r="W17" s="402"/>
      <c r="X17" s="402"/>
      <c r="Y17" s="402"/>
      <c r="Z17" s="402"/>
      <c r="AA17" s="402"/>
      <c r="AB17" s="402"/>
      <c r="AC17" s="402"/>
      <c r="AD17" s="402"/>
      <c r="AE17" s="402"/>
    </row>
    <row r="18" spans="1:31" x14ac:dyDescent="0.25">
      <c r="A18" s="6" t="s">
        <v>79</v>
      </c>
      <c r="B18" s="6">
        <v>490</v>
      </c>
      <c r="C18" s="6">
        <v>687</v>
      </c>
      <c r="D18" s="6">
        <v>522</v>
      </c>
      <c r="E18" s="6">
        <v>553</v>
      </c>
      <c r="F18" s="295">
        <f t="shared" si="7"/>
        <v>553</v>
      </c>
      <c r="G18" s="295">
        <f t="shared" si="7"/>
        <v>553</v>
      </c>
      <c r="H18" s="295">
        <f t="shared" si="7"/>
        <v>553</v>
      </c>
      <c r="I18" s="295">
        <f t="shared" si="7"/>
        <v>553</v>
      </c>
      <c r="J18" s="295">
        <f t="shared" si="7"/>
        <v>553</v>
      </c>
      <c r="K18" s="402"/>
      <c r="L18" s="402"/>
      <c r="M18" s="402"/>
      <c r="N18" s="402"/>
      <c r="O18" s="403"/>
      <c r="P18" s="402"/>
      <c r="Q18" s="402"/>
      <c r="R18" s="402"/>
      <c r="S18" s="402"/>
      <c r="T18" s="402"/>
      <c r="U18" s="402"/>
      <c r="V18" s="402"/>
      <c r="W18" s="402"/>
      <c r="X18" s="402"/>
      <c r="Y18" s="402"/>
      <c r="Z18" s="402"/>
      <c r="AA18" s="402"/>
      <c r="AB18" s="402"/>
      <c r="AC18" s="402"/>
      <c r="AD18" s="402"/>
      <c r="AE18" s="402"/>
    </row>
    <row r="19" spans="1:31" s="3" customFormat="1" ht="15.75" x14ac:dyDescent="0.25">
      <c r="A19" s="18" t="s">
        <v>110</v>
      </c>
      <c r="B19" s="205">
        <f t="shared" ref="B19:J19" si="8">B18+B17+B16+B15+B11+B5+B4</f>
        <v>26490</v>
      </c>
      <c r="C19" s="205">
        <f t="shared" si="8"/>
        <v>23630</v>
      </c>
      <c r="D19" s="205">
        <f t="shared" si="8"/>
        <v>21955</v>
      </c>
      <c r="E19" s="205">
        <f t="shared" si="8"/>
        <v>20299</v>
      </c>
      <c r="F19" s="554">
        <f t="shared" si="8"/>
        <v>20487.590441416305</v>
      </c>
      <c r="G19" s="554">
        <f t="shared" si="8"/>
        <v>20688.083739310037</v>
      </c>
      <c r="H19" s="554">
        <f t="shared" si="8"/>
        <v>20888.812881475009</v>
      </c>
      <c r="I19" s="554">
        <f t="shared" si="8"/>
        <v>21085.445648660909</v>
      </c>
      <c r="J19" s="554">
        <f t="shared" si="8"/>
        <v>21280.699275977804</v>
      </c>
      <c r="K19" s="402"/>
      <c r="L19" s="402"/>
      <c r="M19" s="402"/>
      <c r="N19" s="402"/>
      <c r="O19" s="403"/>
      <c r="P19" s="402"/>
      <c r="Q19" s="402"/>
      <c r="R19" s="402"/>
      <c r="S19" s="402"/>
      <c r="T19" s="402"/>
      <c r="U19" s="402"/>
      <c r="V19" s="402"/>
      <c r="W19" s="402"/>
      <c r="X19" s="402"/>
      <c r="Y19" s="402"/>
      <c r="Z19" s="402"/>
      <c r="AA19" s="402"/>
      <c r="AB19" s="402"/>
      <c r="AC19" s="402"/>
      <c r="AD19" s="402"/>
      <c r="AE19" s="402"/>
    </row>
    <row r="20" spans="1:31" x14ac:dyDescent="0.25">
      <c r="A20" s="6" t="s">
        <v>80</v>
      </c>
      <c r="B20" s="14">
        <v>4884</v>
      </c>
      <c r="C20" s="14">
        <v>3990</v>
      </c>
      <c r="D20" s="14">
        <v>3815</v>
      </c>
      <c r="E20" s="14">
        <v>3843</v>
      </c>
      <c r="F20" s="328">
        <f>IS!J3*F57</f>
        <v>4066.190591714138</v>
      </c>
      <c r="G20" s="328">
        <f>IS!K3*G57</f>
        <v>4568.3806958059677</v>
      </c>
      <c r="H20" s="328">
        <f>IS!L3*H57</f>
        <v>4532.4960597239206</v>
      </c>
      <c r="I20" s="328">
        <f>IS!M3*I57</f>
        <v>4727.5420682100403</v>
      </c>
      <c r="J20" s="328">
        <f>IS!N3*J57</f>
        <v>4901.5875816260659</v>
      </c>
      <c r="K20" s="402"/>
      <c r="L20" s="402"/>
      <c r="M20" s="402"/>
      <c r="N20" s="402"/>
      <c r="O20" s="403"/>
      <c r="P20" s="402"/>
      <c r="Q20" s="402"/>
      <c r="R20" s="402"/>
      <c r="S20" s="402"/>
      <c r="T20" s="402"/>
      <c r="U20" s="402"/>
      <c r="V20" s="402"/>
      <c r="W20" s="402"/>
      <c r="X20" s="402"/>
      <c r="Y20" s="402"/>
      <c r="Z20" s="402"/>
      <c r="AA20" s="402"/>
      <c r="AB20" s="402"/>
      <c r="AC20" s="402"/>
      <c r="AD20" s="402"/>
      <c r="AE20" s="402"/>
    </row>
    <row r="21" spans="1:31" x14ac:dyDescent="0.25">
      <c r="A21" s="6" t="s">
        <v>81</v>
      </c>
      <c r="B21" s="14">
        <v>1287</v>
      </c>
      <c r="C21" s="14">
        <v>880</v>
      </c>
      <c r="D21" s="14">
        <v>937</v>
      </c>
      <c r="E21" s="14">
        <v>905</v>
      </c>
      <c r="F21" s="328">
        <f>IS!J3*F59</f>
        <v>946.28893337256488</v>
      </c>
      <c r="G21" s="328">
        <f>IS!K3*G59</f>
        <v>965.02357476767111</v>
      </c>
      <c r="H21" s="328">
        <f>IS!L3*H59</f>
        <v>984.73872726144737</v>
      </c>
      <c r="I21" s="328">
        <f>IS!M3*I59</f>
        <v>1003.2284040096895</v>
      </c>
      <c r="J21" s="328">
        <f>IS!N3*J59</f>
        <v>1016.5224245985876</v>
      </c>
      <c r="K21" s="402"/>
      <c r="L21" s="402"/>
      <c r="M21" s="550"/>
      <c r="N21" s="402"/>
      <c r="O21" s="403"/>
      <c r="P21" s="402"/>
      <c r="Q21" s="402"/>
      <c r="R21" s="402"/>
      <c r="S21" s="402"/>
      <c r="T21" s="402"/>
      <c r="U21" s="402"/>
      <c r="V21" s="402"/>
      <c r="W21" s="402"/>
      <c r="X21" s="402"/>
      <c r="Y21" s="402"/>
      <c r="Z21" s="402"/>
      <c r="AA21" s="402"/>
      <c r="AB21" s="402"/>
      <c r="AC21" s="402"/>
      <c r="AD21" s="402"/>
      <c r="AE21" s="402"/>
    </row>
    <row r="22" spans="1:31" x14ac:dyDescent="0.25">
      <c r="A22" s="6" t="s">
        <v>82</v>
      </c>
      <c r="B22" s="14">
        <v>1857</v>
      </c>
      <c r="C22" s="14">
        <v>1542</v>
      </c>
      <c r="D22" s="14">
        <v>1287</v>
      </c>
      <c r="E22" s="14">
        <v>1437</v>
      </c>
      <c r="F22" s="330">
        <f>E22</f>
        <v>1437</v>
      </c>
      <c r="G22" s="330">
        <f t="shared" ref="G22:J22" si="9">F22</f>
        <v>1437</v>
      </c>
      <c r="H22" s="330">
        <f t="shared" si="9"/>
        <v>1437</v>
      </c>
      <c r="I22" s="330">
        <f t="shared" si="9"/>
        <v>1437</v>
      </c>
      <c r="J22" s="330">
        <f t="shared" si="9"/>
        <v>1437</v>
      </c>
      <c r="K22" s="402"/>
      <c r="L22" s="402"/>
      <c r="M22" s="402"/>
      <c r="N22" s="402"/>
      <c r="O22" s="403"/>
      <c r="P22" s="402"/>
      <c r="Q22" s="402"/>
      <c r="R22" s="402"/>
      <c r="S22" s="402"/>
      <c r="T22" s="402"/>
      <c r="U22" s="402"/>
      <c r="V22" s="402"/>
      <c r="W22" s="402"/>
      <c r="X22" s="402"/>
      <c r="Y22" s="402"/>
      <c r="Z22" s="402"/>
      <c r="AA22" s="402"/>
      <c r="AB22" s="402"/>
      <c r="AC22" s="402"/>
      <c r="AD22" s="402"/>
      <c r="AE22" s="402"/>
    </row>
    <row r="23" spans="1:31" x14ac:dyDescent="0.25">
      <c r="A23" s="6" t="s">
        <v>83</v>
      </c>
      <c r="B23" s="14">
        <v>189</v>
      </c>
      <c r="C23" s="14">
        <v>130</v>
      </c>
      <c r="D23" s="14">
        <v>138</v>
      </c>
      <c r="E23" s="14">
        <v>165</v>
      </c>
      <c r="F23" s="330">
        <f t="shared" ref="F23:J23" si="10">E23</f>
        <v>165</v>
      </c>
      <c r="G23" s="330">
        <f t="shared" si="10"/>
        <v>165</v>
      </c>
      <c r="H23" s="330">
        <f t="shared" si="10"/>
        <v>165</v>
      </c>
      <c r="I23" s="330">
        <f t="shared" si="10"/>
        <v>165</v>
      </c>
      <c r="J23" s="330">
        <f t="shared" si="10"/>
        <v>165</v>
      </c>
      <c r="K23" s="402"/>
      <c r="L23" s="402"/>
      <c r="M23" s="402"/>
      <c r="N23" s="402"/>
      <c r="O23" s="403"/>
      <c r="P23" s="402"/>
      <c r="Q23" s="402"/>
      <c r="R23" s="402"/>
      <c r="S23" s="402"/>
      <c r="T23" s="402"/>
      <c r="U23" s="402"/>
      <c r="V23" s="402"/>
      <c r="W23" s="402"/>
      <c r="X23" s="402"/>
      <c r="Y23" s="402"/>
      <c r="Z23" s="402"/>
      <c r="AA23" s="402"/>
      <c r="AB23" s="402"/>
      <c r="AC23" s="402"/>
      <c r="AD23" s="402"/>
      <c r="AE23" s="402"/>
    </row>
    <row r="24" spans="1:31" x14ac:dyDescent="0.25">
      <c r="A24" s="6" t="s">
        <v>84</v>
      </c>
      <c r="B24" s="14">
        <v>4588</v>
      </c>
      <c r="C24" s="14">
        <v>5750</v>
      </c>
      <c r="D24" s="14">
        <v>3391</v>
      </c>
      <c r="E24" s="14">
        <v>3730</v>
      </c>
      <c r="F24" s="330">
        <f>E24+CFS!F57</f>
        <v>4337.5911142302402</v>
      </c>
      <c r="G24" s="330">
        <f>F24+CFS!G57</f>
        <v>4437.8839262391175</v>
      </c>
      <c r="H24" s="330">
        <f>G24+CFS!H57</f>
        <v>4013.9157578058043</v>
      </c>
      <c r="I24" s="330">
        <f>H24+CFS!I57</f>
        <v>3497.5180152109956</v>
      </c>
      <c r="J24" s="330">
        <f>I24+CFS!J57</f>
        <v>2715.6322791181046</v>
      </c>
      <c r="K24" s="402"/>
      <c r="L24" s="402"/>
      <c r="M24" s="402"/>
      <c r="N24" s="402"/>
      <c r="O24" s="403"/>
      <c r="P24" s="402"/>
      <c r="Q24" s="402"/>
      <c r="R24" s="402"/>
      <c r="S24" s="402"/>
      <c r="T24" s="402"/>
      <c r="U24" s="402"/>
      <c r="V24" s="402"/>
      <c r="W24" s="402"/>
      <c r="X24" s="402"/>
      <c r="Y24" s="402"/>
      <c r="Z24" s="402"/>
      <c r="AA24" s="402"/>
      <c r="AB24" s="402"/>
      <c r="AC24" s="402"/>
      <c r="AD24" s="402"/>
      <c r="AE24" s="402"/>
    </row>
    <row r="25" spans="1:31" x14ac:dyDescent="0.25">
      <c r="A25" s="6" t="s">
        <v>85</v>
      </c>
      <c r="B25" s="14">
        <v>538</v>
      </c>
      <c r="C25" s="14">
        <v>6120</v>
      </c>
      <c r="D25" s="14">
        <v>6593</v>
      </c>
      <c r="E25" s="14">
        <v>7061</v>
      </c>
      <c r="F25" s="330">
        <f>E25-CFS!F32</f>
        <v>5790</v>
      </c>
      <c r="G25" s="330">
        <f>F25-CFS!G32</f>
        <v>5145</v>
      </c>
      <c r="H25" s="330">
        <f>G25-CFS!H32</f>
        <v>4995</v>
      </c>
      <c r="I25" s="330">
        <f>H25-CFS!I32</f>
        <v>4875</v>
      </c>
      <c r="J25" s="330">
        <f>I25-CFS!J32</f>
        <v>4825</v>
      </c>
      <c r="K25" s="402"/>
      <c r="L25" s="402"/>
      <c r="M25" s="402"/>
      <c r="N25" s="402"/>
      <c r="O25" s="403"/>
      <c r="P25" s="403"/>
      <c r="Q25" s="402"/>
      <c r="R25" s="402"/>
      <c r="S25" s="402"/>
      <c r="T25" s="402"/>
      <c r="U25" s="402"/>
      <c r="V25" s="402"/>
      <c r="W25" s="402"/>
      <c r="X25" s="402"/>
      <c r="Y25" s="402"/>
      <c r="Z25" s="402"/>
      <c r="AA25" s="402"/>
      <c r="AB25" s="402"/>
      <c r="AC25" s="402"/>
      <c r="AD25" s="402"/>
      <c r="AE25" s="402"/>
    </row>
    <row r="26" spans="1:31" s="3" customFormat="1" x14ac:dyDescent="0.25">
      <c r="A26" s="19" t="s">
        <v>86</v>
      </c>
      <c r="B26" s="205">
        <f t="shared" ref="B26:J26" si="11">B25+B24+B23+B22+B21+B20</f>
        <v>13343</v>
      </c>
      <c r="C26" s="205">
        <f t="shared" si="11"/>
        <v>18412</v>
      </c>
      <c r="D26" s="205">
        <f t="shared" si="11"/>
        <v>16161</v>
      </c>
      <c r="E26" s="205">
        <f t="shared" si="11"/>
        <v>17141</v>
      </c>
      <c r="F26" s="554">
        <f>F25+F24+F23+F22+F21+F20</f>
        <v>16742.070639316942</v>
      </c>
      <c r="G26" s="554">
        <f t="shared" si="11"/>
        <v>16718.288196812755</v>
      </c>
      <c r="H26" s="554">
        <f t="shared" si="11"/>
        <v>16128.150544791171</v>
      </c>
      <c r="I26" s="554">
        <f t="shared" si="11"/>
        <v>15705.288487430724</v>
      </c>
      <c r="J26" s="554">
        <f t="shared" si="11"/>
        <v>15060.74228534276</v>
      </c>
      <c r="K26" s="402"/>
      <c r="L26" s="402"/>
      <c r="M26" s="402"/>
      <c r="N26" s="402"/>
      <c r="O26" s="403"/>
      <c r="P26" s="402"/>
      <c r="Q26" s="402"/>
      <c r="R26" s="402"/>
      <c r="S26" s="402"/>
      <c r="T26" s="402"/>
      <c r="U26" s="402"/>
      <c r="V26" s="402"/>
      <c r="W26" s="402"/>
      <c r="X26" s="402"/>
      <c r="Y26" s="402"/>
      <c r="Z26" s="402"/>
      <c r="AA26" s="402"/>
      <c r="AB26" s="402"/>
      <c r="AC26" s="402"/>
      <c r="AD26" s="402"/>
      <c r="AE26" s="402"/>
    </row>
    <row r="27" spans="1:31" s="3" customFormat="1" ht="15.75" x14ac:dyDescent="0.25">
      <c r="A27" s="18" t="s">
        <v>87</v>
      </c>
      <c r="B27" s="205">
        <f t="shared" ref="B27:J27" si="12">B26+B19</f>
        <v>39833</v>
      </c>
      <c r="C27" s="19">
        <f t="shared" si="12"/>
        <v>42042</v>
      </c>
      <c r="D27" s="19">
        <f t="shared" si="12"/>
        <v>38116</v>
      </c>
      <c r="E27" s="205">
        <f t="shared" si="12"/>
        <v>37440</v>
      </c>
      <c r="F27" s="554">
        <f t="shared" si="12"/>
        <v>37229.661080733247</v>
      </c>
      <c r="G27" s="554">
        <f t="shared" si="12"/>
        <v>37406.371936122792</v>
      </c>
      <c r="H27" s="554">
        <f t="shared" si="12"/>
        <v>37016.963426266178</v>
      </c>
      <c r="I27" s="554">
        <f t="shared" si="12"/>
        <v>36790.734136091633</v>
      </c>
      <c r="J27" s="554">
        <f t="shared" si="12"/>
        <v>36341.441561320564</v>
      </c>
      <c r="K27" s="402"/>
      <c r="L27" s="402"/>
      <c r="M27" s="402"/>
      <c r="N27" s="402"/>
      <c r="O27" s="403"/>
      <c r="P27" s="402"/>
      <c r="Q27" s="402"/>
      <c r="R27" s="402"/>
      <c r="S27" s="402"/>
      <c r="T27" s="402"/>
      <c r="U27" s="402"/>
      <c r="V27" s="402"/>
      <c r="W27" s="402"/>
      <c r="X27" s="402"/>
      <c r="Y27" s="402"/>
      <c r="Z27" s="402"/>
      <c r="AA27" s="402"/>
      <c r="AB27" s="402"/>
      <c r="AC27" s="402"/>
      <c r="AD27" s="402"/>
      <c r="AE27" s="402"/>
    </row>
    <row r="28" spans="1:31" hidden="1" x14ac:dyDescent="0.25">
      <c r="A28" s="118" t="s">
        <v>278</v>
      </c>
      <c r="B28" s="118" t="b">
        <f t="shared" ref="B28:J28" si="13">B27=B52</f>
        <v>1</v>
      </c>
      <c r="C28" s="118" t="b">
        <f t="shared" si="13"/>
        <v>1</v>
      </c>
      <c r="D28" s="118" t="b">
        <f t="shared" si="13"/>
        <v>1</v>
      </c>
      <c r="E28" s="118" t="b">
        <f t="shared" si="13"/>
        <v>1</v>
      </c>
      <c r="F28" s="118" t="b">
        <f>F27=F52</f>
        <v>1</v>
      </c>
      <c r="G28" s="118" t="b">
        <f t="shared" si="13"/>
        <v>1</v>
      </c>
      <c r="H28" s="118" t="b">
        <f t="shared" si="13"/>
        <v>1</v>
      </c>
      <c r="I28" s="118" t="b">
        <f t="shared" si="13"/>
        <v>1</v>
      </c>
      <c r="J28" s="118" t="b">
        <f t="shared" si="13"/>
        <v>1</v>
      </c>
      <c r="K28" s="402"/>
      <c r="L28" s="402"/>
      <c r="M28" s="402"/>
      <c r="N28" s="402"/>
      <c r="O28" s="403"/>
      <c r="P28" s="402"/>
      <c r="Q28" s="402"/>
      <c r="R28" s="402"/>
      <c r="S28" s="402"/>
      <c r="T28" s="402"/>
      <c r="U28" s="402"/>
      <c r="V28" s="402"/>
      <c r="W28" s="402"/>
      <c r="X28" s="402"/>
      <c r="Y28" s="402"/>
      <c r="Z28" s="402"/>
      <c r="AA28" s="402"/>
      <c r="AB28" s="402"/>
      <c r="AC28" s="402"/>
      <c r="AD28" s="402"/>
      <c r="AE28" s="402"/>
    </row>
    <row r="29" spans="1:31" x14ac:dyDescent="0.25">
      <c r="F29" s="764">
        <f>F53</f>
        <v>0</v>
      </c>
      <c r="G29" s="764">
        <f t="shared" ref="G29:J29" si="14">G53</f>
        <v>0</v>
      </c>
      <c r="H29" s="764">
        <f t="shared" si="14"/>
        <v>0</v>
      </c>
      <c r="I29" s="764">
        <f t="shared" si="14"/>
        <v>0</v>
      </c>
      <c r="J29" s="764">
        <f t="shared" si="14"/>
        <v>0</v>
      </c>
      <c r="K29" s="402"/>
      <c r="L29" s="402"/>
      <c r="M29" s="402"/>
      <c r="N29" s="402"/>
      <c r="O29" s="402"/>
      <c r="P29" s="402"/>
      <c r="Q29" s="402"/>
      <c r="R29" s="402"/>
      <c r="S29" s="402"/>
      <c r="T29" s="402"/>
      <c r="U29" s="402"/>
      <c r="V29" s="402"/>
      <c r="W29" s="402"/>
      <c r="X29" s="402"/>
      <c r="Y29" s="402"/>
      <c r="Z29" s="402"/>
      <c r="AA29" s="402"/>
      <c r="AB29" s="402"/>
      <c r="AC29" s="402"/>
      <c r="AD29" s="402"/>
      <c r="AE29" s="402"/>
    </row>
    <row r="30" spans="1:31" s="3" customFormat="1" ht="29.25" customHeight="1" x14ac:dyDescent="0.25">
      <c r="A30" s="562" t="s">
        <v>112</v>
      </c>
      <c r="B30" s="19"/>
      <c r="C30" s="19"/>
      <c r="D30" s="19"/>
      <c r="E30" s="19"/>
      <c r="F30" s="558"/>
      <c r="G30" s="558"/>
      <c r="H30" s="558"/>
      <c r="I30" s="558"/>
      <c r="J30" s="558"/>
      <c r="K30" s="402"/>
      <c r="L30" s="402"/>
      <c r="M30" s="402"/>
      <c r="N30" s="402"/>
      <c r="O30" s="402"/>
      <c r="P30" s="402"/>
      <c r="Q30" s="402"/>
      <c r="R30" s="402"/>
      <c r="S30" s="402"/>
      <c r="T30" s="402"/>
      <c r="U30" s="402"/>
      <c r="V30" s="402"/>
      <c r="W30" s="402"/>
      <c r="X30" s="402"/>
      <c r="Y30" s="402"/>
      <c r="Z30" s="402"/>
      <c r="AA30" s="402"/>
      <c r="AB30" s="402"/>
      <c r="AC30" s="402"/>
      <c r="AD30" s="402"/>
      <c r="AE30" s="402"/>
    </row>
    <row r="31" spans="1:31" s="1" customFormat="1" x14ac:dyDescent="0.25">
      <c r="A31" s="6" t="s">
        <v>88</v>
      </c>
      <c r="B31" s="6">
        <v>173</v>
      </c>
      <c r="C31" s="6">
        <v>170</v>
      </c>
      <c r="D31" s="6">
        <v>170</v>
      </c>
      <c r="E31" s="6">
        <v>168</v>
      </c>
      <c r="F31" s="295">
        <f>E31</f>
        <v>168</v>
      </c>
      <c r="G31" s="295">
        <f t="shared" ref="G31:J31" si="15">F31</f>
        <v>168</v>
      </c>
      <c r="H31" s="295">
        <f t="shared" si="15"/>
        <v>168</v>
      </c>
      <c r="I31" s="295">
        <f t="shared" si="15"/>
        <v>168</v>
      </c>
      <c r="J31" s="295">
        <f t="shared" si="15"/>
        <v>168</v>
      </c>
      <c r="K31" s="402"/>
      <c r="L31" s="402"/>
      <c r="M31" s="402"/>
      <c r="N31" s="402"/>
      <c r="O31" s="402"/>
      <c r="P31" s="402"/>
      <c r="Q31" s="402"/>
      <c r="R31" s="402"/>
      <c r="S31" s="402"/>
      <c r="T31" s="402"/>
      <c r="U31" s="402"/>
      <c r="V31" s="402"/>
      <c r="W31" s="402"/>
      <c r="X31" s="402"/>
      <c r="Y31" s="402"/>
      <c r="Z31" s="402"/>
      <c r="AA31" s="402"/>
      <c r="AB31" s="402"/>
      <c r="AC31" s="402"/>
      <c r="AD31" s="402"/>
      <c r="AE31" s="402"/>
    </row>
    <row r="32" spans="1:31" s="3" customFormat="1" x14ac:dyDescent="0.25">
      <c r="A32" s="119" t="s">
        <v>89</v>
      </c>
      <c r="B32" s="6">
        <v>5709</v>
      </c>
      <c r="C32" s="6">
        <v>8280</v>
      </c>
      <c r="D32" s="6">
        <v>7385</v>
      </c>
      <c r="E32" s="6">
        <v>6562</v>
      </c>
      <c r="F32" s="330">
        <f>E32+IS!J41+SUM(CFS!F42:F44)</f>
        <v>6323.1649994872369</v>
      </c>
      <c r="G32" s="330">
        <f>F32+IS!K41+SUM(CFS!G42:G44)</f>
        <v>6465.9076360790659</v>
      </c>
      <c r="H32" s="330">
        <f>G32+IS!L41+SUM(CFS!H42:H44)</f>
        <v>6600.569550195748</v>
      </c>
      <c r="I32" s="330">
        <f>H32+IS!M41+SUM(CFS!I42:I44)</f>
        <v>6751.1124820192053</v>
      </c>
      <c r="J32" s="330">
        <f>I32+IS!N41+SUM(CFS!J42:J44)</f>
        <v>6902.9188376973107</v>
      </c>
      <c r="K32" s="402"/>
      <c r="L32" s="402"/>
      <c r="M32" s="402"/>
      <c r="N32" s="402"/>
      <c r="O32" s="403"/>
      <c r="P32" s="402"/>
      <c r="Q32" s="402"/>
      <c r="R32" s="402"/>
      <c r="S32" s="402"/>
      <c r="T32" s="402"/>
      <c r="U32" s="402"/>
      <c r="V32" s="402"/>
      <c r="W32" s="402"/>
      <c r="X32" s="402"/>
      <c r="Y32" s="402"/>
      <c r="Z32" s="402"/>
      <c r="AA32" s="402"/>
      <c r="AB32" s="402"/>
      <c r="AC32" s="402"/>
      <c r="AD32" s="402"/>
      <c r="AE32" s="402"/>
    </row>
    <row r="33" spans="1:31" s="3" customFormat="1" x14ac:dyDescent="0.25">
      <c r="A33" s="19" t="s">
        <v>90</v>
      </c>
      <c r="B33" s="19">
        <f>B32+B31</f>
        <v>5882</v>
      </c>
      <c r="C33" s="19">
        <f t="shared" ref="C33:D33" si="16">C32+C31</f>
        <v>8450</v>
      </c>
      <c r="D33" s="19">
        <f t="shared" si="16"/>
        <v>7555</v>
      </c>
      <c r="E33" s="19">
        <f>E32+E31</f>
        <v>6730</v>
      </c>
      <c r="F33" s="557">
        <f>F32+F31</f>
        <v>6491.1649994872369</v>
      </c>
      <c r="G33" s="557">
        <f t="shared" ref="F33:J33" si="17">G32+G31</f>
        <v>6633.9076360790659</v>
      </c>
      <c r="H33" s="557">
        <f t="shared" si="17"/>
        <v>6768.569550195748</v>
      </c>
      <c r="I33" s="557">
        <f t="shared" si="17"/>
        <v>6919.1124820192053</v>
      </c>
      <c r="J33" s="557">
        <f t="shared" si="17"/>
        <v>7070.9188376973107</v>
      </c>
      <c r="K33" s="402"/>
      <c r="L33" s="402"/>
      <c r="M33" s="402"/>
      <c r="N33" s="402"/>
      <c r="O33" s="402"/>
      <c r="P33" s="402"/>
      <c r="Q33" s="402"/>
      <c r="R33" s="402"/>
      <c r="S33" s="402"/>
      <c r="T33" s="402"/>
      <c r="U33" s="402"/>
      <c r="V33" s="402"/>
      <c r="W33" s="402"/>
      <c r="X33" s="402"/>
      <c r="Y33" s="402"/>
      <c r="Z33" s="402"/>
      <c r="AA33" s="402"/>
      <c r="AB33" s="402"/>
      <c r="AC33" s="402"/>
      <c r="AD33" s="402"/>
      <c r="AE33" s="402"/>
    </row>
    <row r="34" spans="1:31" x14ac:dyDescent="0.25">
      <c r="A34" s="19" t="s">
        <v>91</v>
      </c>
      <c r="B34" s="19">
        <v>6536</v>
      </c>
      <c r="C34" s="19">
        <v>5990</v>
      </c>
      <c r="D34" s="19">
        <v>5468</v>
      </c>
      <c r="E34" s="19">
        <v>5288</v>
      </c>
      <c r="F34" s="558">
        <f t="shared" ref="F34:J37" si="18">E34</f>
        <v>5288</v>
      </c>
      <c r="G34" s="558">
        <f t="shared" si="18"/>
        <v>5288</v>
      </c>
      <c r="H34" s="558">
        <f t="shared" si="18"/>
        <v>5288</v>
      </c>
      <c r="I34" s="558">
        <f t="shared" si="18"/>
        <v>5288</v>
      </c>
      <c r="J34" s="558">
        <f t="shared" si="18"/>
        <v>5288</v>
      </c>
      <c r="K34" s="402"/>
      <c r="L34" s="402"/>
      <c r="M34" s="402"/>
      <c r="N34" s="402"/>
      <c r="O34" s="402"/>
      <c r="P34" s="402"/>
      <c r="Q34" s="402"/>
      <c r="R34" s="402"/>
      <c r="S34" s="402"/>
      <c r="T34" s="402"/>
      <c r="U34" s="402"/>
      <c r="V34" s="402"/>
      <c r="W34" s="402"/>
      <c r="X34" s="402"/>
      <c r="Y34" s="402"/>
      <c r="Z34" s="402"/>
      <c r="AA34" s="402"/>
      <c r="AB34" s="402"/>
      <c r="AC34" s="402"/>
      <c r="AD34" s="402"/>
      <c r="AE34" s="402"/>
    </row>
    <row r="35" spans="1:31" x14ac:dyDescent="0.25">
      <c r="A35" s="19" t="s">
        <v>92</v>
      </c>
      <c r="B35" s="19">
        <f>B34+B33</f>
        <v>12418</v>
      </c>
      <c r="C35" s="19">
        <f t="shared" ref="C35:D35" si="19">C34+C33</f>
        <v>14440</v>
      </c>
      <c r="D35" s="19">
        <f t="shared" si="19"/>
        <v>13023</v>
      </c>
      <c r="E35" s="19">
        <f>E34+E33</f>
        <v>12018</v>
      </c>
      <c r="F35" s="557">
        <f t="shared" ref="F35:J35" si="20">F34+F33</f>
        <v>11779.164999487237</v>
      </c>
      <c r="G35" s="557">
        <f t="shared" si="20"/>
        <v>11921.907636079066</v>
      </c>
      <c r="H35" s="557">
        <f t="shared" si="20"/>
        <v>12056.569550195749</v>
      </c>
      <c r="I35" s="557">
        <f t="shared" si="20"/>
        <v>12207.112482019205</v>
      </c>
      <c r="J35" s="557">
        <f t="shared" si="20"/>
        <v>12358.918837697311</v>
      </c>
      <c r="K35" s="402"/>
      <c r="L35" s="402"/>
      <c r="M35" s="402"/>
      <c r="N35" s="402"/>
      <c r="O35" s="402"/>
      <c r="P35" s="402"/>
      <c r="Q35" s="402"/>
      <c r="R35" s="402"/>
      <c r="S35" s="402"/>
      <c r="T35" s="402"/>
      <c r="U35" s="402"/>
      <c r="V35" s="402"/>
      <c r="W35" s="402"/>
      <c r="X35" s="402"/>
      <c r="Y35" s="402"/>
      <c r="Z35" s="402"/>
      <c r="AA35" s="402"/>
      <c r="AB35" s="402"/>
      <c r="AC35" s="402"/>
      <c r="AD35" s="402"/>
      <c r="AE35" s="402"/>
    </row>
    <row r="36" spans="1:31" ht="15.75" customHeight="1" x14ac:dyDescent="0.25">
      <c r="A36" s="6" t="s">
        <v>93</v>
      </c>
      <c r="B36" s="6">
        <v>307</v>
      </c>
      <c r="C36" s="6">
        <v>311</v>
      </c>
      <c r="D36" s="6">
        <v>358</v>
      </c>
      <c r="E36" s="6">
        <v>366</v>
      </c>
      <c r="F36" s="66">
        <f t="shared" si="18"/>
        <v>366</v>
      </c>
      <c r="G36" s="66">
        <f t="shared" si="18"/>
        <v>366</v>
      </c>
      <c r="H36" s="66">
        <f t="shared" si="18"/>
        <v>366</v>
      </c>
      <c r="I36" s="66">
        <f t="shared" si="18"/>
        <v>366</v>
      </c>
      <c r="J36" s="66">
        <f t="shared" si="18"/>
        <v>366</v>
      </c>
      <c r="K36" s="402"/>
      <c r="L36" s="402"/>
      <c r="M36" s="402"/>
      <c r="N36" s="402"/>
      <c r="O36" s="402"/>
      <c r="P36" s="402"/>
      <c r="Q36" s="402"/>
      <c r="R36" s="402"/>
      <c r="S36" s="402"/>
      <c r="T36" s="402"/>
      <c r="U36" s="402"/>
      <c r="V36" s="402"/>
      <c r="W36" s="402"/>
      <c r="X36" s="402"/>
      <c r="Y36" s="402"/>
      <c r="Z36" s="402"/>
      <c r="AA36" s="402"/>
      <c r="AB36" s="402"/>
      <c r="AC36" s="402"/>
      <c r="AD36" s="402"/>
      <c r="AE36" s="402"/>
    </row>
    <row r="37" spans="1:31" ht="15.75" customHeight="1" x14ac:dyDescent="0.25">
      <c r="A37" s="6" t="s">
        <v>94</v>
      </c>
      <c r="B37" s="6">
        <v>538</v>
      </c>
      <c r="C37" s="6">
        <v>615</v>
      </c>
      <c r="D37" s="6">
        <v>514</v>
      </c>
      <c r="E37" s="6">
        <v>483</v>
      </c>
      <c r="F37" s="66">
        <f t="shared" si="18"/>
        <v>483</v>
      </c>
      <c r="G37" s="66">
        <f t="shared" si="18"/>
        <v>483</v>
      </c>
      <c r="H37" s="66">
        <f t="shared" si="18"/>
        <v>483</v>
      </c>
      <c r="I37" s="66">
        <f t="shared" si="18"/>
        <v>483</v>
      </c>
      <c r="J37" s="66">
        <f t="shared" si="18"/>
        <v>483</v>
      </c>
      <c r="K37" s="402"/>
      <c r="L37" s="402"/>
      <c r="M37" s="402"/>
      <c r="N37" s="402"/>
      <c r="O37" s="402"/>
      <c r="P37" s="402"/>
      <c r="Q37" s="402"/>
      <c r="R37" s="402"/>
      <c r="S37" s="402"/>
      <c r="T37" s="402"/>
      <c r="U37" s="402"/>
      <c r="V37" s="402"/>
      <c r="W37" s="402"/>
      <c r="X37" s="402"/>
      <c r="Y37" s="402"/>
      <c r="Z37" s="402"/>
      <c r="AA37" s="402"/>
      <c r="AB37" s="402"/>
      <c r="AC37" s="402"/>
      <c r="AD37" s="402"/>
      <c r="AE37" s="402"/>
    </row>
    <row r="38" spans="1:31" x14ac:dyDescent="0.25">
      <c r="A38" s="6" t="s">
        <v>95</v>
      </c>
      <c r="B38" s="6">
        <v>9594</v>
      </c>
      <c r="C38" s="6">
        <v>7733</v>
      </c>
      <c r="D38" s="6">
        <v>7229</v>
      </c>
      <c r="E38" s="6">
        <v>6817</v>
      </c>
      <c r="F38" s="330">
        <f>E38-DEBT!F18</f>
        <v>6630.6392934993501</v>
      </c>
      <c r="G38" s="330">
        <f>F38-DEBT!G18</f>
        <v>6376.7216312917189</v>
      </c>
      <c r="H38" s="330">
        <f>G38-DEBT!H18</f>
        <v>6119.1648649285798</v>
      </c>
      <c r="I38" s="330">
        <f>H38-DEBT!I18</f>
        <v>5788.6951386098644</v>
      </c>
      <c r="J38" s="330">
        <f>I38-DEBT!J18</f>
        <v>5268.1491268677692</v>
      </c>
      <c r="K38" s="402"/>
      <c r="L38" s="402"/>
      <c r="M38" s="402"/>
      <c r="N38" s="402"/>
      <c r="O38" s="403"/>
      <c r="P38" s="403"/>
      <c r="Q38" s="402"/>
      <c r="R38" s="402"/>
      <c r="S38" s="402"/>
      <c r="T38" s="402"/>
      <c r="U38" s="402"/>
      <c r="V38" s="402"/>
      <c r="W38" s="402"/>
      <c r="X38" s="402"/>
      <c r="Y38" s="402"/>
      <c r="Z38" s="402"/>
      <c r="AA38" s="402"/>
      <c r="AB38" s="402"/>
      <c r="AC38" s="402"/>
      <c r="AD38" s="402"/>
      <c r="AE38" s="402"/>
    </row>
    <row r="39" spans="1:31" x14ac:dyDescent="0.25">
      <c r="A39" s="16" t="s">
        <v>96</v>
      </c>
      <c r="B39" s="6">
        <v>50</v>
      </c>
      <c r="C39" s="6">
        <v>41</v>
      </c>
      <c r="D39" s="6">
        <v>28</v>
      </c>
      <c r="E39" s="6">
        <v>63</v>
      </c>
      <c r="F39" s="295">
        <f>E39</f>
        <v>63</v>
      </c>
      <c r="G39" s="295">
        <f t="shared" ref="G39:J39" si="21">F39</f>
        <v>63</v>
      </c>
      <c r="H39" s="295">
        <f t="shared" si="21"/>
        <v>63</v>
      </c>
      <c r="I39" s="295">
        <f t="shared" si="21"/>
        <v>63</v>
      </c>
      <c r="J39" s="295">
        <f t="shared" si="21"/>
        <v>63</v>
      </c>
      <c r="K39" s="402"/>
      <c r="L39" s="402"/>
      <c r="M39" s="402"/>
      <c r="N39" s="402"/>
      <c r="O39" s="402"/>
      <c r="P39" s="402"/>
      <c r="Q39" s="402"/>
      <c r="R39" s="402"/>
      <c r="S39" s="402"/>
      <c r="T39" s="402"/>
      <c r="U39" s="402"/>
      <c r="V39" s="402"/>
      <c r="W39" s="402"/>
      <c r="X39" s="402"/>
      <c r="Y39" s="402"/>
      <c r="Z39" s="402"/>
      <c r="AA39" s="402"/>
      <c r="AB39" s="402"/>
      <c r="AC39" s="402"/>
      <c r="AD39" s="402"/>
      <c r="AE39" s="402"/>
    </row>
    <row r="40" spans="1:31" s="3" customFormat="1" x14ac:dyDescent="0.25">
      <c r="A40" s="6" t="s">
        <v>97</v>
      </c>
      <c r="B40" s="6">
        <v>786</v>
      </c>
      <c r="C40" s="6">
        <v>618</v>
      </c>
      <c r="D40" s="6">
        <v>489</v>
      </c>
      <c r="E40" s="6">
        <v>472</v>
      </c>
      <c r="F40" s="295">
        <f t="shared" ref="F40:J41" si="22">E40</f>
        <v>472</v>
      </c>
      <c r="G40" s="295">
        <f t="shared" si="22"/>
        <v>472</v>
      </c>
      <c r="H40" s="295">
        <f t="shared" si="22"/>
        <v>472</v>
      </c>
      <c r="I40" s="295">
        <f t="shared" si="22"/>
        <v>472</v>
      </c>
      <c r="J40" s="295">
        <f t="shared" si="22"/>
        <v>472</v>
      </c>
      <c r="K40" s="402"/>
      <c r="L40" s="402"/>
      <c r="M40" s="402"/>
      <c r="N40" s="402"/>
      <c r="O40" s="403"/>
      <c r="P40" s="402"/>
      <c r="Q40" s="402"/>
      <c r="R40" s="402"/>
      <c r="S40" s="402"/>
      <c r="T40" s="402"/>
      <c r="U40" s="402"/>
      <c r="V40" s="402"/>
      <c r="W40" s="402"/>
      <c r="X40" s="402"/>
      <c r="Y40" s="402"/>
      <c r="Z40" s="402"/>
      <c r="AA40" s="402"/>
      <c r="AB40" s="402"/>
      <c r="AC40" s="402"/>
      <c r="AD40" s="402"/>
      <c r="AE40" s="402"/>
    </row>
    <row r="41" spans="1:31" x14ac:dyDescent="0.25">
      <c r="A41" s="6" t="s">
        <v>98</v>
      </c>
      <c r="B41" s="6">
        <v>1225</v>
      </c>
      <c r="C41" s="6">
        <v>1094</v>
      </c>
      <c r="D41" s="6">
        <v>725</v>
      </c>
      <c r="E41" s="6">
        <v>636</v>
      </c>
      <c r="F41" s="295">
        <f t="shared" si="22"/>
        <v>636</v>
      </c>
      <c r="G41" s="295">
        <f t="shared" si="22"/>
        <v>636</v>
      </c>
      <c r="H41" s="295">
        <f t="shared" si="22"/>
        <v>636</v>
      </c>
      <c r="I41" s="295">
        <f t="shared" si="22"/>
        <v>636</v>
      </c>
      <c r="J41" s="295">
        <f t="shared" si="22"/>
        <v>636</v>
      </c>
      <c r="K41" s="402"/>
      <c r="L41" s="402"/>
      <c r="M41" s="402"/>
      <c r="N41" s="402"/>
      <c r="O41" s="402"/>
      <c r="P41" s="402"/>
      <c r="Q41" s="402"/>
      <c r="R41" s="402"/>
      <c r="S41" s="402"/>
      <c r="T41" s="402"/>
      <c r="U41" s="402"/>
      <c r="V41" s="402"/>
      <c r="W41" s="402"/>
      <c r="X41" s="402"/>
      <c r="Y41" s="402"/>
      <c r="Z41" s="402"/>
      <c r="AA41" s="402"/>
      <c r="AB41" s="402"/>
      <c r="AC41" s="402"/>
      <c r="AD41" s="402"/>
      <c r="AE41" s="402"/>
    </row>
    <row r="42" spans="1:31" ht="15.75" x14ac:dyDescent="0.25">
      <c r="A42" s="18" t="s">
        <v>109</v>
      </c>
      <c r="B42" s="19">
        <f t="shared" ref="B42:J42" si="23">SUM(B36:B41)</f>
        <v>12500</v>
      </c>
      <c r="C42" s="19">
        <f t="shared" si="23"/>
        <v>10412</v>
      </c>
      <c r="D42" s="19">
        <f t="shared" si="23"/>
        <v>9343</v>
      </c>
      <c r="E42" s="19">
        <f>SUM(E36:E41)</f>
        <v>8837</v>
      </c>
      <c r="F42" s="554">
        <f>SUM(F36:F41)</f>
        <v>8650.6392934993492</v>
      </c>
      <c r="G42" s="554">
        <f t="shared" si="23"/>
        <v>8396.7216312917189</v>
      </c>
      <c r="H42" s="554">
        <f t="shared" si="23"/>
        <v>8139.1648649285798</v>
      </c>
      <c r="I42" s="554">
        <f t="shared" si="23"/>
        <v>7808.6951386098644</v>
      </c>
      <c r="J42" s="554">
        <f t="shared" si="23"/>
        <v>7288.1491268677692</v>
      </c>
      <c r="K42" s="402"/>
      <c r="L42" s="402"/>
      <c r="M42" s="402"/>
      <c r="N42" s="402"/>
      <c r="O42" s="403"/>
      <c r="P42" s="403"/>
      <c r="Q42" s="402"/>
      <c r="R42" s="402"/>
      <c r="S42" s="402"/>
      <c r="T42" s="402"/>
      <c r="U42" s="402"/>
      <c r="V42" s="402"/>
      <c r="W42" s="402"/>
      <c r="X42" s="402"/>
      <c r="Y42" s="402"/>
      <c r="Z42" s="402"/>
      <c r="AA42" s="402"/>
      <c r="AB42" s="402"/>
      <c r="AC42" s="402"/>
      <c r="AD42" s="402"/>
      <c r="AE42" s="402"/>
    </row>
    <row r="43" spans="1:31" x14ac:dyDescent="0.25">
      <c r="A43" s="6" t="s">
        <v>99</v>
      </c>
      <c r="B43" s="14">
        <v>10</v>
      </c>
      <c r="C43" s="14">
        <v>12</v>
      </c>
      <c r="D43" s="14">
        <v>11</v>
      </c>
      <c r="E43" s="14">
        <v>11</v>
      </c>
      <c r="F43" s="295">
        <f>E43</f>
        <v>11</v>
      </c>
      <c r="G43" s="295">
        <f t="shared" ref="G43:J43" si="24">F43</f>
        <v>11</v>
      </c>
      <c r="H43" s="295">
        <f t="shared" si="24"/>
        <v>11</v>
      </c>
      <c r="I43" s="295">
        <f t="shared" si="24"/>
        <v>11</v>
      </c>
      <c r="J43" s="295">
        <f t="shared" si="24"/>
        <v>11</v>
      </c>
      <c r="K43" s="402"/>
      <c r="L43" s="402"/>
      <c r="M43" s="402"/>
      <c r="N43" s="402"/>
      <c r="O43" s="402"/>
      <c r="P43" s="402"/>
      <c r="Q43" s="402"/>
      <c r="R43" s="402"/>
      <c r="S43" s="402"/>
      <c r="T43" s="402"/>
      <c r="U43" s="402"/>
      <c r="V43" s="402"/>
      <c r="W43" s="402"/>
      <c r="X43" s="402"/>
      <c r="Y43" s="402"/>
      <c r="Z43" s="402"/>
      <c r="AA43" s="402"/>
      <c r="AB43" s="402"/>
      <c r="AC43" s="402"/>
      <c r="AD43" s="402"/>
      <c r="AE43" s="402"/>
    </row>
    <row r="44" spans="1:31" x14ac:dyDescent="0.25">
      <c r="A44" s="6" t="s">
        <v>100</v>
      </c>
      <c r="B44" s="14">
        <v>187</v>
      </c>
      <c r="C44" s="14">
        <v>163</v>
      </c>
      <c r="D44" s="14">
        <v>162</v>
      </c>
      <c r="E44" s="14">
        <v>154</v>
      </c>
      <c r="F44" s="295">
        <f>E44</f>
        <v>154</v>
      </c>
      <c r="G44" s="295">
        <f t="shared" ref="G44:J44" si="25">F44</f>
        <v>154</v>
      </c>
      <c r="H44" s="295">
        <f t="shared" si="25"/>
        <v>154</v>
      </c>
      <c r="I44" s="295">
        <f t="shared" si="25"/>
        <v>154</v>
      </c>
      <c r="J44" s="295">
        <f t="shared" si="25"/>
        <v>154</v>
      </c>
      <c r="K44" s="402"/>
      <c r="L44" s="402"/>
      <c r="M44" s="402"/>
      <c r="N44" s="402"/>
      <c r="O44" s="402"/>
      <c r="P44" s="402"/>
      <c r="Q44" s="402"/>
      <c r="R44" s="402"/>
      <c r="S44" s="402"/>
      <c r="T44" s="402"/>
      <c r="U44" s="402"/>
      <c r="V44" s="402"/>
      <c r="W44" s="402"/>
      <c r="X44" s="402"/>
      <c r="Y44" s="402"/>
      <c r="Z44" s="402"/>
      <c r="AA44" s="402"/>
      <c r="AB44" s="402"/>
      <c r="AC44" s="402"/>
      <c r="AD44" s="402"/>
      <c r="AE44" s="402"/>
    </row>
    <row r="45" spans="1:31" x14ac:dyDescent="0.25">
      <c r="A45" s="6" t="s">
        <v>101</v>
      </c>
      <c r="B45" s="14">
        <v>8073</v>
      </c>
      <c r="C45" s="14">
        <v>6939</v>
      </c>
      <c r="D45" s="14">
        <v>6664</v>
      </c>
      <c r="E45" s="14">
        <v>6688</v>
      </c>
      <c r="F45" s="330">
        <f>F61*-IS!J7</f>
        <v>6902.8567877466603</v>
      </c>
      <c r="G45" s="330">
        <f>G61*-IS!K7</f>
        <v>7190.7426687520065</v>
      </c>
      <c r="H45" s="330">
        <f>H61*-IS!L7</f>
        <v>6924.2290111418524</v>
      </c>
      <c r="I45" s="330">
        <f>I61*-IS!M7</f>
        <v>6877.9265154625637</v>
      </c>
      <c r="J45" s="330">
        <f>J61*-IS!N7</f>
        <v>6797.373596755484</v>
      </c>
      <c r="K45" s="402"/>
      <c r="L45" s="402"/>
      <c r="M45" s="402"/>
      <c r="N45" s="403"/>
      <c r="O45" s="403"/>
      <c r="P45" s="403"/>
      <c r="Q45" s="402"/>
      <c r="R45" s="402"/>
      <c r="S45" s="402"/>
      <c r="T45" s="402"/>
      <c r="U45" s="402"/>
      <c r="V45" s="402"/>
      <c r="W45" s="402"/>
      <c r="X45" s="402"/>
      <c r="Y45" s="402"/>
      <c r="Z45" s="402"/>
      <c r="AA45" s="402"/>
      <c r="AB45" s="402"/>
      <c r="AC45" s="402"/>
      <c r="AD45" s="402"/>
      <c r="AE45" s="402"/>
    </row>
    <row r="46" spans="1:31" x14ac:dyDescent="0.25">
      <c r="A46" s="6" t="s">
        <v>102</v>
      </c>
      <c r="B46" s="14">
        <v>2140</v>
      </c>
      <c r="C46" s="14">
        <v>2482</v>
      </c>
      <c r="D46" s="14">
        <v>1493</v>
      </c>
      <c r="E46" s="14">
        <v>2211</v>
      </c>
      <c r="F46" s="330">
        <f>E46+CFS!F49</f>
        <v>2211</v>
      </c>
      <c r="G46" s="330">
        <f>F46+CFS!G49</f>
        <v>2211</v>
      </c>
      <c r="H46" s="330">
        <f>G46+CFS!H49</f>
        <v>2211</v>
      </c>
      <c r="I46" s="330">
        <f>H46+CFS!I49</f>
        <v>2211</v>
      </c>
      <c r="J46" s="330">
        <f>I46+CFS!J49</f>
        <v>2211</v>
      </c>
      <c r="K46" s="402"/>
      <c r="L46" s="402"/>
      <c r="M46" s="402"/>
      <c r="N46" s="402"/>
      <c r="O46" s="403"/>
      <c r="P46" s="402"/>
      <c r="Q46" s="402"/>
      <c r="R46" s="402"/>
      <c r="S46" s="402"/>
      <c r="T46" s="402"/>
      <c r="U46" s="402"/>
      <c r="V46" s="402"/>
      <c r="W46" s="402"/>
      <c r="X46" s="402"/>
      <c r="Y46" s="402"/>
      <c r="Z46" s="402"/>
      <c r="AA46" s="402"/>
      <c r="AB46" s="402"/>
      <c r="AC46" s="402"/>
      <c r="AD46" s="402"/>
      <c r="AE46" s="402"/>
    </row>
    <row r="47" spans="1:31" x14ac:dyDescent="0.25">
      <c r="A47" s="6" t="s">
        <v>103</v>
      </c>
      <c r="B47" s="14">
        <v>102</v>
      </c>
      <c r="C47" s="14">
        <v>341</v>
      </c>
      <c r="D47" s="14">
        <v>143</v>
      </c>
      <c r="E47" s="14">
        <v>126</v>
      </c>
      <c r="F47" s="295">
        <f>E47</f>
        <v>126</v>
      </c>
      <c r="G47" s="295">
        <f t="shared" ref="G47:J47" si="26">F47</f>
        <v>126</v>
      </c>
      <c r="H47" s="295">
        <f t="shared" si="26"/>
        <v>126</v>
      </c>
      <c r="I47" s="295">
        <f t="shared" si="26"/>
        <v>126</v>
      </c>
      <c r="J47" s="295">
        <f t="shared" si="26"/>
        <v>126</v>
      </c>
      <c r="K47" s="402"/>
      <c r="L47" s="402"/>
      <c r="M47" s="402"/>
      <c r="N47" s="402"/>
      <c r="O47" s="402"/>
      <c r="P47" s="402"/>
      <c r="Q47" s="402"/>
      <c r="R47" s="402"/>
      <c r="S47" s="402"/>
      <c r="T47" s="402"/>
      <c r="U47" s="402"/>
      <c r="V47" s="402"/>
      <c r="W47" s="402"/>
      <c r="X47" s="402"/>
      <c r="Y47" s="402"/>
      <c r="Z47" s="402"/>
      <c r="AA47" s="402"/>
      <c r="AB47" s="402"/>
      <c r="AC47" s="402"/>
      <c r="AD47" s="402"/>
      <c r="AE47" s="402"/>
    </row>
    <row r="48" spans="1:31" x14ac:dyDescent="0.25">
      <c r="A48" s="6" t="s">
        <v>104</v>
      </c>
      <c r="B48" s="14">
        <v>93</v>
      </c>
      <c r="C48" s="14">
        <v>54</v>
      </c>
      <c r="D48" s="14">
        <v>88</v>
      </c>
      <c r="E48" s="14">
        <v>124</v>
      </c>
      <c r="F48" s="295">
        <f>E48</f>
        <v>124</v>
      </c>
      <c r="G48" s="295">
        <f t="shared" ref="G48:J48" si="27">F48</f>
        <v>124</v>
      </c>
      <c r="H48" s="295">
        <f t="shared" si="27"/>
        <v>124</v>
      </c>
      <c r="I48" s="295">
        <f t="shared" si="27"/>
        <v>124</v>
      </c>
      <c r="J48" s="295">
        <f t="shared" si="27"/>
        <v>124</v>
      </c>
      <c r="K48" s="402"/>
      <c r="L48" s="402"/>
      <c r="M48" s="402"/>
      <c r="N48" s="402"/>
      <c r="O48" s="402"/>
      <c r="P48" s="402"/>
      <c r="Q48" s="402"/>
      <c r="R48" s="402"/>
      <c r="S48" s="402"/>
      <c r="T48" s="402"/>
      <c r="U48" s="402"/>
      <c r="V48" s="402"/>
      <c r="W48" s="402"/>
      <c r="X48" s="402"/>
      <c r="Y48" s="402"/>
      <c r="Z48" s="402"/>
      <c r="AA48" s="402"/>
      <c r="AB48" s="402"/>
      <c r="AC48" s="402"/>
      <c r="AD48" s="402"/>
      <c r="AE48" s="402"/>
    </row>
    <row r="49" spans="1:31" s="3" customFormat="1" x14ac:dyDescent="0.25">
      <c r="A49" s="6" t="s">
        <v>105</v>
      </c>
      <c r="B49" s="14">
        <v>4126</v>
      </c>
      <c r="C49" s="14">
        <v>2795</v>
      </c>
      <c r="D49" s="14">
        <v>2509</v>
      </c>
      <c r="E49" s="14">
        <v>2643</v>
      </c>
      <c r="F49" s="295">
        <f>E49</f>
        <v>2643</v>
      </c>
      <c r="G49" s="295">
        <f t="shared" ref="G49:J49" si="28">F49</f>
        <v>2643</v>
      </c>
      <c r="H49" s="295">
        <f t="shared" si="28"/>
        <v>2643</v>
      </c>
      <c r="I49" s="295">
        <f t="shared" si="28"/>
        <v>2643</v>
      </c>
      <c r="J49" s="295">
        <f t="shared" si="28"/>
        <v>2643</v>
      </c>
      <c r="K49" s="402"/>
      <c r="L49" s="402"/>
      <c r="M49" s="402"/>
      <c r="N49" s="402"/>
      <c r="O49" s="403"/>
      <c r="P49" s="402"/>
      <c r="Q49" s="402"/>
      <c r="R49" s="402"/>
      <c r="S49" s="402"/>
      <c r="T49" s="402"/>
      <c r="U49" s="402"/>
      <c r="V49" s="402"/>
      <c r="W49" s="402"/>
      <c r="X49" s="402"/>
      <c r="Y49" s="402"/>
      <c r="Z49" s="402"/>
      <c r="AA49" s="402"/>
      <c r="AB49" s="402"/>
      <c r="AC49" s="402"/>
      <c r="AD49" s="402"/>
      <c r="AE49" s="402"/>
    </row>
    <row r="50" spans="1:31" s="3" customFormat="1" x14ac:dyDescent="0.25">
      <c r="A50" s="6" t="s">
        <v>106</v>
      </c>
      <c r="B50" s="14">
        <v>184</v>
      </c>
      <c r="C50" s="14">
        <v>4404</v>
      </c>
      <c r="D50" s="14">
        <v>4680</v>
      </c>
      <c r="E50" s="14">
        <v>4628</v>
      </c>
      <c r="F50" s="330">
        <f>E50</f>
        <v>4628</v>
      </c>
      <c r="G50" s="330">
        <f t="shared" ref="G50:J50" si="29">F50</f>
        <v>4628</v>
      </c>
      <c r="H50" s="330">
        <f t="shared" si="29"/>
        <v>4628</v>
      </c>
      <c r="I50" s="330">
        <f t="shared" si="29"/>
        <v>4628</v>
      </c>
      <c r="J50" s="330">
        <f t="shared" si="29"/>
        <v>4628</v>
      </c>
      <c r="K50" s="402"/>
      <c r="L50" s="402"/>
      <c r="M50" s="402"/>
      <c r="N50" s="402"/>
      <c r="O50" s="403"/>
      <c r="P50" s="403"/>
      <c r="Q50" s="402"/>
      <c r="R50" s="402"/>
      <c r="S50" s="402"/>
      <c r="T50" s="402"/>
      <c r="U50" s="402"/>
      <c r="V50" s="402"/>
      <c r="W50" s="402"/>
      <c r="X50" s="402"/>
      <c r="Y50" s="402"/>
      <c r="Z50" s="402"/>
      <c r="AA50" s="402"/>
      <c r="AB50" s="402"/>
      <c r="AC50" s="402"/>
      <c r="AD50" s="402"/>
      <c r="AE50" s="402"/>
    </row>
    <row r="51" spans="1:31" x14ac:dyDescent="0.25">
      <c r="A51" s="19" t="s">
        <v>107</v>
      </c>
      <c r="B51" s="19">
        <f t="shared" ref="B51:D51" si="30">SUM(B43:B50)</f>
        <v>14915</v>
      </c>
      <c r="C51" s="19">
        <f t="shared" si="30"/>
        <v>17190</v>
      </c>
      <c r="D51" s="19">
        <f t="shared" si="30"/>
        <v>15750</v>
      </c>
      <c r="E51" s="19">
        <f>SUM(E43:E50)</f>
        <v>16585</v>
      </c>
      <c r="F51" s="554">
        <f>SUM(F43:F50)</f>
        <v>16799.856787746659</v>
      </c>
      <c r="G51" s="554">
        <f t="shared" ref="G51:H51" si="31">SUM(G43:G50)</f>
        <v>17087.742668752006</v>
      </c>
      <c r="H51" s="554">
        <f t="shared" si="31"/>
        <v>16821.229011141852</v>
      </c>
      <c r="I51" s="554">
        <f>SUM(I43:I50)</f>
        <v>16774.926515462565</v>
      </c>
      <c r="J51" s="554">
        <f>SUM(J43:J50)</f>
        <v>16694.373596755482</v>
      </c>
      <c r="K51" s="402"/>
      <c r="L51" s="402"/>
      <c r="M51" s="402"/>
      <c r="N51" s="402"/>
      <c r="O51" s="403"/>
      <c r="P51" s="402"/>
      <c r="Q51" s="402"/>
      <c r="R51" s="402"/>
      <c r="S51" s="402"/>
      <c r="T51" s="402"/>
      <c r="U51" s="402"/>
      <c r="V51" s="402"/>
      <c r="W51" s="402"/>
      <c r="X51" s="402"/>
      <c r="Y51" s="402"/>
      <c r="Z51" s="402"/>
      <c r="AA51" s="402"/>
      <c r="AB51" s="402"/>
      <c r="AC51" s="402"/>
      <c r="AD51" s="402"/>
      <c r="AE51" s="402"/>
    </row>
    <row r="52" spans="1:31" ht="15.75" x14ac:dyDescent="0.25">
      <c r="A52" s="18" t="s">
        <v>108</v>
      </c>
      <c r="B52" s="19">
        <f>B51+B42+B35</f>
        <v>39833</v>
      </c>
      <c r="C52" s="19">
        <f>C51+C42+C35</f>
        <v>42042</v>
      </c>
      <c r="D52" s="19">
        <f>D51+D42+D35</f>
        <v>38116</v>
      </c>
      <c r="E52" s="19">
        <f>E51+E42+E35</f>
        <v>37440</v>
      </c>
      <c r="F52" s="554">
        <f>F51+F42+F35</f>
        <v>37229.661080733247</v>
      </c>
      <c r="G52" s="554">
        <f t="shared" ref="G52:H52" si="32">G51+G42+G35</f>
        <v>37406.371936122792</v>
      </c>
      <c r="H52" s="554">
        <f t="shared" si="32"/>
        <v>37016.963426266186</v>
      </c>
      <c r="I52" s="554">
        <f>I51+I42+I35</f>
        <v>36790.734136091633</v>
      </c>
      <c r="J52" s="554">
        <f>J51+J42+J35</f>
        <v>36341.441561320564</v>
      </c>
      <c r="K52" s="402"/>
      <c r="L52" s="402"/>
      <c r="M52" s="402"/>
      <c r="N52" s="402"/>
      <c r="O52" s="403"/>
      <c r="P52" s="402"/>
      <c r="Q52" s="402"/>
      <c r="R52" s="402"/>
      <c r="S52" s="402"/>
      <c r="T52" s="402"/>
      <c r="U52" s="402"/>
      <c r="V52" s="402"/>
      <c r="W52" s="402"/>
      <c r="X52" s="402"/>
      <c r="Y52" s="402"/>
      <c r="Z52" s="402"/>
      <c r="AA52" s="402"/>
      <c r="AB52" s="402"/>
      <c r="AC52" s="402"/>
      <c r="AD52" s="402"/>
      <c r="AE52" s="402"/>
    </row>
    <row r="53" spans="1:31" ht="15.75" x14ac:dyDescent="0.25">
      <c r="A53" s="118" t="s">
        <v>475</v>
      </c>
      <c r="B53" s="118" t="b">
        <f>B52=B27</f>
        <v>1</v>
      </c>
      <c r="C53" s="118" t="b">
        <f>C52=C27</f>
        <v>1</v>
      </c>
      <c r="D53" s="118" t="b">
        <f>D52=D27</f>
        <v>1</v>
      </c>
      <c r="E53" s="118" t="b">
        <f>E52=E27</f>
        <v>1</v>
      </c>
      <c r="F53" s="559">
        <f>F27-F52</f>
        <v>0</v>
      </c>
      <c r="G53" s="559">
        <f>G27-G52</f>
        <v>0</v>
      </c>
      <c r="H53" s="559">
        <f>H27-H52</f>
        <v>0</v>
      </c>
      <c r="I53" s="559">
        <f>I27-I52</f>
        <v>0</v>
      </c>
      <c r="J53" s="559">
        <f>J27-J52</f>
        <v>0</v>
      </c>
      <c r="K53" s="402"/>
      <c r="L53" s="402"/>
      <c r="M53" s="402"/>
      <c r="N53" s="402"/>
      <c r="O53" s="403"/>
      <c r="P53" s="402"/>
      <c r="Q53" s="402"/>
      <c r="R53" s="402"/>
      <c r="S53" s="402"/>
      <c r="T53" s="402"/>
      <c r="U53" s="402"/>
      <c r="V53" s="402"/>
      <c r="W53" s="402"/>
      <c r="X53" s="402"/>
      <c r="Y53" s="402"/>
      <c r="Z53" s="402"/>
      <c r="AA53" s="402"/>
      <c r="AB53" s="402"/>
      <c r="AC53" s="402"/>
      <c r="AD53" s="402"/>
      <c r="AE53" s="402"/>
    </row>
    <row r="54" spans="1:31" x14ac:dyDescent="0.25">
      <c r="F54" s="560"/>
      <c r="G54" s="561"/>
      <c r="H54" s="561"/>
      <c r="I54" s="561"/>
      <c r="J54" s="561"/>
      <c r="K54" s="402"/>
      <c r="L54" s="402"/>
      <c r="M54" s="402"/>
      <c r="N54" s="402"/>
      <c r="O54" s="402"/>
      <c r="P54" s="402"/>
      <c r="Q54" s="402"/>
      <c r="R54" s="402"/>
      <c r="S54" s="402"/>
      <c r="T54" s="402"/>
      <c r="U54" s="402"/>
      <c r="V54" s="402"/>
      <c r="W54" s="402"/>
      <c r="X54" s="402"/>
      <c r="Y54" s="402"/>
      <c r="Z54" s="402"/>
      <c r="AA54" s="402"/>
      <c r="AB54" s="402"/>
      <c r="AC54" s="402"/>
      <c r="AD54" s="402"/>
      <c r="AE54" s="402"/>
    </row>
    <row r="55" spans="1:31" x14ac:dyDescent="0.25">
      <c r="A55" t="s">
        <v>551</v>
      </c>
      <c r="F55" s="454"/>
      <c r="G55" s="454"/>
      <c r="H55" s="454"/>
      <c r="I55" s="454"/>
      <c r="J55" s="454"/>
      <c r="K55" s="402"/>
      <c r="L55" s="402"/>
      <c r="M55" s="402"/>
      <c r="N55" s="402"/>
      <c r="O55" s="403"/>
      <c r="P55" s="402"/>
      <c r="Q55" s="402"/>
      <c r="R55" s="402"/>
      <c r="S55" s="402"/>
      <c r="T55" s="402"/>
      <c r="U55" s="402"/>
      <c r="V55" s="402"/>
      <c r="W55" s="402"/>
      <c r="X55" s="402"/>
      <c r="Y55" s="402"/>
      <c r="Z55" s="402"/>
      <c r="AA55" s="402"/>
      <c r="AB55" s="402"/>
      <c r="AC55" s="402"/>
      <c r="AD55" s="402"/>
      <c r="AE55" s="402"/>
    </row>
    <row r="56" spans="1:31" x14ac:dyDescent="0.25">
      <c r="F56" s="454"/>
      <c r="G56" s="454"/>
      <c r="H56" s="454"/>
      <c r="I56" s="454"/>
      <c r="J56" s="454"/>
      <c r="K56" s="402"/>
      <c r="L56" s="402"/>
      <c r="M56" s="402"/>
      <c r="N56" s="402"/>
      <c r="O56" s="402"/>
      <c r="P56" s="402"/>
      <c r="Q56" s="402"/>
      <c r="R56" s="402"/>
      <c r="S56" s="402"/>
      <c r="T56" s="402"/>
      <c r="U56" s="402"/>
      <c r="V56" s="402"/>
      <c r="W56" s="402"/>
      <c r="X56" s="402"/>
      <c r="Y56" s="402"/>
      <c r="Z56" s="402"/>
      <c r="AA56" s="402"/>
      <c r="AB56" s="402"/>
      <c r="AC56" s="402"/>
      <c r="AD56" s="402"/>
      <c r="AE56" s="402"/>
    </row>
    <row r="57" spans="1:31" x14ac:dyDescent="0.25">
      <c r="A57" s="129" t="s">
        <v>271</v>
      </c>
      <c r="B57" s="131">
        <f>AVERAGE(B20:B20)/-IS!F7</f>
        <v>0.1821436562989483</v>
      </c>
      <c r="C57" s="131">
        <f>AVERAGE(B20:C20)/-IS!G7</f>
        <v>0.16214734687911125</v>
      </c>
      <c r="D57" s="131">
        <f>AVERAGE(C20:D20)/-IS!H7</f>
        <v>0.13667086923023045</v>
      </c>
      <c r="E57" s="132">
        <f>AVERAGE(D20:E20)/-IS!I7</f>
        <v>0.13758039596133809</v>
      </c>
      <c r="F57" s="144">
        <v>0.10742465774227838</v>
      </c>
      <c r="G57" s="144">
        <v>0.11834894025531457</v>
      </c>
      <c r="H57" s="144">
        <v>0.1150684931506849</v>
      </c>
      <c r="I57" s="144">
        <v>0.11780821917808211</v>
      </c>
      <c r="J57" s="144">
        <v>0.12054794520547946</v>
      </c>
      <c r="K57" s="402"/>
      <c r="L57" s="402"/>
      <c r="M57" s="402"/>
      <c r="N57" s="402"/>
      <c r="O57" s="402"/>
      <c r="P57" s="402"/>
      <c r="Q57" s="402"/>
      <c r="R57" s="402"/>
      <c r="S57" s="402"/>
      <c r="T57" s="402"/>
      <c r="U57" s="402"/>
      <c r="V57" s="402"/>
      <c r="W57" s="402"/>
      <c r="X57" s="402"/>
      <c r="Y57" s="402"/>
      <c r="Z57" s="402"/>
      <c r="AA57" s="402"/>
      <c r="AB57" s="402"/>
      <c r="AC57" s="402"/>
      <c r="AD57" s="402"/>
      <c r="AE57" s="402"/>
    </row>
    <row r="58" spans="1:31" x14ac:dyDescent="0.25">
      <c r="A58" s="133" t="s">
        <v>272</v>
      </c>
      <c r="B58" s="134">
        <f>(B57)*365</f>
        <v>66.482434549116135</v>
      </c>
      <c r="C58" s="134">
        <f t="shared" ref="C58:D58" si="33">(C57)*365</f>
        <v>59.183781610875606</v>
      </c>
      <c r="D58" s="134">
        <f t="shared" si="33"/>
        <v>49.88486726903411</v>
      </c>
      <c r="E58" s="135">
        <f>(E57)*365</f>
        <v>50.216844525888405</v>
      </c>
      <c r="F58" s="127">
        <f>F57*365</f>
        <v>39.21000007593161</v>
      </c>
      <c r="G58" s="127">
        <f t="shared" ref="G58:J58" si="34">G57*365</f>
        <v>43.197363193189823</v>
      </c>
      <c r="H58" s="127">
        <f t="shared" si="34"/>
        <v>41.999999999999993</v>
      </c>
      <c r="I58" s="127">
        <f t="shared" si="34"/>
        <v>42.999999999999972</v>
      </c>
      <c r="J58" s="127">
        <f t="shared" si="34"/>
        <v>44</v>
      </c>
      <c r="K58" s="402"/>
      <c r="L58" s="402"/>
      <c r="M58" s="402"/>
      <c r="N58" s="470"/>
      <c r="O58" s="470"/>
      <c r="P58" s="470"/>
      <c r="Q58" s="470"/>
      <c r="R58" s="470"/>
      <c r="S58" s="470"/>
      <c r="T58" s="402"/>
      <c r="U58" s="402"/>
      <c r="V58" s="402"/>
      <c r="W58" s="402"/>
      <c r="X58" s="402"/>
      <c r="Y58" s="402"/>
      <c r="Z58" s="402"/>
      <c r="AA58" s="402"/>
      <c r="AB58" s="402"/>
      <c r="AC58" s="402"/>
      <c r="AD58" s="402"/>
      <c r="AE58" s="402"/>
    </row>
    <row r="59" spans="1:31" x14ac:dyDescent="0.25">
      <c r="A59" s="133" t="s">
        <v>273</v>
      </c>
      <c r="B59" s="136">
        <f>AVERAGE(B21:B21)/IS!F3</f>
        <v>3.6446533756230179E-2</v>
      </c>
      <c r="C59" s="136">
        <f>AVERAGE(B21:C21)/IS!G3</f>
        <v>3.0072162087149596E-2</v>
      </c>
      <c r="D59" s="136">
        <f>AVERAGE(C21:D21)/IS!H3</f>
        <v>2.4233128834355827E-2</v>
      </c>
      <c r="E59" s="137">
        <f>AVERAGE(D21:E21)/IS!I3</f>
        <v>2.5161184569992352E-2</v>
      </c>
      <c r="F59" s="145">
        <v>2.5000000000000001E-2</v>
      </c>
      <c r="G59" s="145">
        <v>2.5000000000000001E-2</v>
      </c>
      <c r="H59" s="145">
        <v>2.5000000000000001E-2</v>
      </c>
      <c r="I59" s="145">
        <v>2.5000000000000001E-2</v>
      </c>
      <c r="J59" s="145">
        <v>2.5000000000000001E-2</v>
      </c>
      <c r="K59" s="402"/>
      <c r="L59" s="402"/>
      <c r="M59" s="402"/>
      <c r="N59" s="402"/>
      <c r="O59" s="402"/>
      <c r="P59" s="402"/>
      <c r="Q59" s="402"/>
      <c r="R59" s="402"/>
      <c r="S59" s="402"/>
      <c r="T59" s="402"/>
      <c r="U59" s="402"/>
      <c r="V59" s="402"/>
      <c r="W59" s="402"/>
      <c r="X59" s="402"/>
      <c r="Y59" s="402"/>
      <c r="Z59" s="402"/>
      <c r="AA59" s="402"/>
      <c r="AB59" s="402"/>
      <c r="AC59" s="402"/>
      <c r="AD59" s="402"/>
      <c r="AE59" s="402"/>
    </row>
    <row r="60" spans="1:31" x14ac:dyDescent="0.25">
      <c r="A60" s="133" t="s">
        <v>274</v>
      </c>
      <c r="B60" s="134">
        <f t="shared" ref="B60:D60" si="35">B59*365</f>
        <v>13.302984821024015</v>
      </c>
      <c r="C60" s="134">
        <f t="shared" si="35"/>
        <v>10.976339161809603</v>
      </c>
      <c r="D60" s="134">
        <f t="shared" si="35"/>
        <v>8.845092024539877</v>
      </c>
      <c r="E60" s="135">
        <f>E59*365</f>
        <v>9.1838323680472076</v>
      </c>
      <c r="F60" s="128">
        <f t="shared" ref="F60:J60" si="36">F59*365</f>
        <v>9.125</v>
      </c>
      <c r="G60" s="128">
        <f t="shared" si="36"/>
        <v>9.125</v>
      </c>
      <c r="H60" s="128">
        <f t="shared" si="36"/>
        <v>9.125</v>
      </c>
      <c r="I60" s="128">
        <f t="shared" si="36"/>
        <v>9.125</v>
      </c>
      <c r="J60" s="128">
        <f t="shared" si="36"/>
        <v>9.125</v>
      </c>
      <c r="K60" s="402"/>
      <c r="L60" s="402"/>
      <c r="M60" s="172"/>
      <c r="N60" s="172"/>
      <c r="O60" s="172"/>
      <c r="P60" s="172"/>
      <c r="Q60" s="172"/>
      <c r="R60" s="168"/>
      <c r="S60" s="551"/>
      <c r="T60" s="402"/>
      <c r="U60" s="402"/>
      <c r="V60" s="402"/>
      <c r="W60" s="402"/>
      <c r="X60" s="402"/>
      <c r="Y60" s="402"/>
      <c r="Z60" s="402"/>
      <c r="AA60" s="402"/>
      <c r="AB60" s="402"/>
      <c r="AC60" s="402"/>
      <c r="AD60" s="402"/>
      <c r="AE60" s="402"/>
    </row>
    <row r="61" spans="1:31" x14ac:dyDescent="0.25">
      <c r="A61" s="133" t="s">
        <v>275</v>
      </c>
      <c r="B61" s="138">
        <f>AVERAGE(B45:B45)/-IS!F7</f>
        <v>0.3010740657865294</v>
      </c>
      <c r="C61" s="138">
        <f>AVERAGE(B45:C45)/-IS!G7</f>
        <v>0.27430200263119425</v>
      </c>
      <c r="D61" s="138">
        <f>AVERAGE(C45:D45)/-IS!H7</f>
        <v>0.23819780065840163</v>
      </c>
      <c r="E61" s="139">
        <f>AVERAGE(D45:E45)/-IS!I7</f>
        <v>0.23987639682368581</v>
      </c>
      <c r="F61" s="146">
        <v>0.24</v>
      </c>
      <c r="G61" s="146">
        <v>0.2451556822457347</v>
      </c>
      <c r="H61" s="146">
        <v>0.23134309683812904</v>
      </c>
      <c r="I61" s="146">
        <v>0.22556091694003733</v>
      </c>
      <c r="J61" s="146">
        <v>0.22000386786674825</v>
      </c>
      <c r="K61" s="402"/>
      <c r="L61" s="402"/>
      <c r="M61" s="172"/>
      <c r="N61" s="172"/>
      <c r="O61" s="172"/>
      <c r="P61" s="172"/>
      <c r="Q61" s="172"/>
      <c r="R61" s="552"/>
      <c r="S61" s="551"/>
      <c r="T61" s="402"/>
      <c r="U61" s="402"/>
      <c r="V61" s="402"/>
      <c r="W61" s="402"/>
      <c r="X61" s="402"/>
      <c r="Y61" s="402"/>
      <c r="Z61" s="402"/>
      <c r="AA61" s="402"/>
      <c r="AB61" s="402"/>
      <c r="AC61" s="402"/>
      <c r="AD61" s="402"/>
      <c r="AE61" s="402"/>
    </row>
    <row r="62" spans="1:31" x14ac:dyDescent="0.25">
      <c r="A62" s="133" t="s">
        <v>277</v>
      </c>
      <c r="B62" s="134">
        <f t="shared" ref="B62:D62" si="37">B61*365</f>
        <v>109.89203401208323</v>
      </c>
      <c r="C62" s="134">
        <f t="shared" si="37"/>
        <v>100.1202309603859</v>
      </c>
      <c r="D62" s="134">
        <f t="shared" si="37"/>
        <v>86.942197240316588</v>
      </c>
      <c r="E62" s="135">
        <f>E61*365</f>
        <v>87.554884840645315</v>
      </c>
      <c r="F62" s="127">
        <f>F61*365</f>
        <v>87.6</v>
      </c>
      <c r="G62" s="127">
        <f t="shared" ref="G62:J62" si="38">G61*365</f>
        <v>89.481824019693164</v>
      </c>
      <c r="H62" s="127">
        <f t="shared" si="38"/>
        <v>84.440230345917101</v>
      </c>
      <c r="I62" s="127">
        <f t="shared" si="38"/>
        <v>82.329734683113628</v>
      </c>
      <c r="J62" s="127">
        <f t="shared" si="38"/>
        <v>80.301411771363107</v>
      </c>
      <c r="K62" s="402"/>
      <c r="L62" s="402"/>
      <c r="M62" s="402"/>
      <c r="N62" s="402"/>
      <c r="O62" s="402"/>
      <c r="P62" s="402"/>
      <c r="Q62" s="402"/>
      <c r="R62" s="402"/>
      <c r="S62" s="402"/>
      <c r="T62" s="402"/>
      <c r="U62" s="402"/>
      <c r="V62" s="402"/>
      <c r="W62" s="402"/>
      <c r="X62" s="402"/>
      <c r="Y62" s="402"/>
      <c r="Z62" s="402"/>
      <c r="AA62" s="402"/>
      <c r="AB62" s="402"/>
      <c r="AC62" s="402"/>
      <c r="AD62" s="402"/>
      <c r="AE62" s="402"/>
    </row>
    <row r="63" spans="1:31" x14ac:dyDescent="0.25">
      <c r="A63" s="133"/>
      <c r="B63" s="4"/>
      <c r="C63" s="4"/>
      <c r="D63" s="4"/>
      <c r="E63" s="140"/>
      <c r="F63" s="20"/>
      <c r="G63" s="20"/>
      <c r="H63" s="20"/>
      <c r="I63" s="20"/>
      <c r="J63" s="20"/>
      <c r="K63" s="402"/>
      <c r="L63" s="402"/>
      <c r="M63" s="402"/>
      <c r="N63" s="402"/>
      <c r="O63" s="402"/>
      <c r="P63" s="402"/>
      <c r="Q63" s="402"/>
      <c r="R63" s="402"/>
      <c r="S63" s="402"/>
      <c r="T63" s="402"/>
      <c r="U63" s="402"/>
      <c r="V63" s="402"/>
      <c r="W63" s="402"/>
      <c r="X63" s="402"/>
      <c r="Y63" s="402"/>
      <c r="Z63" s="402"/>
      <c r="AA63" s="402"/>
      <c r="AB63" s="402"/>
      <c r="AC63" s="402"/>
      <c r="AD63" s="402"/>
      <c r="AE63" s="402"/>
    </row>
    <row r="64" spans="1:31" x14ac:dyDescent="0.25">
      <c r="A64" s="141" t="s">
        <v>276</v>
      </c>
      <c r="B64" s="142">
        <f t="shared" ref="B64:D64" si="39">B60+B58-B62</f>
        <v>-30.106614641943082</v>
      </c>
      <c r="C64" s="142">
        <f t="shared" si="39"/>
        <v>-29.960110187700693</v>
      </c>
      <c r="D64" s="142">
        <f t="shared" si="39"/>
        <v>-28.212237946742604</v>
      </c>
      <c r="E64" s="143">
        <f>E60+E58-E62</f>
        <v>-28.154207946709704</v>
      </c>
      <c r="F64" s="128">
        <f>F60+F58-F62</f>
        <v>-39.264999924068384</v>
      </c>
      <c r="G64" s="128">
        <f t="shared" ref="G64:J64" si="40">G60+G58-G62</f>
        <v>-37.159460826503341</v>
      </c>
      <c r="H64" s="128">
        <f t="shared" si="40"/>
        <v>-33.315230345917108</v>
      </c>
      <c r="I64" s="128">
        <f t="shared" si="40"/>
        <v>-30.204734683113657</v>
      </c>
      <c r="J64" s="128">
        <f t="shared" si="40"/>
        <v>-27.176411771363107</v>
      </c>
      <c r="K64" s="402"/>
      <c r="L64" s="402"/>
      <c r="M64" s="402"/>
      <c r="N64" s="402"/>
      <c r="O64" s="402"/>
      <c r="P64" s="402"/>
      <c r="Q64" s="402"/>
      <c r="R64" s="402"/>
      <c r="S64" s="402"/>
      <c r="T64" s="402"/>
      <c r="U64" s="402"/>
      <c r="V64" s="402"/>
      <c r="W64" s="402"/>
      <c r="X64" s="402"/>
      <c r="Y64" s="402"/>
      <c r="Z64" s="402"/>
      <c r="AA64" s="402"/>
      <c r="AB64" s="402"/>
      <c r="AC64" s="402"/>
      <c r="AD64" s="402"/>
      <c r="AE64" s="402"/>
    </row>
    <row r="65" spans="1:31" x14ac:dyDescent="0.25">
      <c r="K65" s="402"/>
      <c r="L65" s="402"/>
      <c r="M65" s="402"/>
      <c r="N65" s="402"/>
      <c r="O65" s="402"/>
      <c r="P65" s="402"/>
      <c r="Q65" s="402"/>
      <c r="R65" s="402"/>
      <c r="S65" s="402"/>
      <c r="T65" s="402"/>
      <c r="U65" s="402"/>
      <c r="V65" s="402"/>
      <c r="W65" s="402"/>
      <c r="X65" s="402"/>
      <c r="Y65" s="402"/>
      <c r="Z65" s="402"/>
      <c r="AA65" s="402"/>
      <c r="AB65" s="402"/>
      <c r="AC65" s="402"/>
      <c r="AD65" s="402"/>
      <c r="AE65" s="402"/>
    </row>
    <row r="66" spans="1:31" x14ac:dyDescent="0.25">
      <c r="K66" s="402"/>
      <c r="L66" s="402"/>
      <c r="M66" s="402"/>
      <c r="N66" s="402"/>
      <c r="O66" s="402"/>
      <c r="P66" s="402"/>
      <c r="Q66" s="402"/>
      <c r="R66" s="402"/>
      <c r="S66" s="402"/>
      <c r="T66" s="402"/>
      <c r="U66" s="402"/>
      <c r="V66" s="402"/>
      <c r="W66" s="402"/>
      <c r="X66" s="402"/>
      <c r="Y66" s="402"/>
      <c r="Z66" s="402"/>
      <c r="AA66" s="402"/>
      <c r="AB66" s="402"/>
      <c r="AC66" s="402"/>
      <c r="AD66" s="402"/>
      <c r="AE66" s="402"/>
    </row>
    <row r="67" spans="1:31" x14ac:dyDescent="0.25">
      <c r="K67" s="402"/>
      <c r="L67" s="402"/>
      <c r="M67" s="402"/>
      <c r="N67" s="402"/>
      <c r="O67" s="402"/>
      <c r="P67" s="402"/>
      <c r="Q67" s="402"/>
      <c r="R67" s="402"/>
      <c r="S67" s="402"/>
      <c r="T67" s="402"/>
      <c r="U67" s="402"/>
      <c r="V67" s="402"/>
      <c r="W67" s="402"/>
      <c r="X67" s="402"/>
      <c r="Y67" s="402"/>
      <c r="Z67" s="402"/>
      <c r="AA67" s="402"/>
      <c r="AB67" s="402"/>
      <c r="AC67" s="402"/>
      <c r="AD67" s="402"/>
      <c r="AE67" s="402"/>
    </row>
    <row r="68" spans="1:31" x14ac:dyDescent="0.25">
      <c r="B68" s="285"/>
      <c r="C68" s="285"/>
      <c r="D68" s="285"/>
      <c r="E68" s="285"/>
      <c r="J68" s="457"/>
      <c r="K68" s="402"/>
      <c r="L68" s="402"/>
      <c r="M68" s="402"/>
      <c r="N68" s="402"/>
      <c r="O68" s="402"/>
      <c r="P68" s="402"/>
      <c r="Q68" s="402"/>
      <c r="R68" s="402"/>
      <c r="S68" s="402"/>
      <c r="T68" s="402"/>
      <c r="U68" s="402"/>
      <c r="V68" s="402"/>
      <c r="W68" s="402"/>
      <c r="X68" s="402"/>
      <c r="Y68" s="402"/>
      <c r="Z68" s="402"/>
      <c r="AA68" s="402"/>
      <c r="AB68" s="402"/>
      <c r="AC68" s="402"/>
      <c r="AD68" s="402"/>
      <c r="AE68" s="402"/>
    </row>
    <row r="69" spans="1:31" x14ac:dyDescent="0.25">
      <c r="A69" s="441" t="s">
        <v>543</v>
      </c>
      <c r="B69" s="3"/>
      <c r="C69" s="3"/>
      <c r="D69" s="3"/>
      <c r="E69" s="3"/>
      <c r="F69" s="477">
        <f>BS!E20-BS!F20+BS!E21-BS!F21+BS!E22-BS!F22+BS!F45-BS!E45+BS!F49-BS!E49</f>
        <v>-49.622737340042477</v>
      </c>
      <c r="G69" s="477">
        <f>BS!F20-BS!G20+BS!F21-BS!G21+BS!F22-BS!G22+BS!G45-BS!F45+BS!G49-BS!F49</f>
        <v>-233.03886448158937</v>
      </c>
      <c r="H69" s="477">
        <f>BS!G20-BS!H20+BS!G21-BS!H21+BS!G22-BS!H22+BS!H45-BS!G45+BS!H49-BS!G49</f>
        <v>-250.34417402188319</v>
      </c>
      <c r="I69" s="477">
        <f>BS!H20-BS!I20+BS!H21-BS!I21+BS!H22-BS!I22+BS!I45-BS!H45+BS!I49-BS!H49</f>
        <v>-259.83818091365083</v>
      </c>
      <c r="J69" s="563">
        <f>BS!I20-BS!J20+BS!I21-BS!J21+BS!I22-BS!J22+BS!J45-BS!I45+BS!J49-BS!I49</f>
        <v>-267.89245271200343</v>
      </c>
      <c r="K69" s="402"/>
      <c r="L69" s="402"/>
      <c r="M69" s="402"/>
      <c r="N69" s="402"/>
      <c r="O69" s="402"/>
      <c r="P69" s="402"/>
      <c r="Q69" s="402"/>
      <c r="R69" s="402"/>
      <c r="S69" s="402"/>
      <c r="T69" s="402"/>
      <c r="U69" s="402"/>
      <c r="V69" s="402"/>
      <c r="W69" s="402"/>
      <c r="X69" s="402"/>
      <c r="Y69" s="402"/>
      <c r="Z69" s="402"/>
      <c r="AA69" s="402"/>
      <c r="AB69" s="402"/>
      <c r="AC69" s="402"/>
      <c r="AD69" s="402"/>
      <c r="AE69" s="402"/>
    </row>
    <row r="70" spans="1:31" x14ac:dyDescent="0.25">
      <c r="K70" s="402"/>
      <c r="L70" s="402"/>
      <c r="M70" s="402"/>
      <c r="N70" s="402"/>
      <c r="O70" s="402"/>
      <c r="P70" s="402"/>
      <c r="Q70" s="402"/>
      <c r="R70" s="402"/>
      <c r="S70" s="402"/>
      <c r="T70" s="402"/>
      <c r="U70" s="402"/>
      <c r="V70" s="402"/>
      <c r="W70" s="402"/>
      <c r="X70" s="402"/>
      <c r="Y70" s="402"/>
      <c r="Z70" s="402"/>
      <c r="AA70" s="402"/>
      <c r="AB70" s="402"/>
      <c r="AC70" s="402"/>
      <c r="AD70" s="402"/>
      <c r="AE70" s="402"/>
    </row>
    <row r="71" spans="1:31" x14ac:dyDescent="0.25">
      <c r="K71" s="402"/>
      <c r="L71" s="402"/>
      <c r="M71" s="402"/>
      <c r="N71" s="402"/>
      <c r="O71" s="402"/>
      <c r="P71" s="402"/>
      <c r="Q71" s="402"/>
      <c r="R71" s="402"/>
      <c r="S71" s="402"/>
      <c r="T71" s="402"/>
      <c r="U71" s="402"/>
      <c r="V71" s="402"/>
      <c r="W71" s="402"/>
      <c r="X71" s="402"/>
      <c r="Y71" s="402"/>
      <c r="Z71" s="402"/>
      <c r="AA71" s="402"/>
      <c r="AB71" s="402"/>
      <c r="AC71" s="402"/>
      <c r="AD71" s="402"/>
      <c r="AE71" s="402"/>
    </row>
    <row r="72" spans="1:31" x14ac:dyDescent="0.25">
      <c r="G72" s="115"/>
      <c r="J72" s="458"/>
      <c r="K72" s="402"/>
      <c r="L72" s="402"/>
      <c r="M72" s="402"/>
      <c r="N72" s="402"/>
      <c r="O72" s="402"/>
      <c r="P72" s="402"/>
      <c r="Q72" s="402"/>
      <c r="R72" s="402"/>
      <c r="S72" s="402"/>
      <c r="T72" s="402"/>
      <c r="U72" s="402"/>
      <c r="V72" s="402"/>
      <c r="W72" s="402"/>
      <c r="X72" s="402"/>
      <c r="Y72" s="402"/>
      <c r="Z72" s="402"/>
      <c r="AA72" s="402"/>
      <c r="AB72" s="402"/>
      <c r="AC72" s="402"/>
      <c r="AD72" s="402"/>
      <c r="AE72" s="402"/>
    </row>
    <row r="73" spans="1:31" x14ac:dyDescent="0.25">
      <c r="K73" s="402"/>
      <c r="L73" s="402"/>
      <c r="M73" s="402"/>
      <c r="N73" s="402"/>
      <c r="O73" s="402"/>
      <c r="P73" s="402"/>
      <c r="Q73" s="402"/>
      <c r="R73" s="402"/>
      <c r="S73" s="402"/>
      <c r="T73" s="402"/>
      <c r="U73" s="402"/>
      <c r="V73" s="402"/>
      <c r="W73" s="402"/>
      <c r="X73" s="402"/>
      <c r="Y73" s="402"/>
      <c r="Z73" s="402"/>
      <c r="AA73" s="402"/>
      <c r="AB73" s="402"/>
      <c r="AC73" s="402"/>
      <c r="AD73" s="402"/>
      <c r="AE73" s="402"/>
    </row>
    <row r="74" spans="1:31" x14ac:dyDescent="0.25">
      <c r="F74" s="200"/>
      <c r="G74" s="200"/>
      <c r="H74" s="200"/>
      <c r="I74" s="200"/>
      <c r="J74" s="200"/>
      <c r="K74" s="402"/>
      <c r="L74" s="402"/>
      <c r="M74" s="402"/>
      <c r="N74" s="402"/>
      <c r="O74" s="402"/>
      <c r="P74" s="402"/>
      <c r="Q74" s="402"/>
      <c r="R74" s="402"/>
      <c r="S74" s="402"/>
      <c r="T74" s="402"/>
      <c r="U74" s="402"/>
      <c r="V74" s="402"/>
      <c r="W74" s="402"/>
      <c r="X74" s="402"/>
      <c r="Y74" s="402"/>
      <c r="Z74" s="402"/>
      <c r="AA74" s="402"/>
      <c r="AB74" s="402"/>
      <c r="AC74" s="402"/>
      <c r="AD74" s="402"/>
      <c r="AE74" s="402"/>
    </row>
  </sheetData>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topLeftCell="A7" zoomScale="85" zoomScaleNormal="85" workbookViewId="0">
      <selection activeCell="S30" sqref="S30"/>
    </sheetView>
  </sheetViews>
  <sheetFormatPr defaultRowHeight="15" x14ac:dyDescent="0.25"/>
  <cols>
    <col min="3" max="10" width="9.5703125" bestFit="1" customWidth="1"/>
  </cols>
  <sheetData>
    <row r="1" spans="1:20" x14ac:dyDescent="0.25">
      <c r="A1" s="202" t="s">
        <v>556</v>
      </c>
      <c r="B1" s="290"/>
      <c r="C1" s="290"/>
      <c r="D1" s="290"/>
      <c r="E1" s="290"/>
      <c r="F1" s="290"/>
      <c r="G1" s="290"/>
      <c r="H1" s="290"/>
      <c r="I1" s="290"/>
      <c r="J1" s="291"/>
      <c r="K1" t="s">
        <v>566</v>
      </c>
    </row>
    <row r="2" spans="1:20" x14ac:dyDescent="0.25">
      <c r="A2" s="461"/>
      <c r="B2" s="4"/>
      <c r="C2" s="4"/>
      <c r="D2" s="4"/>
      <c r="E2" s="4"/>
      <c r="F2" s="4"/>
      <c r="G2" s="4"/>
      <c r="H2" s="4"/>
      <c r="I2" s="4"/>
      <c r="J2" s="462"/>
      <c r="K2" t="s">
        <v>544</v>
      </c>
      <c r="L2">
        <f>IS!F1</f>
        <v>2015</v>
      </c>
      <c r="M2">
        <f>IS!G1</f>
        <v>2016</v>
      </c>
      <c r="N2">
        <f>IS!H1</f>
        <v>2017</v>
      </c>
      <c r="O2">
        <f>IS!I1</f>
        <v>2018</v>
      </c>
      <c r="P2" t="str">
        <f>IS!J1</f>
        <v>2019 E</v>
      </c>
      <c r="Q2" t="str">
        <f>IS!K1</f>
        <v>2020 E</v>
      </c>
      <c r="R2" t="str">
        <f>IS!L1</f>
        <v>2021 E</v>
      </c>
      <c r="S2" t="str">
        <f>IS!M1</f>
        <v>2022 E</v>
      </c>
      <c r="T2" t="str">
        <f>IS!N1</f>
        <v>2023 E</v>
      </c>
    </row>
    <row r="3" spans="1:20" x14ac:dyDescent="0.25">
      <c r="A3" s="461" t="s">
        <v>557</v>
      </c>
      <c r="B3" s="4"/>
      <c r="C3" s="4"/>
      <c r="D3" s="4"/>
      <c r="E3" s="4"/>
      <c r="F3" s="4"/>
      <c r="G3" s="4"/>
      <c r="H3" s="4"/>
      <c r="I3" s="4"/>
      <c r="J3" s="462"/>
      <c r="K3" t="s">
        <v>567</v>
      </c>
      <c r="L3" s="115">
        <f>IS!F3</f>
        <v>35312</v>
      </c>
      <c r="M3" s="115">
        <f>IS!G3</f>
        <v>36030</v>
      </c>
      <c r="N3" s="115">
        <f>IS!H3</f>
        <v>37490</v>
      </c>
      <c r="O3" s="115">
        <f>IS!I3</f>
        <v>36604</v>
      </c>
      <c r="P3" s="115">
        <f>IS!J3</f>
        <v>37851.557334902594</v>
      </c>
      <c r="Q3" s="115">
        <f>IS!K3</f>
        <v>38600.942990706841</v>
      </c>
      <c r="R3" s="115">
        <f>IS!L3</f>
        <v>39389.549090457891</v>
      </c>
      <c r="S3" s="115">
        <f>IS!M3</f>
        <v>40129.136160387578</v>
      </c>
      <c r="T3" s="115">
        <f>IS!N3</f>
        <v>40660.896983943501</v>
      </c>
    </row>
    <row r="4" spans="1:20" x14ac:dyDescent="0.25">
      <c r="A4" s="461"/>
      <c r="B4" s="4"/>
      <c r="C4" s="4"/>
      <c r="D4" s="4"/>
      <c r="E4" s="4"/>
      <c r="F4" s="4"/>
      <c r="G4" s="4"/>
      <c r="H4" s="4"/>
      <c r="I4" s="4"/>
      <c r="J4" s="462"/>
    </row>
    <row r="5" spans="1:20" x14ac:dyDescent="0.25">
      <c r="A5" s="461"/>
      <c r="B5" s="4"/>
      <c r="C5" s="4">
        <f>BS!C3</f>
        <v>2016</v>
      </c>
      <c r="D5" s="4">
        <f>BS!D3</f>
        <v>2017</v>
      </c>
      <c r="E5" s="4">
        <f>BS!E3</f>
        <v>2018</v>
      </c>
      <c r="F5" s="4" t="str">
        <f>BS!F3</f>
        <v>2019 E</v>
      </c>
      <c r="G5" s="4" t="str">
        <f>BS!G3</f>
        <v>2020 E</v>
      </c>
      <c r="H5" s="4" t="str">
        <f>BS!H3</f>
        <v>2021 E</v>
      </c>
      <c r="I5" s="4" t="str">
        <f>BS!I3</f>
        <v>2022 E</v>
      </c>
      <c r="J5" s="462" t="str">
        <f>BS!J3</f>
        <v>2023 E</v>
      </c>
    </row>
    <row r="6" spans="1:20" x14ac:dyDescent="0.25">
      <c r="A6" s="461" t="s">
        <v>562</v>
      </c>
      <c r="B6" s="4"/>
      <c r="C6" s="134">
        <f>(BS!C38+BS!C46)/BS!C35</f>
        <v>0.70740997229916902</v>
      </c>
      <c r="D6" s="134">
        <f>(BS!D38+BS!D46)/BS!D35</f>
        <v>0.66973815557091299</v>
      </c>
      <c r="E6" s="134">
        <f>(BS!E38+BS!E46)/BS!E35</f>
        <v>0.75120652354801132</v>
      </c>
      <c r="F6" s="134">
        <f>(BS!F38+BS!F46)/BS!F35</f>
        <v>0.75061681315137685</v>
      </c>
      <c r="G6" s="134">
        <f>(BS!G38+BS!G46)/BS!G35</f>
        <v>0.72033116623910454</v>
      </c>
      <c r="H6" s="134">
        <f>(BS!H38+BS!H46)/BS!H35</f>
        <v>0.69092330370153532</v>
      </c>
      <c r="I6" s="134">
        <f>(BS!I38+BS!I46)/BS!I35</f>
        <v>0.65533066483930824</v>
      </c>
      <c r="J6" s="761">
        <f>(BS!J38+BS!J46)/BS!J35</f>
        <v>0.60516208780777703</v>
      </c>
    </row>
    <row r="7" spans="1:20" x14ac:dyDescent="0.25">
      <c r="A7" s="461" t="s">
        <v>563</v>
      </c>
      <c r="B7" s="4"/>
      <c r="C7" s="138">
        <f>(BS!C38+BS!C46)/BS!C27</f>
        <v>0.24297131439988584</v>
      </c>
      <c r="D7" s="138">
        <f>(BS!D38+BS!D46)/BS!D27</f>
        <v>0.22882778885507399</v>
      </c>
      <c r="E7" s="138">
        <f>(BS!E38+BS!E46)/BS!E27</f>
        <v>0.24113247863247864</v>
      </c>
      <c r="F7" s="138">
        <f>(BS!F38+BS!F46)/BS!F27</f>
        <v>0.23748911585109736</v>
      </c>
      <c r="G7" s="138">
        <f>(BS!G38+BS!G46)/BS!G27</f>
        <v>0.22957911144006674</v>
      </c>
      <c r="H7" s="138">
        <f>(BS!H38+BS!H46)/BS!H27</f>
        <v>0.22503641827675505</v>
      </c>
      <c r="I7" s="138">
        <f>(BS!I38+BS!I46)/BS!I27</f>
        <v>0.2174377686788854</v>
      </c>
      <c r="J7" s="762">
        <f>(BS!J38+BS!J46)/BS!J27</f>
        <v>0.20580221382379291</v>
      </c>
    </row>
    <row r="8" spans="1:20" x14ac:dyDescent="0.25">
      <c r="A8" s="461"/>
      <c r="B8" s="4"/>
      <c r="C8" s="4"/>
      <c r="D8" s="4"/>
      <c r="E8" s="4"/>
      <c r="F8" s="4"/>
      <c r="G8" s="4"/>
      <c r="H8" s="4"/>
      <c r="I8" s="4"/>
      <c r="J8" s="462"/>
    </row>
    <row r="9" spans="1:20" x14ac:dyDescent="0.25">
      <c r="A9" s="461"/>
      <c r="B9" s="4"/>
      <c r="C9" s="4"/>
      <c r="D9" s="4"/>
      <c r="E9" s="4"/>
      <c r="F9" s="4"/>
      <c r="G9" s="4"/>
      <c r="H9" s="4"/>
      <c r="I9" s="4"/>
      <c r="J9" s="462"/>
    </row>
    <row r="10" spans="1:20" x14ac:dyDescent="0.25">
      <c r="A10" s="461" t="s">
        <v>558</v>
      </c>
      <c r="B10" s="4"/>
      <c r="C10" s="138">
        <f>IS!G3/BS!C27</f>
        <v>0.85700014271442848</v>
      </c>
      <c r="D10" s="138">
        <f>IS!H3/BS!D27</f>
        <v>0.98357645083429535</v>
      </c>
      <c r="E10" s="138">
        <f>IS!I3/BS!E27</f>
        <v>0.97767094017094014</v>
      </c>
      <c r="F10" s="138">
        <f>IS!J3/BS!F27</f>
        <v>1.0167043222021483</v>
      </c>
      <c r="G10" s="138">
        <f>IS!K3/BS!G27</f>
        <v>1.0319349616857783</v>
      </c>
      <c r="H10" s="138">
        <f>IS!L3/BS!H27</f>
        <v>1.0640945513782525</v>
      </c>
      <c r="I10" s="138">
        <f>IS!M3/BS!I27</f>
        <v>1.0907402937910113</v>
      </c>
      <c r="J10" s="762">
        <f>IS!N3/BS!J27</f>
        <v>1.118857569679357</v>
      </c>
    </row>
    <row r="11" spans="1:20" x14ac:dyDescent="0.25">
      <c r="A11" s="461" t="s">
        <v>560</v>
      </c>
      <c r="B11" s="4"/>
      <c r="C11" s="359">
        <f>IS!G35/IS!G3</f>
        <v>1.3877324451845685E-3</v>
      </c>
      <c r="D11" s="359">
        <f>IS!H35/IS!H3</f>
        <v>7.6287009869298482E-3</v>
      </c>
      <c r="E11" s="359">
        <f>IS!I35/IS!I3</f>
        <v>1.0108184897825374E-2</v>
      </c>
      <c r="F11" s="359">
        <f>IS!J35/IS!J3</f>
        <v>1.4745613723806021E-2</v>
      </c>
      <c r="G11" s="359">
        <f>IS!K35/IS!K3</f>
        <v>1.6968073475003405E-2</v>
      </c>
      <c r="H11" s="359">
        <f>IS!L35/IS!L3</f>
        <v>1.6172474438636546E-2</v>
      </c>
      <c r="I11" s="359">
        <f>IS!M35/IS!M3</f>
        <v>1.6753852452423577E-2</v>
      </c>
      <c r="J11" s="510">
        <f>IS!N35/IS!N3</f>
        <v>1.660379590511327E-2</v>
      </c>
    </row>
    <row r="12" spans="1:20" x14ac:dyDescent="0.25">
      <c r="A12" s="461" t="s">
        <v>559</v>
      </c>
      <c r="B12" s="4"/>
      <c r="C12" s="359">
        <f>IS!G25/IS!G3</f>
        <v>1.1351651401609769E-2</v>
      </c>
      <c r="D12" s="359">
        <f>IS!H25/IS!H3</f>
        <v>1.9525206721792476E-2</v>
      </c>
      <c r="E12" s="359">
        <f>IS!I25/IS!I3</f>
        <v>2.281171456671402E-2</v>
      </c>
      <c r="F12" s="359">
        <f>IS!J25/IS!J3</f>
        <v>2.7077005000000029E-2</v>
      </c>
      <c r="G12" s="359">
        <f>IS!K25/IS!K3</f>
        <v>2.8405999999999987E-2</v>
      </c>
      <c r="H12" s="359">
        <f>IS!L25/IS!L3</f>
        <v>2.6884249999999991E-2</v>
      </c>
      <c r="I12" s="359">
        <f>IS!M25/IS!M3</f>
        <v>2.6884250000000047E-2</v>
      </c>
      <c r="J12" s="510">
        <f>IS!N25/IS!N3</f>
        <v>2.6884250000000019E-2</v>
      </c>
    </row>
    <row r="13" spans="1:20" x14ac:dyDescent="0.25">
      <c r="A13" s="461"/>
      <c r="B13" s="4"/>
      <c r="C13" s="4"/>
      <c r="D13" s="138"/>
      <c r="E13" s="138"/>
      <c r="F13" s="138"/>
      <c r="G13" s="138"/>
      <c r="H13" s="138"/>
      <c r="I13" s="138"/>
      <c r="J13" s="762"/>
    </row>
    <row r="14" spans="1:20" x14ac:dyDescent="0.25">
      <c r="A14" s="461"/>
      <c r="B14" s="4"/>
      <c r="C14" s="533"/>
      <c r="D14" s="533"/>
      <c r="E14" s="533"/>
      <c r="F14" s="533"/>
      <c r="G14" s="533"/>
      <c r="H14" s="533"/>
      <c r="I14" s="533"/>
      <c r="J14" s="763"/>
    </row>
    <row r="15" spans="1:20" x14ac:dyDescent="0.25">
      <c r="A15" s="461" t="s">
        <v>564</v>
      </c>
      <c r="B15" s="4"/>
      <c r="C15" s="533">
        <f>IS!G25/IS!G6</f>
        <v>1.1351651401609769E-2</v>
      </c>
      <c r="D15" s="533">
        <f>IS!H25/IS!H6</f>
        <v>1.9240373242213168E-2</v>
      </c>
      <c r="E15" s="533">
        <f>IS!I25/IS!I6</f>
        <v>2.2484920292977165E-2</v>
      </c>
      <c r="F15" s="533">
        <f>IS!J25/IS!J6</f>
        <v>2.6690000000000026E-2</v>
      </c>
      <c r="G15" s="533">
        <f>IS!K25/IS!K6</f>
        <v>2.7999999999999987E-2</v>
      </c>
      <c r="H15" s="533">
        <f>IS!L25/IS!L6</f>
        <v>2.6499999999999992E-2</v>
      </c>
      <c r="I15" s="533">
        <f>IS!M25/IS!M6</f>
        <v>2.6500000000000048E-2</v>
      </c>
      <c r="J15" s="763">
        <f>IS!N25/IS!N6</f>
        <v>2.650000000000002E-2</v>
      </c>
    </row>
    <row r="16" spans="1:20" ht="15.75" thickBot="1" x14ac:dyDescent="0.3">
      <c r="A16" s="464" t="s">
        <v>561</v>
      </c>
      <c r="B16" s="465"/>
      <c r="C16" s="511">
        <f>IS!G35/IS!G6</f>
        <v>1.3877324451845685E-3</v>
      </c>
      <c r="D16" s="511">
        <f>IS!H35/IS!H6</f>
        <v>7.5174135891707189E-3</v>
      </c>
      <c r="E16" s="511">
        <f>IS!I35/IS!I6</f>
        <v>9.9633778543731146E-3</v>
      </c>
      <c r="F16" s="511">
        <f>IS!J35/IS!J6</f>
        <v>1.4534858278763945E-2</v>
      </c>
      <c r="G16" s="511">
        <f>IS!K35/IS!K6</f>
        <v>1.6725552957125089E-2</v>
      </c>
      <c r="H16" s="511">
        <f>IS!L35/IS!L6</f>
        <v>1.594132522290443E-2</v>
      </c>
      <c r="I16" s="511">
        <f>IS!M35/IS!M6</f>
        <v>1.6514393743147934E-2</v>
      </c>
      <c r="J16" s="512">
        <f>IS!N35/IS!N6</f>
        <v>1.6366481917312242E-2</v>
      </c>
    </row>
    <row r="24" spans="1:2" x14ac:dyDescent="0.25">
      <c r="A24" s="402"/>
      <c r="B24" s="402"/>
    </row>
    <row r="25" spans="1:2" x14ac:dyDescent="0.25">
      <c r="A25" s="402"/>
      <c r="B25" s="402"/>
    </row>
    <row r="26" spans="1:2" x14ac:dyDescent="0.25">
      <c r="A26" s="402"/>
      <c r="B26" s="402"/>
    </row>
    <row r="27" spans="1:2" x14ac:dyDescent="0.25">
      <c r="A27" s="402"/>
      <c r="B27" s="402"/>
    </row>
    <row r="28" spans="1:2" x14ac:dyDescent="0.25">
      <c r="A28" s="760"/>
      <c r="B28" s="760"/>
    </row>
    <row r="29" spans="1:2" x14ac:dyDescent="0.25">
      <c r="A29" s="760"/>
      <c r="B29" s="760"/>
    </row>
    <row r="30" spans="1:2" x14ac:dyDescent="0.25">
      <c r="A30" s="760"/>
      <c r="B30" s="760"/>
    </row>
    <row r="31" spans="1:2" x14ac:dyDescent="0.25">
      <c r="A31" s="760"/>
      <c r="B31" s="760"/>
    </row>
    <row r="32" spans="1:2" x14ac:dyDescent="0.25">
      <c r="A32" s="760"/>
      <c r="B32" s="760"/>
    </row>
    <row r="33" spans="1:2" x14ac:dyDescent="0.25">
      <c r="A33" s="760"/>
      <c r="B33" s="760"/>
    </row>
    <row r="34" spans="1:2" x14ac:dyDescent="0.25">
      <c r="A34" s="402"/>
      <c r="B34" s="402"/>
    </row>
    <row r="35" spans="1:2" x14ac:dyDescent="0.25">
      <c r="A35" s="402"/>
      <c r="B35" s="40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8"/>
  <sheetViews>
    <sheetView topLeftCell="A2" zoomScale="70" zoomScaleNormal="70" workbookViewId="0">
      <selection activeCell="C8" sqref="C8"/>
    </sheetView>
  </sheetViews>
  <sheetFormatPr defaultRowHeight="12.75" x14ac:dyDescent="0.2"/>
  <cols>
    <col min="1" max="1" width="40.85546875" style="147" customWidth="1"/>
    <col min="2" max="2" width="12.85546875" style="147" customWidth="1"/>
    <col min="3" max="6" width="10.85546875" style="147" customWidth="1"/>
    <col min="7" max="11" width="11.140625" style="147" customWidth="1"/>
    <col min="12" max="12" width="13.28515625" style="147" customWidth="1"/>
    <col min="13" max="13" width="9.28515625" style="147" customWidth="1"/>
    <col min="14" max="14" width="12.42578125" style="147" customWidth="1"/>
    <col min="15" max="15" width="9.140625" style="147"/>
    <col min="16" max="16" width="11.42578125" style="147" customWidth="1"/>
    <col min="17" max="257" width="9.140625" style="147"/>
    <col min="258" max="258" width="31.28515625" style="147" customWidth="1"/>
    <col min="259" max="262" width="10.85546875" style="147" customWidth="1"/>
    <col min="263" max="267" width="11.140625" style="147" customWidth="1"/>
    <col min="268" max="268" width="13.28515625" style="147" customWidth="1"/>
    <col min="269" max="269" width="9.28515625" style="147" customWidth="1"/>
    <col min="270" max="513" width="9.140625" style="147"/>
    <col min="514" max="514" width="31.28515625" style="147" customWidth="1"/>
    <col min="515" max="518" width="10.85546875" style="147" customWidth="1"/>
    <col min="519" max="523" width="11.140625" style="147" customWidth="1"/>
    <col min="524" max="524" width="13.28515625" style="147" customWidth="1"/>
    <col min="525" max="525" width="9.28515625" style="147" customWidth="1"/>
    <col min="526" max="769" width="9.140625" style="147"/>
    <col min="770" max="770" width="31.28515625" style="147" customWidth="1"/>
    <col min="771" max="774" width="10.85546875" style="147" customWidth="1"/>
    <col min="775" max="779" width="11.140625" style="147" customWidth="1"/>
    <col min="780" max="780" width="13.28515625" style="147" customWidth="1"/>
    <col min="781" max="781" width="9.28515625" style="147" customWidth="1"/>
    <col min="782" max="1025" width="9.140625" style="147"/>
    <col min="1026" max="1026" width="31.28515625" style="147" customWidth="1"/>
    <col min="1027" max="1030" width="10.85546875" style="147" customWidth="1"/>
    <col min="1031" max="1035" width="11.140625" style="147" customWidth="1"/>
    <col min="1036" max="1036" width="13.28515625" style="147" customWidth="1"/>
    <col min="1037" max="1037" width="9.28515625" style="147" customWidth="1"/>
    <col min="1038" max="1281" width="9.140625" style="147"/>
    <col min="1282" max="1282" width="31.28515625" style="147" customWidth="1"/>
    <col min="1283" max="1286" width="10.85546875" style="147" customWidth="1"/>
    <col min="1287" max="1291" width="11.140625" style="147" customWidth="1"/>
    <col min="1292" max="1292" width="13.28515625" style="147" customWidth="1"/>
    <col min="1293" max="1293" width="9.28515625" style="147" customWidth="1"/>
    <col min="1294" max="1537" width="9.140625" style="147"/>
    <col min="1538" max="1538" width="31.28515625" style="147" customWidth="1"/>
    <col min="1539" max="1542" width="10.85546875" style="147" customWidth="1"/>
    <col min="1543" max="1547" width="11.140625" style="147" customWidth="1"/>
    <col min="1548" max="1548" width="13.28515625" style="147" customWidth="1"/>
    <col min="1549" max="1549" width="9.28515625" style="147" customWidth="1"/>
    <col min="1550" max="1793" width="9.140625" style="147"/>
    <col min="1794" max="1794" width="31.28515625" style="147" customWidth="1"/>
    <col min="1795" max="1798" width="10.85546875" style="147" customWidth="1"/>
    <col min="1799" max="1803" width="11.140625" style="147" customWidth="1"/>
    <col min="1804" max="1804" width="13.28515625" style="147" customWidth="1"/>
    <col min="1805" max="1805" width="9.28515625" style="147" customWidth="1"/>
    <col min="1806" max="2049" width="9.140625" style="147"/>
    <col min="2050" max="2050" width="31.28515625" style="147" customWidth="1"/>
    <col min="2051" max="2054" width="10.85546875" style="147" customWidth="1"/>
    <col min="2055" max="2059" width="11.140625" style="147" customWidth="1"/>
    <col min="2060" max="2060" width="13.28515625" style="147" customWidth="1"/>
    <col min="2061" max="2061" width="9.28515625" style="147" customWidth="1"/>
    <col min="2062" max="2305" width="9.140625" style="147"/>
    <col min="2306" max="2306" width="31.28515625" style="147" customWidth="1"/>
    <col min="2307" max="2310" width="10.85546875" style="147" customWidth="1"/>
    <col min="2311" max="2315" width="11.140625" style="147" customWidth="1"/>
    <col min="2316" max="2316" width="13.28515625" style="147" customWidth="1"/>
    <col min="2317" max="2317" width="9.28515625" style="147" customWidth="1"/>
    <col min="2318" max="2561" width="9.140625" style="147"/>
    <col min="2562" max="2562" width="31.28515625" style="147" customWidth="1"/>
    <col min="2563" max="2566" width="10.85546875" style="147" customWidth="1"/>
    <col min="2567" max="2571" width="11.140625" style="147" customWidth="1"/>
    <col min="2572" max="2572" width="13.28515625" style="147" customWidth="1"/>
    <col min="2573" max="2573" width="9.28515625" style="147" customWidth="1"/>
    <col min="2574" max="2817" width="9.140625" style="147"/>
    <col min="2818" max="2818" width="31.28515625" style="147" customWidth="1"/>
    <col min="2819" max="2822" width="10.85546875" style="147" customWidth="1"/>
    <col min="2823" max="2827" width="11.140625" style="147" customWidth="1"/>
    <col min="2828" max="2828" width="13.28515625" style="147" customWidth="1"/>
    <col min="2829" max="2829" width="9.28515625" style="147" customWidth="1"/>
    <col min="2830" max="3073" width="9.140625" style="147"/>
    <col min="3074" max="3074" width="31.28515625" style="147" customWidth="1"/>
    <col min="3075" max="3078" width="10.85546875" style="147" customWidth="1"/>
    <col min="3079" max="3083" width="11.140625" style="147" customWidth="1"/>
    <col min="3084" max="3084" width="13.28515625" style="147" customWidth="1"/>
    <col min="3085" max="3085" width="9.28515625" style="147" customWidth="1"/>
    <col min="3086" max="3329" width="9.140625" style="147"/>
    <col min="3330" max="3330" width="31.28515625" style="147" customWidth="1"/>
    <col min="3331" max="3334" width="10.85546875" style="147" customWidth="1"/>
    <col min="3335" max="3339" width="11.140625" style="147" customWidth="1"/>
    <col min="3340" max="3340" width="13.28515625" style="147" customWidth="1"/>
    <col min="3341" max="3341" width="9.28515625" style="147" customWidth="1"/>
    <col min="3342" max="3585" width="9.140625" style="147"/>
    <col min="3586" max="3586" width="31.28515625" style="147" customWidth="1"/>
    <col min="3587" max="3590" width="10.85546875" style="147" customWidth="1"/>
    <col min="3591" max="3595" width="11.140625" style="147" customWidth="1"/>
    <col min="3596" max="3596" width="13.28515625" style="147" customWidth="1"/>
    <col min="3597" max="3597" width="9.28515625" style="147" customWidth="1"/>
    <col min="3598" max="3841" width="9.140625" style="147"/>
    <col min="3842" max="3842" width="31.28515625" style="147" customWidth="1"/>
    <col min="3843" max="3846" width="10.85546875" style="147" customWidth="1"/>
    <col min="3847" max="3851" width="11.140625" style="147" customWidth="1"/>
    <col min="3852" max="3852" width="13.28515625" style="147" customWidth="1"/>
    <col min="3853" max="3853" width="9.28515625" style="147" customWidth="1"/>
    <col min="3854" max="4097" width="9.140625" style="147"/>
    <col min="4098" max="4098" width="31.28515625" style="147" customWidth="1"/>
    <col min="4099" max="4102" width="10.85546875" style="147" customWidth="1"/>
    <col min="4103" max="4107" width="11.140625" style="147" customWidth="1"/>
    <col min="4108" max="4108" width="13.28515625" style="147" customWidth="1"/>
    <col min="4109" max="4109" width="9.28515625" style="147" customWidth="1"/>
    <col min="4110" max="4353" width="9.140625" style="147"/>
    <col min="4354" max="4354" width="31.28515625" style="147" customWidth="1"/>
    <col min="4355" max="4358" width="10.85546875" style="147" customWidth="1"/>
    <col min="4359" max="4363" width="11.140625" style="147" customWidth="1"/>
    <col min="4364" max="4364" width="13.28515625" style="147" customWidth="1"/>
    <col min="4365" max="4365" width="9.28515625" style="147" customWidth="1"/>
    <col min="4366" max="4609" width="9.140625" style="147"/>
    <col min="4610" max="4610" width="31.28515625" style="147" customWidth="1"/>
    <col min="4611" max="4614" width="10.85546875" style="147" customWidth="1"/>
    <col min="4615" max="4619" width="11.140625" style="147" customWidth="1"/>
    <col min="4620" max="4620" width="13.28515625" style="147" customWidth="1"/>
    <col min="4621" max="4621" width="9.28515625" style="147" customWidth="1"/>
    <col min="4622" max="4865" width="9.140625" style="147"/>
    <col min="4866" max="4866" width="31.28515625" style="147" customWidth="1"/>
    <col min="4867" max="4870" width="10.85546875" style="147" customWidth="1"/>
    <col min="4871" max="4875" width="11.140625" style="147" customWidth="1"/>
    <col min="4876" max="4876" width="13.28515625" style="147" customWidth="1"/>
    <col min="4877" max="4877" width="9.28515625" style="147" customWidth="1"/>
    <col min="4878" max="5121" width="9.140625" style="147"/>
    <col min="5122" max="5122" width="31.28515625" style="147" customWidth="1"/>
    <col min="5123" max="5126" width="10.85546875" style="147" customWidth="1"/>
    <col min="5127" max="5131" width="11.140625" style="147" customWidth="1"/>
    <col min="5132" max="5132" width="13.28515625" style="147" customWidth="1"/>
    <col min="5133" max="5133" width="9.28515625" style="147" customWidth="1"/>
    <col min="5134" max="5377" width="9.140625" style="147"/>
    <col min="5378" max="5378" width="31.28515625" style="147" customWidth="1"/>
    <col min="5379" max="5382" width="10.85546875" style="147" customWidth="1"/>
    <col min="5383" max="5387" width="11.140625" style="147" customWidth="1"/>
    <col min="5388" max="5388" width="13.28515625" style="147" customWidth="1"/>
    <col min="5389" max="5389" width="9.28515625" style="147" customWidth="1"/>
    <col min="5390" max="5633" width="9.140625" style="147"/>
    <col min="5634" max="5634" width="31.28515625" style="147" customWidth="1"/>
    <col min="5635" max="5638" width="10.85546875" style="147" customWidth="1"/>
    <col min="5639" max="5643" width="11.140625" style="147" customWidth="1"/>
    <col min="5644" max="5644" width="13.28515625" style="147" customWidth="1"/>
    <col min="5645" max="5645" width="9.28515625" style="147" customWidth="1"/>
    <col min="5646" max="5889" width="9.140625" style="147"/>
    <col min="5890" max="5890" width="31.28515625" style="147" customWidth="1"/>
    <col min="5891" max="5894" width="10.85546875" style="147" customWidth="1"/>
    <col min="5895" max="5899" width="11.140625" style="147" customWidth="1"/>
    <col min="5900" max="5900" width="13.28515625" style="147" customWidth="1"/>
    <col min="5901" max="5901" width="9.28515625" style="147" customWidth="1"/>
    <col min="5902" max="6145" width="9.140625" style="147"/>
    <col min="6146" max="6146" width="31.28515625" style="147" customWidth="1"/>
    <col min="6147" max="6150" width="10.85546875" style="147" customWidth="1"/>
    <col min="6151" max="6155" width="11.140625" style="147" customWidth="1"/>
    <col min="6156" max="6156" width="13.28515625" style="147" customWidth="1"/>
    <col min="6157" max="6157" width="9.28515625" style="147" customWidth="1"/>
    <col min="6158" max="6401" width="9.140625" style="147"/>
    <col min="6402" max="6402" width="31.28515625" style="147" customWidth="1"/>
    <col min="6403" max="6406" width="10.85546875" style="147" customWidth="1"/>
    <col min="6407" max="6411" width="11.140625" style="147" customWidth="1"/>
    <col min="6412" max="6412" width="13.28515625" style="147" customWidth="1"/>
    <col min="6413" max="6413" width="9.28515625" style="147" customWidth="1"/>
    <col min="6414" max="6657" width="9.140625" style="147"/>
    <col min="6658" max="6658" width="31.28515625" style="147" customWidth="1"/>
    <col min="6659" max="6662" width="10.85546875" style="147" customWidth="1"/>
    <col min="6663" max="6667" width="11.140625" style="147" customWidth="1"/>
    <col min="6668" max="6668" width="13.28515625" style="147" customWidth="1"/>
    <col min="6669" max="6669" width="9.28515625" style="147" customWidth="1"/>
    <col min="6670" max="6913" width="9.140625" style="147"/>
    <col min="6914" max="6914" width="31.28515625" style="147" customWidth="1"/>
    <col min="6915" max="6918" width="10.85546875" style="147" customWidth="1"/>
    <col min="6919" max="6923" width="11.140625" style="147" customWidth="1"/>
    <col min="6924" max="6924" width="13.28515625" style="147" customWidth="1"/>
    <col min="6925" max="6925" width="9.28515625" style="147" customWidth="1"/>
    <col min="6926" max="7169" width="9.140625" style="147"/>
    <col min="7170" max="7170" width="31.28515625" style="147" customWidth="1"/>
    <col min="7171" max="7174" width="10.85546875" style="147" customWidth="1"/>
    <col min="7175" max="7179" width="11.140625" style="147" customWidth="1"/>
    <col min="7180" max="7180" width="13.28515625" style="147" customWidth="1"/>
    <col min="7181" max="7181" width="9.28515625" style="147" customWidth="1"/>
    <col min="7182" max="7425" width="9.140625" style="147"/>
    <col min="7426" max="7426" width="31.28515625" style="147" customWidth="1"/>
    <col min="7427" max="7430" width="10.85546875" style="147" customWidth="1"/>
    <col min="7431" max="7435" width="11.140625" style="147" customWidth="1"/>
    <col min="7436" max="7436" width="13.28515625" style="147" customWidth="1"/>
    <col min="7437" max="7437" width="9.28515625" style="147" customWidth="1"/>
    <col min="7438" max="7681" width="9.140625" style="147"/>
    <col min="7682" max="7682" width="31.28515625" style="147" customWidth="1"/>
    <col min="7683" max="7686" width="10.85546875" style="147" customWidth="1"/>
    <col min="7687" max="7691" width="11.140625" style="147" customWidth="1"/>
    <col min="7692" max="7692" width="13.28515625" style="147" customWidth="1"/>
    <col min="7693" max="7693" width="9.28515625" style="147" customWidth="1"/>
    <col min="7694" max="7937" width="9.140625" style="147"/>
    <col min="7938" max="7938" width="31.28515625" style="147" customWidth="1"/>
    <col min="7939" max="7942" width="10.85546875" style="147" customWidth="1"/>
    <col min="7943" max="7947" width="11.140625" style="147" customWidth="1"/>
    <col min="7948" max="7948" width="13.28515625" style="147" customWidth="1"/>
    <col min="7949" max="7949" width="9.28515625" style="147" customWidth="1"/>
    <col min="7950" max="8193" width="9.140625" style="147"/>
    <col min="8194" max="8194" width="31.28515625" style="147" customWidth="1"/>
    <col min="8195" max="8198" width="10.85546875" style="147" customWidth="1"/>
    <col min="8199" max="8203" width="11.140625" style="147" customWidth="1"/>
    <col min="8204" max="8204" width="13.28515625" style="147" customWidth="1"/>
    <col min="8205" max="8205" width="9.28515625" style="147" customWidth="1"/>
    <col min="8206" max="8449" width="9.140625" style="147"/>
    <col min="8450" max="8450" width="31.28515625" style="147" customWidth="1"/>
    <col min="8451" max="8454" width="10.85546875" style="147" customWidth="1"/>
    <col min="8455" max="8459" width="11.140625" style="147" customWidth="1"/>
    <col min="8460" max="8460" width="13.28515625" style="147" customWidth="1"/>
    <col min="8461" max="8461" width="9.28515625" style="147" customWidth="1"/>
    <col min="8462" max="8705" width="9.140625" style="147"/>
    <col min="8706" max="8706" width="31.28515625" style="147" customWidth="1"/>
    <col min="8707" max="8710" width="10.85546875" style="147" customWidth="1"/>
    <col min="8711" max="8715" width="11.140625" style="147" customWidth="1"/>
    <col min="8716" max="8716" width="13.28515625" style="147" customWidth="1"/>
    <col min="8717" max="8717" width="9.28515625" style="147" customWidth="1"/>
    <col min="8718" max="8961" width="9.140625" style="147"/>
    <col min="8962" max="8962" width="31.28515625" style="147" customWidth="1"/>
    <col min="8963" max="8966" width="10.85546875" style="147" customWidth="1"/>
    <col min="8967" max="8971" width="11.140625" style="147" customWidth="1"/>
    <col min="8972" max="8972" width="13.28515625" style="147" customWidth="1"/>
    <col min="8973" max="8973" width="9.28515625" style="147" customWidth="1"/>
    <col min="8974" max="9217" width="9.140625" style="147"/>
    <col min="9218" max="9218" width="31.28515625" style="147" customWidth="1"/>
    <col min="9219" max="9222" width="10.85546875" style="147" customWidth="1"/>
    <col min="9223" max="9227" width="11.140625" style="147" customWidth="1"/>
    <col min="9228" max="9228" width="13.28515625" style="147" customWidth="1"/>
    <col min="9229" max="9229" width="9.28515625" style="147" customWidth="1"/>
    <col min="9230" max="9473" width="9.140625" style="147"/>
    <col min="9474" max="9474" width="31.28515625" style="147" customWidth="1"/>
    <col min="9475" max="9478" width="10.85546875" style="147" customWidth="1"/>
    <col min="9479" max="9483" width="11.140625" style="147" customWidth="1"/>
    <col min="9484" max="9484" width="13.28515625" style="147" customWidth="1"/>
    <col min="9485" max="9485" width="9.28515625" style="147" customWidth="1"/>
    <col min="9486" max="9729" width="9.140625" style="147"/>
    <col min="9730" max="9730" width="31.28515625" style="147" customWidth="1"/>
    <col min="9731" max="9734" width="10.85546875" style="147" customWidth="1"/>
    <col min="9735" max="9739" width="11.140625" style="147" customWidth="1"/>
    <col min="9740" max="9740" width="13.28515625" style="147" customWidth="1"/>
    <col min="9741" max="9741" width="9.28515625" style="147" customWidth="1"/>
    <col min="9742" max="9985" width="9.140625" style="147"/>
    <col min="9986" max="9986" width="31.28515625" style="147" customWidth="1"/>
    <col min="9987" max="9990" width="10.85546875" style="147" customWidth="1"/>
    <col min="9991" max="9995" width="11.140625" style="147" customWidth="1"/>
    <col min="9996" max="9996" width="13.28515625" style="147" customWidth="1"/>
    <col min="9997" max="9997" width="9.28515625" style="147" customWidth="1"/>
    <col min="9998" max="10241" width="9.140625" style="147"/>
    <col min="10242" max="10242" width="31.28515625" style="147" customWidth="1"/>
    <col min="10243" max="10246" width="10.85546875" style="147" customWidth="1"/>
    <col min="10247" max="10251" width="11.140625" style="147" customWidth="1"/>
    <col min="10252" max="10252" width="13.28515625" style="147" customWidth="1"/>
    <col min="10253" max="10253" width="9.28515625" style="147" customWidth="1"/>
    <col min="10254" max="10497" width="9.140625" style="147"/>
    <col min="10498" max="10498" width="31.28515625" style="147" customWidth="1"/>
    <col min="10499" max="10502" width="10.85546875" style="147" customWidth="1"/>
    <col min="10503" max="10507" width="11.140625" style="147" customWidth="1"/>
    <col min="10508" max="10508" width="13.28515625" style="147" customWidth="1"/>
    <col min="10509" max="10509" width="9.28515625" style="147" customWidth="1"/>
    <col min="10510" max="10753" width="9.140625" style="147"/>
    <col min="10754" max="10754" width="31.28515625" style="147" customWidth="1"/>
    <col min="10755" max="10758" width="10.85546875" style="147" customWidth="1"/>
    <col min="10759" max="10763" width="11.140625" style="147" customWidth="1"/>
    <col min="10764" max="10764" width="13.28515625" style="147" customWidth="1"/>
    <col min="10765" max="10765" width="9.28515625" style="147" customWidth="1"/>
    <col min="10766" max="11009" width="9.140625" style="147"/>
    <col min="11010" max="11010" width="31.28515625" style="147" customWidth="1"/>
    <col min="11011" max="11014" width="10.85546875" style="147" customWidth="1"/>
    <col min="11015" max="11019" width="11.140625" style="147" customWidth="1"/>
    <col min="11020" max="11020" width="13.28515625" style="147" customWidth="1"/>
    <col min="11021" max="11021" width="9.28515625" style="147" customWidth="1"/>
    <col min="11022" max="11265" width="9.140625" style="147"/>
    <col min="11266" max="11266" width="31.28515625" style="147" customWidth="1"/>
    <col min="11267" max="11270" width="10.85546875" style="147" customWidth="1"/>
    <col min="11271" max="11275" width="11.140625" style="147" customWidth="1"/>
    <col min="11276" max="11276" width="13.28515625" style="147" customWidth="1"/>
    <col min="11277" max="11277" width="9.28515625" style="147" customWidth="1"/>
    <col min="11278" max="11521" width="9.140625" style="147"/>
    <col min="11522" max="11522" width="31.28515625" style="147" customWidth="1"/>
    <col min="11523" max="11526" width="10.85546875" style="147" customWidth="1"/>
    <col min="11527" max="11531" width="11.140625" style="147" customWidth="1"/>
    <col min="11532" max="11532" width="13.28515625" style="147" customWidth="1"/>
    <col min="11533" max="11533" width="9.28515625" style="147" customWidth="1"/>
    <col min="11534" max="11777" width="9.140625" style="147"/>
    <col min="11778" max="11778" width="31.28515625" style="147" customWidth="1"/>
    <col min="11779" max="11782" width="10.85546875" style="147" customWidth="1"/>
    <col min="11783" max="11787" width="11.140625" style="147" customWidth="1"/>
    <col min="11788" max="11788" width="13.28515625" style="147" customWidth="1"/>
    <col min="11789" max="11789" width="9.28515625" style="147" customWidth="1"/>
    <col min="11790" max="12033" width="9.140625" style="147"/>
    <col min="12034" max="12034" width="31.28515625" style="147" customWidth="1"/>
    <col min="12035" max="12038" width="10.85546875" style="147" customWidth="1"/>
    <col min="12039" max="12043" width="11.140625" style="147" customWidth="1"/>
    <col min="12044" max="12044" width="13.28515625" style="147" customWidth="1"/>
    <col min="12045" max="12045" width="9.28515625" style="147" customWidth="1"/>
    <col min="12046" max="12289" width="9.140625" style="147"/>
    <col min="12290" max="12290" width="31.28515625" style="147" customWidth="1"/>
    <col min="12291" max="12294" width="10.85546875" style="147" customWidth="1"/>
    <col min="12295" max="12299" width="11.140625" style="147" customWidth="1"/>
    <col min="12300" max="12300" width="13.28515625" style="147" customWidth="1"/>
    <col min="12301" max="12301" width="9.28515625" style="147" customWidth="1"/>
    <col min="12302" max="12545" width="9.140625" style="147"/>
    <col min="12546" max="12546" width="31.28515625" style="147" customWidth="1"/>
    <col min="12547" max="12550" width="10.85546875" style="147" customWidth="1"/>
    <col min="12551" max="12555" width="11.140625" style="147" customWidth="1"/>
    <col min="12556" max="12556" width="13.28515625" style="147" customWidth="1"/>
    <col min="12557" max="12557" width="9.28515625" style="147" customWidth="1"/>
    <col min="12558" max="12801" width="9.140625" style="147"/>
    <col min="12802" max="12802" width="31.28515625" style="147" customWidth="1"/>
    <col min="12803" max="12806" width="10.85546875" style="147" customWidth="1"/>
    <col min="12807" max="12811" width="11.140625" style="147" customWidth="1"/>
    <col min="12812" max="12812" width="13.28515625" style="147" customWidth="1"/>
    <col min="12813" max="12813" width="9.28515625" style="147" customWidth="1"/>
    <col min="12814" max="13057" width="9.140625" style="147"/>
    <col min="13058" max="13058" width="31.28515625" style="147" customWidth="1"/>
    <col min="13059" max="13062" width="10.85546875" style="147" customWidth="1"/>
    <col min="13063" max="13067" width="11.140625" style="147" customWidth="1"/>
    <col min="13068" max="13068" width="13.28515625" style="147" customWidth="1"/>
    <col min="13069" max="13069" width="9.28515625" style="147" customWidth="1"/>
    <col min="13070" max="13313" width="9.140625" style="147"/>
    <col min="13314" max="13314" width="31.28515625" style="147" customWidth="1"/>
    <col min="13315" max="13318" width="10.85546875" style="147" customWidth="1"/>
    <col min="13319" max="13323" width="11.140625" style="147" customWidth="1"/>
    <col min="13324" max="13324" width="13.28515625" style="147" customWidth="1"/>
    <col min="13325" max="13325" width="9.28515625" style="147" customWidth="1"/>
    <col min="13326" max="13569" width="9.140625" style="147"/>
    <col min="13570" max="13570" width="31.28515625" style="147" customWidth="1"/>
    <col min="13571" max="13574" width="10.85546875" style="147" customWidth="1"/>
    <col min="13575" max="13579" width="11.140625" style="147" customWidth="1"/>
    <col min="13580" max="13580" width="13.28515625" style="147" customWidth="1"/>
    <col min="13581" max="13581" width="9.28515625" style="147" customWidth="1"/>
    <col min="13582" max="13825" width="9.140625" style="147"/>
    <col min="13826" max="13826" width="31.28515625" style="147" customWidth="1"/>
    <col min="13827" max="13830" width="10.85546875" style="147" customWidth="1"/>
    <col min="13831" max="13835" width="11.140625" style="147" customWidth="1"/>
    <col min="13836" max="13836" width="13.28515625" style="147" customWidth="1"/>
    <col min="13837" max="13837" width="9.28515625" style="147" customWidth="1"/>
    <col min="13838" max="14081" width="9.140625" style="147"/>
    <col min="14082" max="14082" width="31.28515625" style="147" customWidth="1"/>
    <col min="14083" max="14086" width="10.85546875" style="147" customWidth="1"/>
    <col min="14087" max="14091" width="11.140625" style="147" customWidth="1"/>
    <col min="14092" max="14092" width="13.28515625" style="147" customWidth="1"/>
    <col min="14093" max="14093" width="9.28515625" style="147" customWidth="1"/>
    <col min="14094" max="14337" width="9.140625" style="147"/>
    <col min="14338" max="14338" width="31.28515625" style="147" customWidth="1"/>
    <col min="14339" max="14342" width="10.85546875" style="147" customWidth="1"/>
    <col min="14343" max="14347" width="11.140625" style="147" customWidth="1"/>
    <col min="14348" max="14348" width="13.28515625" style="147" customWidth="1"/>
    <col min="14349" max="14349" width="9.28515625" style="147" customWidth="1"/>
    <col min="14350" max="14593" width="9.140625" style="147"/>
    <col min="14594" max="14594" width="31.28515625" style="147" customWidth="1"/>
    <col min="14595" max="14598" width="10.85546875" style="147" customWidth="1"/>
    <col min="14599" max="14603" width="11.140625" style="147" customWidth="1"/>
    <col min="14604" max="14604" width="13.28515625" style="147" customWidth="1"/>
    <col min="14605" max="14605" width="9.28515625" style="147" customWidth="1"/>
    <col min="14606" max="14849" width="9.140625" style="147"/>
    <col min="14850" max="14850" width="31.28515625" style="147" customWidth="1"/>
    <col min="14851" max="14854" width="10.85546875" style="147" customWidth="1"/>
    <col min="14855" max="14859" width="11.140625" style="147" customWidth="1"/>
    <col min="14860" max="14860" width="13.28515625" style="147" customWidth="1"/>
    <col min="14861" max="14861" width="9.28515625" style="147" customWidth="1"/>
    <col min="14862" max="15105" width="9.140625" style="147"/>
    <col min="15106" max="15106" width="31.28515625" style="147" customWidth="1"/>
    <col min="15107" max="15110" width="10.85546875" style="147" customWidth="1"/>
    <col min="15111" max="15115" width="11.140625" style="147" customWidth="1"/>
    <col min="15116" max="15116" width="13.28515625" style="147" customWidth="1"/>
    <col min="15117" max="15117" width="9.28515625" style="147" customWidth="1"/>
    <col min="15118" max="15361" width="9.140625" style="147"/>
    <col min="15362" max="15362" width="31.28515625" style="147" customWidth="1"/>
    <col min="15363" max="15366" width="10.85546875" style="147" customWidth="1"/>
    <col min="15367" max="15371" width="11.140625" style="147" customWidth="1"/>
    <col min="15372" max="15372" width="13.28515625" style="147" customWidth="1"/>
    <col min="15373" max="15373" width="9.28515625" style="147" customWidth="1"/>
    <col min="15374" max="15617" width="9.140625" style="147"/>
    <col min="15618" max="15618" width="31.28515625" style="147" customWidth="1"/>
    <col min="15619" max="15622" width="10.85546875" style="147" customWidth="1"/>
    <col min="15623" max="15627" width="11.140625" style="147" customWidth="1"/>
    <col min="15628" max="15628" width="13.28515625" style="147" customWidth="1"/>
    <col min="15629" max="15629" width="9.28515625" style="147" customWidth="1"/>
    <col min="15630" max="15873" width="9.140625" style="147"/>
    <col min="15874" max="15874" width="31.28515625" style="147" customWidth="1"/>
    <col min="15875" max="15878" width="10.85546875" style="147" customWidth="1"/>
    <col min="15879" max="15883" width="11.140625" style="147" customWidth="1"/>
    <col min="15884" max="15884" width="13.28515625" style="147" customWidth="1"/>
    <col min="15885" max="15885" width="9.28515625" style="147" customWidth="1"/>
    <col min="15886" max="16129" width="9.140625" style="147"/>
    <col min="16130" max="16130" width="31.28515625" style="147" customWidth="1"/>
    <col min="16131" max="16134" width="10.85546875" style="147" customWidth="1"/>
    <col min="16135" max="16139" width="11.140625" style="147" customWidth="1"/>
    <col min="16140" max="16140" width="13.28515625" style="147" customWidth="1"/>
    <col min="16141" max="16141" width="9.28515625" style="147" customWidth="1"/>
    <col min="16142" max="16384" width="9.140625" style="147"/>
  </cols>
  <sheetData>
    <row r="1" spans="1:18" s="564" customFormat="1" ht="23.25" x14ac:dyDescent="0.35">
      <c r="A1" s="564" t="s">
        <v>552</v>
      </c>
    </row>
    <row r="2" spans="1:18" ht="15" x14ac:dyDescent="0.25">
      <c r="A2" s="149" t="s">
        <v>279</v>
      </c>
      <c r="B2" s="149"/>
      <c r="J2" s="148"/>
      <c r="K2" s="148"/>
      <c r="L2" s="148"/>
    </row>
    <row r="4" spans="1:18" ht="13.5" thickBot="1" x14ac:dyDescent="0.25">
      <c r="A4" s="150" t="s">
        <v>286</v>
      </c>
      <c r="B4" s="150"/>
      <c r="C4" s="151"/>
      <c r="E4" s="150" t="s">
        <v>280</v>
      </c>
      <c r="F4" s="150"/>
      <c r="G4" s="151"/>
      <c r="H4" s="151"/>
      <c r="J4" s="150" t="s">
        <v>281</v>
      </c>
      <c r="K4" s="150"/>
      <c r="L4" s="151"/>
    </row>
    <row r="5" spans="1:18" x14ac:dyDescent="0.2">
      <c r="A5" s="152" t="s">
        <v>289</v>
      </c>
      <c r="B5" s="152"/>
      <c r="C5" s="442">
        <f>C6+C7*C8</f>
        <v>0.1143</v>
      </c>
      <c r="E5" s="152"/>
      <c r="F5" s="152"/>
      <c r="G5" s="152"/>
      <c r="H5" s="152"/>
      <c r="J5" s="154" t="s">
        <v>282</v>
      </c>
      <c r="K5" s="154"/>
      <c r="L5" s="155">
        <f>H8/(H8+H9)</f>
        <v>0.41124549594720994</v>
      </c>
    </row>
    <row r="6" spans="1:18" x14ac:dyDescent="0.2">
      <c r="A6" s="152" t="s">
        <v>292</v>
      </c>
      <c r="B6" s="152"/>
      <c r="C6" s="313">
        <v>4.4999999999999998E-2</v>
      </c>
      <c r="E6" s="802" t="s">
        <v>283</v>
      </c>
      <c r="F6" s="802"/>
      <c r="G6" s="152"/>
      <c r="H6" s="314">
        <v>33.950000000000003</v>
      </c>
      <c r="J6" s="156" t="s">
        <v>284</v>
      </c>
      <c r="K6" s="156"/>
      <c r="L6" s="155">
        <f>H9/(H8+H9)</f>
        <v>0.58875450405279006</v>
      </c>
    </row>
    <row r="7" spans="1:18" x14ac:dyDescent="0.2">
      <c r="A7" s="152" t="s">
        <v>294</v>
      </c>
      <c r="B7" s="152"/>
      <c r="C7" s="163">
        <v>0.99</v>
      </c>
      <c r="E7" s="802" t="s">
        <v>285</v>
      </c>
      <c r="F7" s="802"/>
      <c r="G7" s="152"/>
      <c r="H7" s="157">
        <f>IS!N70/10^6</f>
        <v>108.38899600000001</v>
      </c>
      <c r="J7" s="156"/>
      <c r="K7" s="156"/>
      <c r="L7" s="152"/>
    </row>
    <row r="8" spans="1:18" x14ac:dyDescent="0.2">
      <c r="A8" s="152" t="s">
        <v>297</v>
      </c>
      <c r="B8" s="152"/>
      <c r="C8" s="153">
        <v>7.0000000000000007E-2</v>
      </c>
      <c r="E8" s="802" t="s">
        <v>287</v>
      </c>
      <c r="F8" s="802"/>
      <c r="G8" s="152"/>
      <c r="H8" s="158">
        <f>H7*H6</f>
        <v>3679.8064142000003</v>
      </c>
      <c r="J8" s="156" t="s">
        <v>288</v>
      </c>
      <c r="K8" s="156"/>
      <c r="L8" s="159">
        <v>7.0000000000000007E-2</v>
      </c>
      <c r="M8" s="160"/>
      <c r="N8" s="160"/>
      <c r="O8" s="160"/>
    </row>
    <row r="9" spans="1:18" x14ac:dyDescent="0.2">
      <c r="E9" s="802" t="s">
        <v>290</v>
      </c>
      <c r="F9" s="802"/>
      <c r="G9" s="152"/>
      <c r="H9" s="161">
        <f>BS!J38</f>
        <v>5268.1491268677692</v>
      </c>
      <c r="I9" s="148"/>
      <c r="J9" s="156" t="s">
        <v>291</v>
      </c>
      <c r="K9" s="156"/>
      <c r="L9" s="162">
        <v>0.55000000000000004</v>
      </c>
      <c r="M9" s="160"/>
      <c r="N9" s="160"/>
      <c r="O9" s="160"/>
    </row>
    <row r="10" spans="1:18" x14ac:dyDescent="0.2">
      <c r="E10" s="802" t="s">
        <v>293</v>
      </c>
      <c r="F10" s="802"/>
      <c r="G10" s="802"/>
      <c r="H10" s="161">
        <f>BS!J24</f>
        <v>2715.6322791181046</v>
      </c>
      <c r="M10" s="160"/>
      <c r="N10" s="455"/>
      <c r="O10" s="160"/>
    </row>
    <row r="11" spans="1:18" ht="13.5" thickBot="1" x14ac:dyDescent="0.25">
      <c r="E11" s="802" t="s">
        <v>295</v>
      </c>
      <c r="F11" s="802"/>
      <c r="G11" s="152"/>
      <c r="H11" s="444">
        <f>H9-H10</f>
        <v>2552.5168477496645</v>
      </c>
      <c r="J11" s="150" t="s">
        <v>296</v>
      </c>
      <c r="K11" s="150"/>
      <c r="L11" s="151"/>
      <c r="M11" s="160"/>
      <c r="N11" s="456"/>
      <c r="O11" s="160"/>
    </row>
    <row r="12" spans="1:18" x14ac:dyDescent="0.2">
      <c r="E12" s="802" t="s">
        <v>298</v>
      </c>
      <c r="F12" s="802"/>
      <c r="G12" s="802"/>
      <c r="H12" s="164">
        <f>H8+H11</f>
        <v>6232.3232619496648</v>
      </c>
      <c r="J12" s="154" t="s">
        <v>299</v>
      </c>
      <c r="K12" s="154"/>
      <c r="L12" s="315">
        <f>C5*L5+L8*(1-L9)*L6</f>
        <v>6.5551127064428991E-2</v>
      </c>
      <c r="M12" s="443"/>
    </row>
    <row r="14" spans="1:18" ht="13.5" thickBot="1" x14ac:dyDescent="0.25">
      <c r="A14" s="150" t="s">
        <v>300</v>
      </c>
      <c r="B14" s="150"/>
      <c r="C14" s="165"/>
      <c r="D14" s="166"/>
      <c r="E14" s="166"/>
      <c r="F14" s="166"/>
      <c r="G14" s="166"/>
      <c r="H14" s="166"/>
      <c r="I14" s="166"/>
      <c r="J14" s="166"/>
      <c r="K14" s="166"/>
      <c r="L14" s="166"/>
    </row>
    <row r="15" spans="1:18" ht="25.5" customHeight="1" x14ac:dyDescent="0.2">
      <c r="C15" s="584"/>
      <c r="D15" s="803" t="s">
        <v>301</v>
      </c>
      <c r="E15" s="804"/>
      <c r="F15" s="805"/>
      <c r="G15" s="466" t="s">
        <v>302</v>
      </c>
      <c r="H15" s="585"/>
      <c r="I15" s="585"/>
      <c r="J15" s="585"/>
      <c r="K15" s="585"/>
      <c r="L15" s="168"/>
      <c r="M15" s="167"/>
      <c r="N15" s="167"/>
      <c r="O15" s="167"/>
      <c r="P15" s="167"/>
      <c r="Q15" s="167"/>
      <c r="R15" s="168"/>
    </row>
    <row r="16" spans="1:18" ht="13.5" customHeight="1" thickBot="1" x14ac:dyDescent="0.25">
      <c r="B16" s="165">
        <f>CFS!E1</f>
        <v>2018</v>
      </c>
      <c r="C16" s="165" t="str">
        <f>CFS!F1</f>
        <v>2019 E</v>
      </c>
      <c r="D16" s="165" t="str">
        <f>CFS!G1</f>
        <v>2020 E</v>
      </c>
      <c r="E16" s="165" t="str">
        <f>CFS!H1</f>
        <v>2021 E</v>
      </c>
      <c r="F16" s="165" t="str">
        <f>CFS!I1</f>
        <v>2022 E</v>
      </c>
      <c r="G16" s="165" t="str">
        <f>CFS!J1</f>
        <v>2023 E</v>
      </c>
      <c r="H16" s="586"/>
      <c r="I16" s="586"/>
      <c r="J16" s="586"/>
      <c r="K16" s="586"/>
      <c r="L16" s="586"/>
      <c r="M16" s="169"/>
      <c r="N16" s="169"/>
      <c r="O16" s="169"/>
      <c r="P16" s="169"/>
      <c r="Q16" s="169"/>
      <c r="R16" s="169"/>
    </row>
    <row r="17" spans="1:19" ht="13.5" customHeight="1" x14ac:dyDescent="0.2">
      <c r="C17" s="460">
        <f t="shared" ref="C17" si="0">C18/B18-1</f>
        <v>3.4047956598951989E-2</v>
      </c>
      <c r="D17" s="460">
        <f>D18/C18-1</f>
        <v>1.9798013835305106E-2</v>
      </c>
      <c r="E17" s="460">
        <f>E18/D18-1</f>
        <v>2.0429710744136464E-2</v>
      </c>
      <c r="F17" s="460">
        <f t="shared" ref="F17:G17" si="1">F18/E18-1</f>
        <v>1.8776225851969697E-2</v>
      </c>
      <c r="G17" s="460">
        <f t="shared" si="1"/>
        <v>1.3251240231800576E-2</v>
      </c>
      <c r="H17" s="168"/>
      <c r="I17" s="168"/>
      <c r="J17" s="168"/>
      <c r="K17" s="168"/>
      <c r="L17" s="168"/>
      <c r="M17" s="168"/>
      <c r="N17" s="168"/>
      <c r="O17" s="168"/>
      <c r="P17" s="168"/>
      <c r="Q17" s="168"/>
      <c r="R17" s="168"/>
    </row>
    <row r="18" spans="1:19" ht="13.5" customHeight="1" x14ac:dyDescent="0.2">
      <c r="A18" s="170" t="s">
        <v>303</v>
      </c>
      <c r="B18" s="171">
        <f>IS!I6</f>
        <v>37136</v>
      </c>
      <c r="C18" s="171">
        <f>IS!J6</f>
        <v>38400.404916258682</v>
      </c>
      <c r="D18" s="171">
        <f>IS!K6</f>
        <v>39160.656664072092</v>
      </c>
      <c r="E18" s="171">
        <f>IS!L6</f>
        <v>39960.697552269528</v>
      </c>
      <c r="F18" s="171">
        <f>IS!M6</f>
        <v>40711.008634713195</v>
      </c>
      <c r="G18" s="171">
        <f>IS!N6</f>
        <v>41250.479990210682</v>
      </c>
      <c r="H18" s="172"/>
      <c r="I18" s="172"/>
      <c r="J18" s="172"/>
      <c r="K18" s="172"/>
      <c r="L18" s="172"/>
      <c r="M18" s="172"/>
      <c r="N18" s="172"/>
      <c r="O18" s="172"/>
      <c r="P18" s="172"/>
      <c r="Q18" s="172"/>
      <c r="R18" s="172"/>
    </row>
    <row r="19" spans="1:19" ht="13.5" customHeight="1" x14ac:dyDescent="0.2">
      <c r="A19" s="170" t="s">
        <v>304</v>
      </c>
      <c r="B19" s="171">
        <f>IS!I19+CFS!E8</f>
        <v>1866</v>
      </c>
      <c r="C19" s="171">
        <f>IS!J19+CFS!F8</f>
        <v>1880.4085910619597</v>
      </c>
      <c r="D19" s="171">
        <f>IS!K19+CFS!G8</f>
        <v>1906.056663466617</v>
      </c>
      <c r="E19" s="171">
        <f>IS!L19+CFS!H8</f>
        <v>1933.1799850360371</v>
      </c>
      <c r="F19" s="171">
        <f>IS!M19+CFS!I8</f>
        <v>1945.4003273513508</v>
      </c>
      <c r="G19" s="171">
        <f>IS!N19+CFS!J8</f>
        <v>1958.9810253409228</v>
      </c>
      <c r="H19" s="172"/>
      <c r="I19" s="172"/>
      <c r="J19" s="172"/>
      <c r="K19" s="172"/>
      <c r="L19" s="172"/>
      <c r="M19" s="172"/>
      <c r="N19" s="172"/>
      <c r="O19" s="172"/>
      <c r="P19" s="172"/>
      <c r="Q19" s="172"/>
      <c r="R19" s="172"/>
    </row>
    <row r="20" spans="1:19" ht="13.5" customHeight="1" x14ac:dyDescent="0.2">
      <c r="A20" s="173" t="s">
        <v>305</v>
      </c>
      <c r="B20" s="171">
        <f>IS!I25</f>
        <v>835</v>
      </c>
      <c r="C20" s="171">
        <f>IS!J25</f>
        <v>1024.9068072149453</v>
      </c>
      <c r="D20" s="171">
        <f>IS!K25</f>
        <v>1096.498386594018</v>
      </c>
      <c r="E20" s="171">
        <f>IS!L25</f>
        <v>1058.9584851351422</v>
      </c>
      <c r="F20" s="171">
        <f>IS!M25</f>
        <v>1078.8417288199016</v>
      </c>
      <c r="G20" s="171">
        <f>IS!N25</f>
        <v>1093.1377197405839</v>
      </c>
      <c r="H20" s="172"/>
      <c r="I20" s="172"/>
      <c r="J20" s="172"/>
      <c r="K20" s="172"/>
      <c r="L20" s="172"/>
      <c r="M20" s="172"/>
      <c r="N20" s="172"/>
      <c r="O20" s="172"/>
      <c r="P20" s="172"/>
      <c r="Q20" s="172"/>
      <c r="R20" s="172"/>
    </row>
    <row r="21" spans="1:19" ht="13.5" customHeight="1" x14ac:dyDescent="0.2">
      <c r="A21" s="174" t="s">
        <v>306</v>
      </c>
      <c r="B21" s="175">
        <f>IS!I37</f>
        <v>-204</v>
      </c>
      <c r="C21" s="175">
        <f>IS!J37</f>
        <v>-306.97944381773362</v>
      </c>
      <c r="D21" s="175">
        <f>IS!K37</f>
        <v>-360.24100027890222</v>
      </c>
      <c r="E21" s="175">
        <f>IS!L37</f>
        <v>-350.36456169816734</v>
      </c>
      <c r="F21" s="175">
        <f>IS!M37</f>
        <v>-369.77469445089201</v>
      </c>
      <c r="G21" s="175">
        <f>IS!N37</f>
        <v>-371.3188791621285</v>
      </c>
      <c r="H21" s="172"/>
      <c r="I21" s="172"/>
      <c r="J21" s="172"/>
      <c r="K21" s="172"/>
      <c r="L21" s="172"/>
      <c r="M21" s="172"/>
      <c r="N21" s="172"/>
      <c r="O21" s="172"/>
      <c r="P21" s="172"/>
      <c r="Q21" s="172"/>
      <c r="R21" s="172"/>
    </row>
    <row r="22" spans="1:19" ht="13.5" customHeight="1" x14ac:dyDescent="0.2">
      <c r="A22" s="152" t="s">
        <v>307</v>
      </c>
      <c r="B22" s="171">
        <f>B20*(1-L9)</f>
        <v>375.74999999999994</v>
      </c>
      <c r="C22" s="171">
        <f>C20*(1-M9)</f>
        <v>1024.9068072149453</v>
      </c>
      <c r="D22" s="171">
        <f t="shared" ref="D22:F22" si="2">D20*(1-N9)</f>
        <v>1096.498386594018</v>
      </c>
      <c r="E22" s="171">
        <f t="shared" si="2"/>
        <v>1058.9584851351422</v>
      </c>
      <c r="F22" s="171">
        <f t="shared" si="2"/>
        <v>1078.8417288199016</v>
      </c>
      <c r="G22" s="171">
        <f>G20*(1-Q9)</f>
        <v>1093.1377197405839</v>
      </c>
      <c r="H22" s="172"/>
      <c r="I22" s="172"/>
      <c r="J22" s="172"/>
      <c r="K22" s="172"/>
      <c r="L22" s="172"/>
      <c r="M22" s="172"/>
      <c r="N22" s="172"/>
      <c r="O22" s="172"/>
      <c r="P22" s="172"/>
      <c r="Q22" s="172"/>
      <c r="R22" s="172"/>
    </row>
    <row r="23" spans="1:19" ht="13.5" customHeight="1" x14ac:dyDescent="0.2">
      <c r="A23" s="170" t="s">
        <v>308</v>
      </c>
      <c r="B23" s="171">
        <f>-DEP!E45</f>
        <v>656</v>
      </c>
      <c r="C23" s="171">
        <f>-DEP!F45</f>
        <v>613.19522882542196</v>
      </c>
      <c r="D23" s="171">
        <f>-DEP!G45</f>
        <v>613.75499355223872</v>
      </c>
      <c r="E23" s="171">
        <f>-DEP!H45</f>
        <v>614.47696581114303</v>
      </c>
      <c r="F23" s="171">
        <f>-DEP!I45</f>
        <v>601.93704240581371</v>
      </c>
      <c r="G23" s="171">
        <f>-DEP!J45</f>
        <v>597.71518566396946</v>
      </c>
      <c r="H23" s="172"/>
      <c r="I23" s="172"/>
      <c r="J23" s="172"/>
      <c r="K23" s="800"/>
      <c r="L23" s="800"/>
      <c r="M23" s="800"/>
      <c r="N23" s="800"/>
      <c r="O23" s="800"/>
      <c r="P23" s="800"/>
      <c r="Q23" s="800"/>
      <c r="R23" s="800"/>
      <c r="S23" s="800"/>
    </row>
    <row r="24" spans="1:19" ht="13.5" customHeight="1" x14ac:dyDescent="0.2">
      <c r="A24" s="174" t="s">
        <v>309</v>
      </c>
      <c r="B24" s="175">
        <f>CFS!E23</f>
        <v>-192</v>
      </c>
      <c r="C24" s="175">
        <f>BS!F69</f>
        <v>-49.622737340042477</v>
      </c>
      <c r="D24" s="175">
        <f>BS!G69</f>
        <v>-233.03886448158937</v>
      </c>
      <c r="E24" s="175">
        <f>BS!H69</f>
        <v>-250.34417402188319</v>
      </c>
      <c r="F24" s="175">
        <f>BS!I69</f>
        <v>-259.83818091365083</v>
      </c>
      <c r="G24" s="175">
        <f>BS!J69</f>
        <v>-267.89245271200343</v>
      </c>
      <c r="H24" s="587"/>
      <c r="I24" s="587"/>
      <c r="J24" s="769"/>
      <c r="K24" s="770"/>
      <c r="L24" s="770"/>
      <c r="M24" s="770"/>
      <c r="N24" s="771"/>
      <c r="O24" s="771"/>
      <c r="P24" s="772"/>
      <c r="Q24" s="772"/>
      <c r="R24" s="772"/>
      <c r="S24" s="772"/>
    </row>
    <row r="25" spans="1:19" ht="13.5" customHeight="1" x14ac:dyDescent="0.2">
      <c r="A25" s="152" t="s">
        <v>310</v>
      </c>
      <c r="B25" s="171">
        <f>B22+B23+B24</f>
        <v>839.75</v>
      </c>
      <c r="C25" s="171">
        <f>C22+C23+C24</f>
        <v>1588.4792987003248</v>
      </c>
      <c r="D25" s="171">
        <f t="shared" ref="D25:F25" si="3">D22+D23+D24</f>
        <v>1477.2145156646675</v>
      </c>
      <c r="E25" s="171">
        <f t="shared" si="3"/>
        <v>1423.0912769244019</v>
      </c>
      <c r="F25" s="171">
        <f t="shared" si="3"/>
        <v>1420.9405903120646</v>
      </c>
      <c r="G25" s="171">
        <f>G22+G23+G24</f>
        <v>1422.96045269255</v>
      </c>
      <c r="H25" s="172"/>
      <c r="I25" s="801"/>
      <c r="J25" s="771"/>
      <c r="K25" s="765"/>
      <c r="L25" s="765"/>
      <c r="M25" s="765"/>
      <c r="N25" s="765"/>
      <c r="O25" s="765"/>
      <c r="P25" s="765"/>
      <c r="Q25" s="765"/>
      <c r="R25" s="765"/>
      <c r="S25" s="766"/>
    </row>
    <row r="26" spans="1:19" ht="13.5" customHeight="1" x14ac:dyDescent="0.2">
      <c r="A26" s="174" t="s">
        <v>311</v>
      </c>
      <c r="B26" s="175">
        <f>DEP!E29</f>
        <v>-1185</v>
      </c>
      <c r="C26" s="175">
        <f>DEP!F29</f>
        <v>-1021.99204804237</v>
      </c>
      <c r="D26" s="175">
        <f>DEP!G29</f>
        <v>-1022.9249892537313</v>
      </c>
      <c r="E26" s="175">
        <f>DEP!H29</f>
        <v>-1024.128276351905</v>
      </c>
      <c r="F26" s="175">
        <f>DEP!I29</f>
        <v>-1003.2284040096895</v>
      </c>
      <c r="G26" s="175">
        <f>DEP!J29</f>
        <v>-996.19197610661581</v>
      </c>
      <c r="H26" s="172"/>
      <c r="I26" s="801"/>
      <c r="J26" s="771"/>
      <c r="K26" s="765"/>
      <c r="L26" s="765"/>
      <c r="M26" s="765"/>
      <c r="N26" s="765"/>
      <c r="O26" s="765"/>
      <c r="P26" s="765"/>
      <c r="Q26" s="765"/>
      <c r="R26" s="765"/>
      <c r="S26" s="766"/>
    </row>
    <row r="27" spans="1:19" s="148" customFormat="1" ht="13.5" customHeight="1" x14ac:dyDescent="0.2">
      <c r="A27" s="565"/>
      <c r="B27" s="172"/>
      <c r="C27" s="172"/>
      <c r="D27" s="172"/>
      <c r="E27" s="172"/>
      <c r="F27" s="172"/>
      <c r="G27" s="172"/>
      <c r="H27" s="172"/>
      <c r="I27" s="801"/>
      <c r="J27" s="771"/>
      <c r="K27" s="765"/>
      <c r="L27" s="765"/>
      <c r="M27" s="765"/>
      <c r="N27" s="765"/>
      <c r="O27" s="765"/>
      <c r="P27" s="765"/>
      <c r="Q27" s="765"/>
      <c r="R27" s="765"/>
      <c r="S27" s="767"/>
    </row>
    <row r="28" spans="1:19" ht="13.5" customHeight="1" x14ac:dyDescent="0.2">
      <c r="A28" s="152" t="s">
        <v>312</v>
      </c>
      <c r="B28" s="171">
        <f t="shared" ref="B28:G28" si="4">B25+B26+B27</f>
        <v>-345.25</v>
      </c>
      <c r="C28" s="171">
        <f>C25+C26+C27</f>
        <v>566.48725065795475</v>
      </c>
      <c r="D28" s="171">
        <f t="shared" si="4"/>
        <v>454.28952641093622</v>
      </c>
      <c r="E28" s="171">
        <f t="shared" si="4"/>
        <v>398.96300057249687</v>
      </c>
      <c r="F28" s="171">
        <f t="shared" si="4"/>
        <v>417.71218630237513</v>
      </c>
      <c r="G28" s="171">
        <f t="shared" si="4"/>
        <v>426.7684765859342</v>
      </c>
      <c r="H28" s="172"/>
      <c r="I28" s="801"/>
      <c r="J28" s="771"/>
      <c r="K28" s="765"/>
      <c r="L28" s="765"/>
      <c r="M28" s="765"/>
      <c r="N28" s="765"/>
      <c r="O28" s="765"/>
      <c r="P28" s="765"/>
      <c r="Q28" s="765"/>
      <c r="R28" s="765"/>
      <c r="S28" s="766"/>
    </row>
    <row r="29" spans="1:19" ht="12.75" customHeight="1" x14ac:dyDescent="0.2">
      <c r="B29" s="176"/>
      <c r="C29" s="176"/>
      <c r="D29" s="176"/>
      <c r="E29" s="176"/>
      <c r="F29" s="176"/>
      <c r="G29" s="176"/>
      <c r="H29" s="588"/>
      <c r="I29" s="801"/>
      <c r="J29" s="771"/>
      <c r="K29" s="765"/>
      <c r="L29" s="765"/>
      <c r="M29" s="765"/>
      <c r="N29" s="765"/>
      <c r="O29" s="877"/>
      <c r="P29" s="765"/>
      <c r="Q29" s="765"/>
      <c r="R29" s="765"/>
      <c r="S29" s="766"/>
    </row>
    <row r="30" spans="1:19" x14ac:dyDescent="0.2">
      <c r="A30" s="152" t="s">
        <v>472</v>
      </c>
      <c r="B30" s="177">
        <f>$H$7</f>
        <v>108.38899600000001</v>
      </c>
      <c r="C30" s="177">
        <f>$H$7</f>
        <v>108.38899600000001</v>
      </c>
      <c r="D30" s="178">
        <f>C30</f>
        <v>108.38899600000001</v>
      </c>
      <c r="E30" s="178">
        <f t="shared" ref="E30:G30" si="5">D30</f>
        <v>108.38899600000001</v>
      </c>
      <c r="F30" s="178">
        <f t="shared" si="5"/>
        <v>108.38899600000001</v>
      </c>
      <c r="G30" s="178">
        <f t="shared" si="5"/>
        <v>108.38899600000001</v>
      </c>
      <c r="H30" s="589"/>
      <c r="I30" s="801"/>
      <c r="J30" s="771"/>
      <c r="K30" s="765"/>
      <c r="L30" s="765"/>
      <c r="M30" s="765"/>
      <c r="N30" s="765"/>
      <c r="O30" s="765"/>
      <c r="P30" s="765"/>
      <c r="Q30" s="765"/>
      <c r="R30" s="765"/>
      <c r="S30" s="766"/>
    </row>
    <row r="31" spans="1:19" x14ac:dyDescent="0.2">
      <c r="H31" s="168"/>
      <c r="I31" s="801"/>
      <c r="J31" s="771"/>
      <c r="K31" s="768"/>
      <c r="L31" s="768"/>
      <c r="M31" s="765"/>
      <c r="N31" s="765"/>
      <c r="O31" s="765"/>
      <c r="P31" s="765"/>
      <c r="Q31" s="765"/>
      <c r="R31" s="765"/>
      <c r="S31" s="766"/>
    </row>
    <row r="32" spans="1:19" x14ac:dyDescent="0.2">
      <c r="A32" s="152" t="s">
        <v>313</v>
      </c>
      <c r="B32" s="152"/>
      <c r="C32" s="147">
        <v>1</v>
      </c>
      <c r="D32" s="179">
        <v>2</v>
      </c>
      <c r="E32" s="179">
        <f>D32+1</f>
        <v>3</v>
      </c>
      <c r="F32" s="179">
        <f t="shared" ref="F32:G32" si="6">E32+1</f>
        <v>4</v>
      </c>
      <c r="G32" s="179">
        <f t="shared" si="6"/>
        <v>5</v>
      </c>
      <c r="H32" s="583"/>
      <c r="I32" s="801"/>
      <c r="J32" s="771"/>
      <c r="K32" s="768"/>
      <c r="L32" s="768"/>
      <c r="M32" s="765"/>
      <c r="N32" s="765"/>
      <c r="O32" s="765"/>
      <c r="P32" s="765"/>
      <c r="Q32" s="765"/>
      <c r="R32" s="765"/>
      <c r="S32" s="766"/>
    </row>
    <row r="33" spans="1:19" x14ac:dyDescent="0.2">
      <c r="A33" s="174" t="s">
        <v>314</v>
      </c>
      <c r="B33" s="174"/>
      <c r="C33" s="180">
        <f>1/(1+wacc)^C32</f>
        <v>0.93848148117958363</v>
      </c>
      <c r="D33" s="180">
        <f>1/(1+wacc)^D32</f>
        <v>0.88074749051702517</v>
      </c>
      <c r="E33" s="180">
        <f>1/(1+wacc)^E32</f>
        <v>0.82656520944561906</v>
      </c>
      <c r="F33" s="180">
        <f>1/(1+wacc)^F32</f>
        <v>0.77571614205203743</v>
      </c>
      <c r="G33" s="180">
        <f>1/(1+wacc)^G32</f>
        <v>0.72799523396790844</v>
      </c>
      <c r="H33" s="590"/>
      <c r="I33" s="801"/>
      <c r="J33" s="771"/>
      <c r="K33" s="765"/>
      <c r="L33" s="765"/>
      <c r="M33" s="765"/>
      <c r="N33" s="765"/>
      <c r="O33" s="765"/>
      <c r="P33" s="765"/>
      <c r="Q33" s="765"/>
      <c r="R33" s="765"/>
      <c r="S33" s="766"/>
    </row>
    <row r="34" spans="1:19" x14ac:dyDescent="0.2">
      <c r="A34" s="181" t="s">
        <v>315</v>
      </c>
      <c r="B34" s="181"/>
      <c r="C34" s="183">
        <f>C33*C28</f>
        <v>531.63779406682738</v>
      </c>
      <c r="D34" s="183">
        <f>D33*D28</f>
        <v>400.11436035459991</v>
      </c>
      <c r="E34" s="183">
        <f>E33*E28</f>
        <v>329.76893612925852</v>
      </c>
      <c r="F34" s="183">
        <f t="shared" ref="F34:G34" si="7">F33*F28</f>
        <v>324.02608564660034</v>
      </c>
      <c r="G34" s="183">
        <f t="shared" si="7"/>
        <v>310.685416962305</v>
      </c>
      <c r="H34" s="591"/>
      <c r="I34" s="591"/>
      <c r="J34" s="591"/>
      <c r="K34" s="591"/>
      <c r="L34" s="591"/>
      <c r="M34" s="172"/>
      <c r="N34" s="172"/>
      <c r="O34" s="172"/>
      <c r="P34" s="172"/>
      <c r="Q34" s="172"/>
      <c r="R34" s="172"/>
    </row>
    <row r="35" spans="1:19" ht="13.5" thickBot="1" x14ac:dyDescent="0.25">
      <c r="A35" s="181"/>
      <c r="B35" s="181"/>
      <c r="C35" s="182"/>
      <c r="D35" s="183"/>
      <c r="E35" s="183"/>
      <c r="F35" s="183"/>
      <c r="G35" s="183"/>
      <c r="H35" s="591"/>
      <c r="I35" s="591"/>
      <c r="J35" s="591"/>
      <c r="K35" s="591"/>
      <c r="L35" s="591"/>
      <c r="M35" s="172"/>
      <c r="N35" s="172"/>
      <c r="O35" s="172"/>
      <c r="P35" s="172"/>
      <c r="Q35" s="172"/>
      <c r="R35" s="172"/>
    </row>
    <row r="36" spans="1:19" x14ac:dyDescent="0.2">
      <c r="A36" s="566" t="s">
        <v>316</v>
      </c>
      <c r="B36" s="567"/>
      <c r="C36" s="568"/>
      <c r="D36" s="569"/>
      <c r="E36" s="569"/>
      <c r="F36" s="569"/>
      <c r="G36" s="570"/>
      <c r="H36" s="148"/>
      <c r="I36" s="148"/>
      <c r="J36" s="148"/>
      <c r="K36" s="148"/>
      <c r="L36" s="148"/>
      <c r="M36" s="172"/>
      <c r="N36" s="172"/>
      <c r="O36" s="172"/>
      <c r="P36" s="172"/>
      <c r="Q36" s="172"/>
      <c r="R36" s="172"/>
    </row>
    <row r="37" spans="1:19" x14ac:dyDescent="0.2">
      <c r="A37" s="571" t="s">
        <v>303</v>
      </c>
      <c r="B37" s="572"/>
      <c r="C37" s="572">
        <f t="shared" ref="C37:D39" si="8">C18/B18-1</f>
        <v>3.4047956598951989E-2</v>
      </c>
      <c r="D37" s="572">
        <f t="shared" si="8"/>
        <v>1.9798013835305106E-2</v>
      </c>
      <c r="E37" s="572">
        <f t="shared" ref="E37:G37" si="9">E18/D18-1</f>
        <v>2.0429710744136464E-2</v>
      </c>
      <c r="F37" s="572">
        <f t="shared" si="9"/>
        <v>1.8776225851969697E-2</v>
      </c>
      <c r="G37" s="573">
        <f t="shared" si="9"/>
        <v>1.3251240231800576E-2</v>
      </c>
      <c r="H37" s="185"/>
      <c r="I37" s="185"/>
      <c r="J37" s="185"/>
      <c r="K37" s="185"/>
      <c r="L37" s="185"/>
      <c r="M37" s="172"/>
      <c r="N37" s="172"/>
      <c r="O37" s="172"/>
      <c r="P37" s="172"/>
      <c r="Q37" s="172"/>
      <c r="R37" s="172"/>
    </row>
    <row r="38" spans="1:19" x14ac:dyDescent="0.2">
      <c r="A38" s="571" t="s">
        <v>304</v>
      </c>
      <c r="B38" s="572"/>
      <c r="C38" s="572">
        <f t="shared" si="8"/>
        <v>7.7216457995497034E-3</v>
      </c>
      <c r="D38" s="572">
        <f t="shared" si="8"/>
        <v>1.3639627327044268E-2</v>
      </c>
      <c r="E38" s="572">
        <f t="shared" ref="E38:G39" si="10">E19/D19-1</f>
        <v>1.4230070957119256E-2</v>
      </c>
      <c r="F38" s="572">
        <f t="shared" si="10"/>
        <v>6.3213681136295996E-3</v>
      </c>
      <c r="G38" s="573">
        <f t="shared" si="10"/>
        <v>6.9809271637484294E-3</v>
      </c>
      <c r="H38" s="184"/>
      <c r="I38" s="184"/>
      <c r="J38" s="184"/>
      <c r="K38" s="184"/>
      <c r="L38" s="184"/>
      <c r="M38" s="172"/>
      <c r="N38" s="172"/>
      <c r="O38" s="172"/>
      <c r="P38" s="172"/>
      <c r="Q38" s="172"/>
      <c r="R38" s="172"/>
    </row>
    <row r="39" spans="1:19" x14ac:dyDescent="0.2">
      <c r="A39" s="571" t="s">
        <v>305</v>
      </c>
      <c r="B39" s="572"/>
      <c r="C39" s="572">
        <f t="shared" si="8"/>
        <v>0.22743330205382661</v>
      </c>
      <c r="D39" s="572">
        <f t="shared" si="8"/>
        <v>6.9851794207137496E-2</v>
      </c>
      <c r="E39" s="572">
        <f t="shared" si="10"/>
        <v>-3.4236166617156338E-2</v>
      </c>
      <c r="F39" s="572">
        <f t="shared" si="10"/>
        <v>1.8776225851971917E-2</v>
      </c>
      <c r="G39" s="573">
        <f t="shared" si="10"/>
        <v>1.3251240231799244E-2</v>
      </c>
      <c r="H39" s="184"/>
      <c r="I39" s="184"/>
      <c r="J39" s="184"/>
      <c r="K39" s="184"/>
      <c r="L39" s="184"/>
      <c r="M39" s="172"/>
      <c r="N39" s="172"/>
      <c r="O39" s="172"/>
      <c r="P39" s="172"/>
      <c r="Q39" s="172"/>
      <c r="R39" s="172"/>
    </row>
    <row r="40" spans="1:19" x14ac:dyDescent="0.2">
      <c r="A40" s="571" t="s">
        <v>308</v>
      </c>
      <c r="B40" s="572"/>
      <c r="C40" s="572">
        <f>C23/B23-1</f>
        <v>-6.5251175571003128E-2</v>
      </c>
      <c r="D40" s="572">
        <f>D23/C23-1</f>
        <v>9.1286543094759587E-4</v>
      </c>
      <c r="E40" s="572">
        <f t="shared" ref="E40" si="11">E23/D23-1</f>
        <v>1.1763199753793696E-3</v>
      </c>
      <c r="F40" s="572">
        <f>F23/E23-1</f>
        <v>-2.0407475142336651E-2</v>
      </c>
      <c r="G40" s="573">
        <f>G23/F23-1</f>
        <v>-7.0137845728357462E-3</v>
      </c>
      <c r="H40" s="184"/>
      <c r="I40" s="184"/>
      <c r="J40" s="184"/>
      <c r="K40" s="184"/>
      <c r="L40" s="184"/>
      <c r="M40" s="172"/>
      <c r="N40" s="172"/>
      <c r="O40" s="172"/>
      <c r="P40" s="172"/>
      <c r="Q40" s="172"/>
      <c r="R40" s="172"/>
    </row>
    <row r="41" spans="1:19" x14ac:dyDescent="0.2">
      <c r="A41" s="574"/>
      <c r="B41" s="547"/>
      <c r="C41" s="547"/>
      <c r="D41" s="168"/>
      <c r="E41" s="168"/>
      <c r="F41" s="168"/>
      <c r="G41" s="575"/>
      <c r="H41" s="148"/>
      <c r="I41" s="148"/>
      <c r="J41" s="148"/>
      <c r="K41" s="148"/>
      <c r="L41" s="148"/>
      <c r="M41" s="172"/>
      <c r="N41" s="172"/>
      <c r="O41" s="172"/>
      <c r="P41" s="172"/>
      <c r="Q41" s="172"/>
      <c r="R41" s="172"/>
    </row>
    <row r="42" spans="1:19" x14ac:dyDescent="0.2">
      <c r="A42" s="576" t="s">
        <v>317</v>
      </c>
      <c r="B42" s="577"/>
      <c r="C42" s="547"/>
      <c r="D42" s="168"/>
      <c r="E42" s="168"/>
      <c r="F42" s="168"/>
      <c r="G42" s="575"/>
      <c r="H42" s="148"/>
      <c r="I42" s="148"/>
      <c r="J42" s="148"/>
      <c r="K42" s="148"/>
      <c r="L42" s="148"/>
      <c r="M42" s="172"/>
      <c r="N42" s="172"/>
      <c r="O42" s="172"/>
      <c r="P42" s="172"/>
      <c r="Q42" s="172"/>
      <c r="R42" s="172"/>
    </row>
    <row r="43" spans="1:19" x14ac:dyDescent="0.2">
      <c r="A43" s="578" t="s">
        <v>318</v>
      </c>
      <c r="B43" s="186">
        <f>B19/$C$18</f>
        <v>4.8593237599167553E-2</v>
      </c>
      <c r="C43" s="186">
        <f>C19/$C$18</f>
        <v>4.8968457368161689E-2</v>
      </c>
      <c r="D43" s="186">
        <f t="shared" ref="D43:G43" si="12">D19/$C$18</f>
        <v>4.963636887744366E-2</v>
      </c>
      <c r="E43" s="186">
        <f t="shared" si="12"/>
        <v>5.0342697928623434E-2</v>
      </c>
      <c r="F43" s="186">
        <f t="shared" si="12"/>
        <v>5.0660932654063524E-2</v>
      </c>
      <c r="G43" s="579">
        <f t="shared" si="12"/>
        <v>5.10145929349691E-2</v>
      </c>
      <c r="H43" s="187"/>
      <c r="I43" s="187"/>
      <c r="J43" s="187"/>
      <c r="K43" s="187"/>
      <c r="L43" s="187"/>
      <c r="M43" s="172"/>
      <c r="N43" s="172"/>
      <c r="O43" s="172"/>
      <c r="P43" s="172"/>
      <c r="Q43" s="172"/>
      <c r="R43" s="172"/>
    </row>
    <row r="44" spans="1:19" x14ac:dyDescent="0.2">
      <c r="A44" s="571" t="s">
        <v>319</v>
      </c>
      <c r="B44" s="186">
        <f>B20/$C$18</f>
        <v>2.1744562376905096E-2</v>
      </c>
      <c r="C44" s="186">
        <f>C20/$C$18</f>
        <v>2.6690000000000026E-2</v>
      </c>
      <c r="D44" s="186">
        <f t="shared" ref="D44:G44" si="13">D20/$C$18</f>
        <v>2.855434438738853E-2</v>
      </c>
      <c r="E44" s="186">
        <f t="shared" si="13"/>
        <v>2.7576753095298234E-2</v>
      </c>
      <c r="F44" s="186">
        <f t="shared" si="13"/>
        <v>2.809454043967962E-2</v>
      </c>
      <c r="G44" s="579">
        <f t="shared" si="13"/>
        <v>2.8466827944247815E-2</v>
      </c>
      <c r="H44" s="186"/>
      <c r="I44" s="186"/>
      <c r="J44" s="186"/>
      <c r="K44" s="186"/>
      <c r="L44" s="186"/>
      <c r="M44" s="172"/>
      <c r="N44" s="172"/>
      <c r="O44" s="172"/>
      <c r="P44" s="172"/>
      <c r="Q44" s="172"/>
      <c r="R44" s="172"/>
    </row>
    <row r="45" spans="1:19" x14ac:dyDescent="0.2">
      <c r="A45" s="571" t="s">
        <v>308</v>
      </c>
      <c r="B45" s="186">
        <f>B23/B18</f>
        <v>1.7664799655320983E-2</v>
      </c>
      <c r="C45" s="186">
        <f>C23/C18</f>
        <v>1.5968457368161656E-2</v>
      </c>
      <c r="D45" s="186">
        <f t="shared" ref="D45:G45" si="14">D23/D18</f>
        <v>1.5672745194677179E-2</v>
      </c>
      <c r="E45" s="186">
        <f t="shared" si="14"/>
        <v>1.5377033021192706E-2</v>
      </c>
      <c r="F45" s="186">
        <f t="shared" si="14"/>
        <v>1.4785608674223757E-2</v>
      </c>
      <c r="G45" s="579">
        <f t="shared" si="14"/>
        <v>1.448989650073928E-2</v>
      </c>
      <c r="H45" s="187"/>
      <c r="I45" s="187"/>
      <c r="J45" s="187"/>
      <c r="K45" s="187"/>
      <c r="L45" s="187"/>
      <c r="M45" s="172"/>
      <c r="N45" s="172"/>
      <c r="O45" s="172"/>
      <c r="P45" s="172"/>
      <c r="Q45" s="172"/>
      <c r="R45" s="172"/>
    </row>
    <row r="46" spans="1:19" ht="13.5" thickBot="1" x14ac:dyDescent="0.25">
      <c r="A46" s="580" t="s">
        <v>311</v>
      </c>
      <c r="B46" s="581">
        <f>B26/B18</f>
        <v>-3.1909737182249029E-2</v>
      </c>
      <c r="C46" s="581">
        <f>C26/C18</f>
        <v>-2.661409561360276E-2</v>
      </c>
      <c r="D46" s="581">
        <f t="shared" ref="D46:G46" si="15">D26/D18</f>
        <v>-2.6121241991128634E-2</v>
      </c>
      <c r="E46" s="581">
        <f t="shared" si="15"/>
        <v>-2.5628388368654508E-2</v>
      </c>
      <c r="F46" s="581">
        <f t="shared" si="15"/>
        <v>-2.4642681123706264E-2</v>
      </c>
      <c r="G46" s="582">
        <f t="shared" si="15"/>
        <v>-2.4149827501232134E-2</v>
      </c>
      <c r="H46" s="187"/>
      <c r="I46" s="187"/>
      <c r="J46" s="187"/>
      <c r="K46" s="187"/>
      <c r="L46" s="187"/>
      <c r="M46" s="172"/>
      <c r="N46" s="172"/>
      <c r="O46" s="172"/>
      <c r="P46" s="172"/>
      <c r="Q46" s="172"/>
      <c r="R46" s="172"/>
    </row>
    <row r="47" spans="1:19" x14ac:dyDescent="0.2">
      <c r="D47" s="148"/>
      <c r="E47" s="148"/>
      <c r="F47" s="148"/>
      <c r="G47" s="188"/>
      <c r="H47" s="188"/>
      <c r="I47" s="188"/>
      <c r="J47" s="188"/>
      <c r="K47" s="188"/>
      <c r="L47" s="188"/>
      <c r="M47" s="172"/>
      <c r="N47" s="172"/>
      <c r="O47" s="172"/>
      <c r="P47" s="172"/>
      <c r="Q47" s="172"/>
      <c r="R47" s="172"/>
    </row>
    <row r="48" spans="1:19" ht="13.5" thickBot="1" x14ac:dyDescent="0.25">
      <c r="A48" s="189"/>
      <c r="B48" s="189"/>
      <c r="C48" s="189"/>
      <c r="D48" s="190"/>
      <c r="E48" s="190"/>
      <c r="F48" s="190"/>
      <c r="G48" s="190"/>
      <c r="H48" s="190"/>
      <c r="I48" s="190"/>
      <c r="J48" s="190"/>
      <c r="K48" s="190"/>
      <c r="L48" s="190"/>
      <c r="M48" s="172"/>
      <c r="N48" s="172"/>
      <c r="O48" s="172"/>
      <c r="P48" s="172"/>
      <c r="Q48" s="172"/>
      <c r="R48" s="172"/>
    </row>
    <row r="49" spans="1:18" x14ac:dyDescent="0.2">
      <c r="D49" s="148"/>
      <c r="E49" s="148"/>
      <c r="F49" s="148"/>
      <c r="G49" s="148"/>
      <c r="H49" s="148"/>
      <c r="I49" s="148"/>
      <c r="J49" s="148"/>
      <c r="K49" s="148"/>
      <c r="L49" s="148"/>
      <c r="M49" s="172"/>
      <c r="N49" s="172"/>
      <c r="O49" s="172"/>
      <c r="P49" s="172"/>
      <c r="Q49" s="172"/>
      <c r="R49" s="172"/>
    </row>
    <row r="50" spans="1:18" ht="13.5" thickBot="1" x14ac:dyDescent="0.25">
      <c r="A50" s="150" t="s">
        <v>320</v>
      </c>
      <c r="B50" s="150"/>
      <c r="C50" s="151"/>
      <c r="D50" s="152"/>
      <c r="E50" s="150" t="s">
        <v>321</v>
      </c>
      <c r="F50" s="150"/>
      <c r="G50" s="151"/>
      <c r="H50" s="151"/>
      <c r="I50" s="152"/>
      <c r="J50" s="150" t="s">
        <v>322</v>
      </c>
      <c r="K50" s="150"/>
      <c r="L50" s="151"/>
      <c r="M50" s="172"/>
      <c r="N50" s="172"/>
      <c r="O50" s="172"/>
      <c r="P50" s="172"/>
      <c r="Q50" s="172"/>
      <c r="R50" s="172"/>
    </row>
    <row r="51" spans="1:18" x14ac:dyDescent="0.2">
      <c r="A51" s="152" t="s">
        <v>476</v>
      </c>
      <c r="B51" s="152"/>
      <c r="C51" s="191">
        <f>SUM(C34:F34)</f>
        <v>1585.5471761972863</v>
      </c>
      <c r="D51" s="177"/>
      <c r="E51" s="152" t="s">
        <v>323</v>
      </c>
      <c r="F51" s="152"/>
      <c r="G51" s="152"/>
      <c r="H51" s="191">
        <f>C51+C54</f>
        <v>7052.8474934054775</v>
      </c>
      <c r="I51" s="152"/>
      <c r="J51" s="152" t="s">
        <v>324</v>
      </c>
      <c r="K51" s="152"/>
      <c r="L51" s="192">
        <f>H55</f>
        <v>4500.330645655813</v>
      </c>
      <c r="M51" s="172"/>
      <c r="N51" s="172"/>
      <c r="O51" s="172"/>
      <c r="P51" s="172"/>
      <c r="Q51" s="172"/>
      <c r="R51" s="172"/>
    </row>
    <row r="52" spans="1:18" x14ac:dyDescent="0.2">
      <c r="A52" s="152" t="s">
        <v>299</v>
      </c>
      <c r="B52" s="152"/>
      <c r="C52" s="155">
        <f>wacc</f>
        <v>6.5551127064428991E-2</v>
      </c>
      <c r="D52" s="152"/>
      <c r="E52" s="193" t="s">
        <v>325</v>
      </c>
      <c r="F52" s="152"/>
      <c r="G52" s="152"/>
      <c r="H52" s="191">
        <f>H9</f>
        <v>5268.1491268677692</v>
      </c>
      <c r="I52" s="152"/>
      <c r="J52" s="152" t="s">
        <v>285</v>
      </c>
      <c r="K52" s="152"/>
      <c r="L52" s="192">
        <f>C30</f>
        <v>108.38899600000001</v>
      </c>
      <c r="M52" s="172"/>
      <c r="N52" s="172"/>
      <c r="O52" s="172"/>
      <c r="P52" s="172"/>
      <c r="Q52" s="172"/>
      <c r="R52" s="172"/>
    </row>
    <row r="53" spans="1:18" x14ac:dyDescent="0.2">
      <c r="A53" s="152" t="s">
        <v>326</v>
      </c>
      <c r="B53" s="152"/>
      <c r="C53" s="194">
        <v>5.0000000000000001E-3</v>
      </c>
      <c r="D53" s="152"/>
      <c r="E53" s="193" t="s">
        <v>327</v>
      </c>
      <c r="F53" s="152"/>
      <c r="G53" s="152"/>
      <c r="H53" s="191">
        <f>H10</f>
        <v>2715.6322791181046</v>
      </c>
      <c r="I53" s="152"/>
      <c r="J53" s="152"/>
      <c r="K53" s="152"/>
      <c r="L53" s="152"/>
      <c r="M53" s="172"/>
      <c r="N53" s="172"/>
      <c r="O53" s="172"/>
      <c r="P53" s="172"/>
      <c r="Q53" s="172"/>
      <c r="R53" s="172"/>
    </row>
    <row r="54" spans="1:18" x14ac:dyDescent="0.2">
      <c r="A54" s="152" t="s">
        <v>328</v>
      </c>
      <c r="B54" s="152"/>
      <c r="C54" s="191">
        <f>G28/(C52-C53)*F33</f>
        <v>5467.3003172081908</v>
      </c>
      <c r="D54" s="152"/>
      <c r="E54" s="152" t="s">
        <v>295</v>
      </c>
      <c r="F54" s="152"/>
      <c r="G54" s="152"/>
      <c r="H54" s="195">
        <f>H52-H53</f>
        <v>2552.5168477496645</v>
      </c>
      <c r="I54" s="152"/>
      <c r="J54" s="152" t="s">
        <v>322</v>
      </c>
      <c r="K54" s="152"/>
      <c r="L54" s="196">
        <f>L51/L52</f>
        <v>41.520180200357359</v>
      </c>
      <c r="M54" s="172"/>
      <c r="N54" s="172"/>
      <c r="O54" s="172"/>
      <c r="P54" s="172"/>
      <c r="Q54" s="172"/>
      <c r="R54" s="172"/>
    </row>
    <row r="55" spans="1:18" x14ac:dyDescent="0.2">
      <c r="A55" s="152" t="s">
        <v>329</v>
      </c>
      <c r="B55" s="152"/>
      <c r="C55" s="155">
        <f>C54/H51</f>
        <v>0.7751904918290381</v>
      </c>
      <c r="D55" s="152"/>
      <c r="E55" s="152" t="s">
        <v>324</v>
      </c>
      <c r="F55" s="152"/>
      <c r="G55" s="152"/>
      <c r="H55" s="191">
        <f>H51-H54</f>
        <v>4500.330645655813</v>
      </c>
      <c r="I55" s="152"/>
      <c r="J55" s="152"/>
      <c r="K55" s="152"/>
      <c r="L55" s="197"/>
      <c r="M55" s="172"/>
      <c r="N55" s="172"/>
      <c r="O55" s="172"/>
      <c r="P55" s="172"/>
      <c r="Q55" s="172"/>
      <c r="R55" s="172"/>
    </row>
    <row r="56" spans="1:18" ht="13.5" thickBot="1" x14ac:dyDescent="0.25">
      <c r="A56" s="189"/>
      <c r="B56" s="189"/>
      <c r="C56" s="189"/>
      <c r="D56" s="189"/>
      <c r="E56" s="189"/>
      <c r="F56" s="189"/>
      <c r="G56" s="189"/>
      <c r="H56" s="189"/>
      <c r="I56" s="189"/>
      <c r="J56" s="189"/>
      <c r="K56" s="189"/>
      <c r="L56" s="189"/>
      <c r="M56" s="172"/>
      <c r="N56" s="172"/>
      <c r="O56" s="172"/>
      <c r="P56" s="172"/>
      <c r="Q56" s="172"/>
      <c r="R56" s="172"/>
    </row>
    <row r="57" spans="1:18" x14ac:dyDescent="0.2">
      <c r="M57" s="172"/>
      <c r="N57" s="172"/>
      <c r="O57" s="172"/>
      <c r="P57" s="172"/>
      <c r="Q57" s="172"/>
      <c r="R57" s="172"/>
    </row>
    <row r="58" spans="1:18" x14ac:dyDescent="0.2">
      <c r="M58" s="172"/>
      <c r="N58" s="172"/>
      <c r="O58" s="172"/>
      <c r="P58" s="172"/>
      <c r="Q58" s="172"/>
      <c r="R58" s="172"/>
    </row>
  </sheetData>
  <mergeCells count="10">
    <mergeCell ref="K23:S23"/>
    <mergeCell ref="I25:I33"/>
    <mergeCell ref="E12:G12"/>
    <mergeCell ref="D15:F15"/>
    <mergeCell ref="E6:F6"/>
    <mergeCell ref="E7:F7"/>
    <mergeCell ref="E8:F8"/>
    <mergeCell ref="E9:F9"/>
    <mergeCell ref="E10:G10"/>
    <mergeCell ref="E11:F11"/>
  </mergeCells>
  <pageMargins left="0.7" right="0.7" top="0.75" bottom="0.75" header="0.3" footer="0.3"/>
  <pageSetup paperSize="9" orientation="portrait"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K35"/>
  <sheetViews>
    <sheetView zoomScale="85" zoomScaleNormal="85" workbookViewId="0">
      <selection activeCell="K16" sqref="K16"/>
    </sheetView>
  </sheetViews>
  <sheetFormatPr defaultRowHeight="15" x14ac:dyDescent="0.25"/>
  <cols>
    <col min="1" max="1" width="29.140625" bestFit="1" customWidth="1"/>
    <col min="2" max="2" width="8.42578125" hidden="1" customWidth="1"/>
    <col min="6" max="7" width="10.5703125" bestFit="1" customWidth="1"/>
    <col min="8" max="10" width="9.5703125" bestFit="1" customWidth="1"/>
  </cols>
  <sheetData>
    <row r="1" spans="1:31" s="298" customFormat="1" ht="21" x14ac:dyDescent="0.35">
      <c r="A1" s="866" t="s">
        <v>404</v>
      </c>
      <c r="B1" s="867">
        <f>BS!B3</f>
        <v>2015</v>
      </c>
      <c r="C1" s="867">
        <f>BS!C3</f>
        <v>2016</v>
      </c>
      <c r="D1" s="867">
        <f>BS!D3</f>
        <v>2017</v>
      </c>
      <c r="E1" s="867">
        <f>BS!E3</f>
        <v>2018</v>
      </c>
      <c r="F1" s="814" t="str">
        <f>BS!F3</f>
        <v>2019 E</v>
      </c>
      <c r="G1" s="814" t="str">
        <f>BS!G3</f>
        <v>2020 E</v>
      </c>
      <c r="H1" s="814" t="str">
        <f>BS!H3</f>
        <v>2021 E</v>
      </c>
      <c r="I1" s="814" t="str">
        <f>BS!I3</f>
        <v>2022 E</v>
      </c>
      <c r="J1" s="815" t="str">
        <f>BS!J3</f>
        <v>2023 E</v>
      </c>
      <c r="K1" s="287"/>
      <c r="L1" s="287"/>
      <c r="M1" s="445"/>
      <c r="N1" s="445"/>
      <c r="O1" s="445"/>
      <c r="P1" s="445"/>
      <c r="Q1" s="445"/>
      <c r="R1" s="445"/>
      <c r="S1" s="445"/>
      <c r="T1" s="445"/>
      <c r="U1" s="445"/>
      <c r="V1" s="445"/>
      <c r="W1" s="445"/>
      <c r="X1" s="445"/>
      <c r="Y1" s="445"/>
      <c r="Z1" s="445"/>
      <c r="AA1" s="445"/>
      <c r="AB1" s="445"/>
      <c r="AC1" s="445"/>
      <c r="AD1" s="445"/>
      <c r="AE1" s="445"/>
    </row>
    <row r="2" spans="1:31" s="3" customFormat="1" x14ac:dyDescent="0.25">
      <c r="A2" s="868" t="s">
        <v>553</v>
      </c>
      <c r="B2" s="448">
        <v>5733</v>
      </c>
      <c r="C2" s="448">
        <v>6073</v>
      </c>
      <c r="D2" s="448">
        <f>C4</f>
        <v>3367</v>
      </c>
      <c r="E2" s="448">
        <f>D4</f>
        <v>4126</v>
      </c>
      <c r="F2" s="601">
        <f t="shared" ref="F2:I2" si="0">E4</f>
        <v>3421</v>
      </c>
      <c r="G2" s="736">
        <f t="shared" si="0"/>
        <v>3234.6392934993501</v>
      </c>
      <c r="H2" s="736">
        <f t="shared" si="0"/>
        <v>2980.7216312917194</v>
      </c>
      <c r="I2" s="736">
        <f t="shared" si="0"/>
        <v>2723.1648649285803</v>
      </c>
      <c r="J2" s="869">
        <f>I4</f>
        <v>2392.6951386098649</v>
      </c>
      <c r="K2" s="4"/>
      <c r="L2" s="4"/>
      <c r="M2" s="4"/>
      <c r="N2" s="4"/>
      <c r="O2" s="4"/>
      <c r="P2" s="4"/>
      <c r="Q2" s="4"/>
      <c r="R2" s="4"/>
      <c r="S2" s="4"/>
      <c r="T2" s="4"/>
      <c r="U2" s="4"/>
      <c r="V2" s="4"/>
      <c r="W2" s="4"/>
      <c r="X2" s="4"/>
      <c r="Y2" s="4"/>
      <c r="Z2" s="4"/>
      <c r="AA2" s="4"/>
      <c r="AB2" s="4"/>
      <c r="AC2" s="4"/>
      <c r="AD2" s="4"/>
      <c r="AE2" s="4"/>
    </row>
    <row r="3" spans="1:31" x14ac:dyDescent="0.25">
      <c r="A3" s="868" t="s">
        <v>450</v>
      </c>
      <c r="B3" s="448">
        <v>-340</v>
      </c>
      <c r="C3" s="448">
        <v>2706</v>
      </c>
      <c r="D3" s="448">
        <v>-759</v>
      </c>
      <c r="E3" s="448">
        <v>705</v>
      </c>
      <c r="F3" s="736">
        <f>F18</f>
        <v>186.36070650064994</v>
      </c>
      <c r="G3" s="736">
        <f>G18</f>
        <v>253.91766220763066</v>
      </c>
      <c r="H3" s="736">
        <f>H18</f>
        <v>257.5567663631391</v>
      </c>
      <c r="I3" s="736">
        <f>I18</f>
        <v>330.4697263187154</v>
      </c>
      <c r="J3" s="869">
        <f>J18</f>
        <v>520.54601174209506</v>
      </c>
      <c r="K3" s="402"/>
      <c r="L3" s="596"/>
      <c r="M3" s="4"/>
      <c r="N3" s="4"/>
      <c r="O3" s="4"/>
      <c r="P3" s="4"/>
      <c r="Q3" s="4"/>
      <c r="R3" s="4"/>
      <c r="S3" s="4"/>
      <c r="T3" s="4"/>
      <c r="U3" s="4"/>
      <c r="V3" s="4"/>
      <c r="W3" s="4"/>
      <c r="X3" s="4"/>
      <c r="Y3" s="4"/>
      <c r="Z3" s="4"/>
      <c r="AA3" s="4"/>
      <c r="AB3" s="4"/>
      <c r="AC3" s="4"/>
      <c r="AD3" s="4"/>
      <c r="AE3" s="4"/>
    </row>
    <row r="4" spans="1:31" s="3" customFormat="1" x14ac:dyDescent="0.25">
      <c r="A4" s="868" t="s">
        <v>554</v>
      </c>
      <c r="B4" s="448">
        <f>B2-B3</f>
        <v>6073</v>
      </c>
      <c r="C4" s="448">
        <f>C2-C3</f>
        <v>3367</v>
      </c>
      <c r="D4" s="448">
        <f>D2-D3</f>
        <v>4126</v>
      </c>
      <c r="E4" s="448">
        <f>E2-E3</f>
        <v>3421</v>
      </c>
      <c r="F4" s="736">
        <f>F2-F3</f>
        <v>3234.6392934993501</v>
      </c>
      <c r="G4" s="736">
        <f t="shared" ref="G4:I4" si="1">G2-G3</f>
        <v>2980.7216312917194</v>
      </c>
      <c r="H4" s="736">
        <f t="shared" si="1"/>
        <v>2723.1648649285803</v>
      </c>
      <c r="I4" s="736">
        <f t="shared" si="1"/>
        <v>2392.6951386098649</v>
      </c>
      <c r="J4" s="869">
        <f>J2-J3</f>
        <v>1872.1491268677698</v>
      </c>
      <c r="K4" s="402"/>
      <c r="L4" s="4"/>
      <c r="M4" s="4"/>
      <c r="N4" s="4"/>
      <c r="O4" s="4"/>
      <c r="P4" s="4"/>
      <c r="Q4" s="4"/>
      <c r="R4" s="4"/>
      <c r="S4" s="4"/>
      <c r="T4" s="4"/>
      <c r="U4" s="4"/>
      <c r="V4" s="4"/>
      <c r="W4" s="4"/>
      <c r="X4" s="4"/>
      <c r="Y4" s="4"/>
      <c r="Z4" s="4"/>
      <c r="AA4" s="4"/>
      <c r="AB4" s="4"/>
      <c r="AC4" s="4"/>
      <c r="AD4" s="4"/>
      <c r="AE4" s="4"/>
    </row>
    <row r="5" spans="1:31" x14ac:dyDescent="0.25">
      <c r="A5" s="461"/>
      <c r="B5" s="4"/>
      <c r="C5" s="4"/>
      <c r="D5" s="4"/>
      <c r="E5" s="4"/>
      <c r="F5" s="66"/>
      <c r="G5" s="66"/>
      <c r="H5" s="66"/>
      <c r="I5" s="66"/>
      <c r="J5" s="499"/>
      <c r="K5" s="402"/>
      <c r="L5" s="4"/>
      <c r="M5" s="4"/>
      <c r="N5" s="597"/>
      <c r="O5" s="4"/>
      <c r="P5" s="4"/>
      <c r="Q5" s="4"/>
      <c r="R5" s="4"/>
      <c r="S5" s="4"/>
      <c r="T5" s="4"/>
      <c r="U5" s="4"/>
      <c r="V5" s="4"/>
      <c r="W5" s="4"/>
      <c r="X5" s="4"/>
      <c r="Y5" s="4"/>
      <c r="Z5" s="4"/>
      <c r="AA5" s="4"/>
      <c r="AB5" s="4"/>
      <c r="AC5" s="4"/>
      <c r="AD5" s="4"/>
      <c r="AE5" s="4"/>
    </row>
    <row r="6" spans="1:31" x14ac:dyDescent="0.25">
      <c r="A6" s="461"/>
      <c r="B6" s="4"/>
      <c r="C6" s="4"/>
      <c r="D6" s="4"/>
      <c r="E6" s="4"/>
      <c r="F6" s="66"/>
      <c r="G6" s="66"/>
      <c r="H6" s="66"/>
      <c r="I6" s="66"/>
      <c r="J6" s="499"/>
      <c r="K6" s="402"/>
      <c r="L6" s="4"/>
      <c r="M6" s="4"/>
      <c r="N6" s="4"/>
      <c r="O6" s="4"/>
      <c r="P6" s="4"/>
      <c r="Q6" s="4"/>
      <c r="R6" s="4"/>
      <c r="S6" s="4"/>
      <c r="T6" s="4"/>
      <c r="U6" s="4"/>
      <c r="V6" s="4"/>
      <c r="W6" s="4"/>
      <c r="X6" s="4"/>
      <c r="Y6" s="4"/>
      <c r="Z6" s="4"/>
      <c r="AA6" s="4"/>
      <c r="AB6" s="4"/>
      <c r="AC6" s="4"/>
      <c r="AD6" s="4"/>
      <c r="AE6" s="4"/>
    </row>
    <row r="7" spans="1:31" s="297" customFormat="1" x14ac:dyDescent="0.25">
      <c r="A7" s="868" t="s">
        <v>295</v>
      </c>
      <c r="B7" s="446">
        <f>B1</f>
        <v>2015</v>
      </c>
      <c r="C7" s="446">
        <f>C1</f>
        <v>2016</v>
      </c>
      <c r="D7" s="446">
        <f>D1</f>
        <v>2017</v>
      </c>
      <c r="E7" s="446">
        <f>E1</f>
        <v>2018</v>
      </c>
      <c r="F7" s="319" t="str">
        <f>F1</f>
        <v>2019 E</v>
      </c>
      <c r="G7" s="319" t="str">
        <f t="shared" ref="G7:J7" si="2">G1</f>
        <v>2020 E</v>
      </c>
      <c r="H7" s="319" t="str">
        <f t="shared" si="2"/>
        <v>2021 E</v>
      </c>
      <c r="I7" s="319" t="str">
        <f t="shared" si="2"/>
        <v>2022 E</v>
      </c>
      <c r="J7" s="870" t="str">
        <f t="shared" si="2"/>
        <v>2023 E</v>
      </c>
      <c r="K7" s="490"/>
      <c r="L7" s="445"/>
      <c r="M7" s="445"/>
      <c r="N7" s="445"/>
      <c r="O7" s="445"/>
      <c r="P7" s="445"/>
      <c r="Q7" s="445"/>
      <c r="R7" s="445"/>
      <c r="S7" s="445"/>
      <c r="T7" s="445"/>
      <c r="U7" s="445"/>
      <c r="V7" s="445"/>
      <c r="W7" s="445"/>
      <c r="X7" s="445"/>
      <c r="Y7" s="445"/>
      <c r="Z7" s="445"/>
      <c r="AA7" s="445"/>
      <c r="AB7" s="445"/>
      <c r="AC7" s="445"/>
      <c r="AD7" s="445"/>
      <c r="AE7" s="445"/>
    </row>
    <row r="8" spans="1:31" s="445" customFormat="1" x14ac:dyDescent="0.25">
      <c r="A8" s="868" t="s">
        <v>540</v>
      </c>
      <c r="B8" s="446"/>
      <c r="C8" s="446"/>
      <c r="D8" s="447">
        <f>C9-D9</f>
        <v>-515</v>
      </c>
      <c r="E8" s="447">
        <f>D9-E9</f>
        <v>1006</v>
      </c>
      <c r="F8" s="737">
        <f>E9-F9</f>
        <v>785.61000000000013</v>
      </c>
      <c r="G8" s="737">
        <f>F9-G9</f>
        <v>500.08140000000003</v>
      </c>
      <c r="H8" s="737">
        <f t="shared" ref="H8:J8" si="3">G9-H9</f>
        <v>71.165430000000015</v>
      </c>
      <c r="I8" s="737">
        <f t="shared" si="3"/>
        <v>67.607158499999969</v>
      </c>
      <c r="J8" s="871">
        <f t="shared" si="3"/>
        <v>64.22680057499997</v>
      </c>
      <c r="K8" s="490"/>
      <c r="M8" s="450"/>
      <c r="N8" s="451"/>
    </row>
    <row r="9" spans="1:31" x14ac:dyDescent="0.25">
      <c r="A9" s="872" t="s">
        <v>451</v>
      </c>
      <c r="B9" s="448">
        <v>6081</v>
      </c>
      <c r="C9" s="448">
        <v>3200</v>
      </c>
      <c r="D9" s="448">
        <v>3715</v>
      </c>
      <c r="E9" s="448">
        <v>2709</v>
      </c>
      <c r="F9" s="736">
        <f>E9*(1+F10)</f>
        <v>1923.3899999999999</v>
      </c>
      <c r="G9" s="736">
        <f>F9*(1+G10)</f>
        <v>1423.3085999999998</v>
      </c>
      <c r="H9" s="736">
        <f>G9*(1+H10)</f>
        <v>1352.1431699999998</v>
      </c>
      <c r="I9" s="736">
        <f>H9*(1+I10)</f>
        <v>1284.5360114999999</v>
      </c>
      <c r="J9" s="869">
        <f>I9*(1+J10)</f>
        <v>1220.3092109249999</v>
      </c>
      <c r="K9" s="402"/>
      <c r="L9" s="4"/>
      <c r="M9" s="4"/>
      <c r="N9" s="4"/>
      <c r="O9" s="4"/>
      <c r="P9" s="4"/>
      <c r="Q9" s="467"/>
      <c r="R9" s="4"/>
      <c r="S9" s="4"/>
      <c r="T9" s="4"/>
      <c r="U9" s="4"/>
      <c r="V9" s="4"/>
      <c r="W9" s="4"/>
      <c r="X9" s="4"/>
      <c r="Y9" s="4"/>
      <c r="Z9" s="4"/>
      <c r="AA9" s="4"/>
      <c r="AB9" s="4"/>
      <c r="AC9" s="4"/>
      <c r="AD9" s="4"/>
      <c r="AE9" s="4"/>
    </row>
    <row r="10" spans="1:31" s="3" customFormat="1" x14ac:dyDescent="0.25">
      <c r="A10" s="872" t="s">
        <v>457</v>
      </c>
      <c r="B10" s="600"/>
      <c r="C10" s="600"/>
      <c r="D10" s="600"/>
      <c r="E10" s="600"/>
      <c r="F10" s="738">
        <v>-0.28999999999999998</v>
      </c>
      <c r="G10" s="738">
        <v>-0.26</v>
      </c>
      <c r="H10" s="738">
        <v>-0.05</v>
      </c>
      <c r="I10" s="738">
        <v>-0.05</v>
      </c>
      <c r="J10" s="873">
        <v>-0.05</v>
      </c>
      <c r="K10" s="402"/>
      <c r="L10" s="4"/>
      <c r="M10" s="4"/>
      <c r="N10" s="4"/>
      <c r="O10" s="4"/>
      <c r="P10" s="4"/>
      <c r="Q10" s="4"/>
      <c r="R10" s="4"/>
      <c r="S10" s="4"/>
      <c r="T10" s="4"/>
      <c r="U10" s="4"/>
      <c r="V10" s="4"/>
      <c r="W10" s="4"/>
      <c r="X10" s="4"/>
      <c r="Y10" s="4"/>
      <c r="Z10" s="4"/>
      <c r="AA10" s="4"/>
      <c r="AB10" s="4"/>
      <c r="AC10" s="4"/>
      <c r="AD10" s="4"/>
      <c r="AE10" s="4"/>
    </row>
    <row r="11" spans="1:31" hidden="1" x14ac:dyDescent="0.25">
      <c r="A11" s="872" t="s">
        <v>1</v>
      </c>
      <c r="B11" s="448">
        <v>993</v>
      </c>
      <c r="C11" s="448">
        <v>1032</v>
      </c>
      <c r="D11" s="448">
        <v>845</v>
      </c>
      <c r="E11" s="448">
        <v>1056</v>
      </c>
      <c r="F11" s="736"/>
      <c r="G11" s="736"/>
      <c r="H11" s="736"/>
      <c r="I11" s="736"/>
      <c r="J11" s="869"/>
      <c r="K11" s="402"/>
      <c r="L11" s="4"/>
      <c r="M11" s="4"/>
      <c r="N11" s="4"/>
      <c r="O11" s="4"/>
      <c r="P11" s="4"/>
      <c r="Q11" s="4"/>
      <c r="R11" s="4"/>
      <c r="S11" s="4"/>
      <c r="T11" s="4"/>
      <c r="U11" s="4"/>
      <c r="V11" s="4"/>
      <c r="W11" s="4"/>
      <c r="X11" s="4"/>
      <c r="Y11" s="4"/>
      <c r="Z11" s="4"/>
      <c r="AA11" s="4"/>
      <c r="AB11" s="4"/>
      <c r="AC11" s="4"/>
      <c r="AD11" s="4"/>
      <c r="AE11" s="4"/>
    </row>
    <row r="12" spans="1:31" hidden="1" x14ac:dyDescent="0.25">
      <c r="A12" s="874" t="s">
        <v>454</v>
      </c>
      <c r="B12" s="448">
        <v>227</v>
      </c>
      <c r="C12" s="448">
        <v>22</v>
      </c>
      <c r="D12" s="448">
        <v>189</v>
      </c>
      <c r="E12" s="448">
        <v>624</v>
      </c>
      <c r="F12" s="601"/>
      <c r="G12" s="601"/>
      <c r="H12" s="601"/>
      <c r="I12" s="601"/>
      <c r="J12" s="830"/>
      <c r="K12" s="402"/>
      <c r="L12" s="4"/>
      <c r="M12" s="4"/>
      <c r="N12" s="4"/>
      <c r="O12" s="4"/>
      <c r="P12" s="4"/>
      <c r="Q12" s="4"/>
      <c r="R12" s="4"/>
      <c r="S12" s="4"/>
      <c r="T12" s="4"/>
      <c r="U12" s="4"/>
      <c r="V12" s="4"/>
      <c r="W12" s="4"/>
      <c r="X12" s="4"/>
      <c r="Y12" s="4"/>
      <c r="Z12" s="4"/>
      <c r="AA12" s="4"/>
      <c r="AB12" s="4"/>
      <c r="AC12" s="4"/>
      <c r="AD12" s="4"/>
      <c r="AE12" s="4"/>
    </row>
    <row r="13" spans="1:31" hidden="1" x14ac:dyDescent="0.25">
      <c r="A13" s="874" t="s">
        <v>455</v>
      </c>
      <c r="B13" s="448">
        <v>766</v>
      </c>
      <c r="C13" s="448">
        <v>810</v>
      </c>
      <c r="D13" s="448">
        <v>655</v>
      </c>
      <c r="E13" s="448">
        <v>426</v>
      </c>
      <c r="F13" s="601"/>
      <c r="G13" s="601"/>
      <c r="H13" s="601"/>
      <c r="I13" s="601"/>
      <c r="J13" s="830"/>
      <c r="K13" s="402"/>
      <c r="L13" s="4"/>
      <c r="M13" s="4"/>
      <c r="N13" s="4"/>
      <c r="O13" s="4"/>
      <c r="P13" s="4"/>
      <c r="Q13" s="4"/>
      <c r="R13" s="4"/>
      <c r="S13" s="4"/>
      <c r="T13" s="4"/>
      <c r="U13" s="4"/>
      <c r="V13" s="4"/>
      <c r="W13" s="4"/>
      <c r="X13" s="4"/>
      <c r="Y13" s="4"/>
      <c r="Z13" s="4"/>
      <c r="AA13" s="4"/>
      <c r="AB13" s="4"/>
      <c r="AC13" s="4"/>
      <c r="AD13" s="4"/>
      <c r="AE13" s="4"/>
    </row>
    <row r="14" spans="1:31" hidden="1" x14ac:dyDescent="0.25">
      <c r="A14" s="872" t="s">
        <v>452</v>
      </c>
      <c r="B14" s="448">
        <f>-1119+146</f>
        <v>-973</v>
      </c>
      <c r="C14" s="448">
        <v>-697</v>
      </c>
      <c r="D14" s="448">
        <v>-628</v>
      </c>
      <c r="E14" s="448">
        <v>-543</v>
      </c>
      <c r="F14" s="601"/>
      <c r="G14" s="601"/>
      <c r="H14" s="601"/>
      <c r="I14" s="601"/>
      <c r="J14" s="830"/>
      <c r="K14" s="402"/>
      <c r="L14" s="4"/>
      <c r="M14" s="4"/>
      <c r="N14" s="4"/>
      <c r="O14" s="4"/>
      <c r="P14" s="4"/>
      <c r="Q14" s="4"/>
      <c r="R14" s="4"/>
      <c r="S14" s="4"/>
      <c r="T14" s="4"/>
      <c r="U14" s="4"/>
      <c r="V14" s="4"/>
      <c r="W14" s="4"/>
      <c r="X14" s="4"/>
      <c r="Y14" s="4"/>
      <c r="Z14" s="4"/>
      <c r="AA14" s="4"/>
      <c r="AB14" s="4"/>
      <c r="AC14" s="4"/>
      <c r="AD14" s="4"/>
      <c r="AE14" s="4"/>
    </row>
    <row r="15" spans="1:31" hidden="1" x14ac:dyDescent="0.25">
      <c r="A15" s="872" t="s">
        <v>453</v>
      </c>
      <c r="B15" s="448">
        <v>-29</v>
      </c>
      <c r="C15" s="448">
        <v>-168</v>
      </c>
      <c r="D15" s="448">
        <v>194</v>
      </c>
      <c r="E15" s="448">
        <v>199</v>
      </c>
      <c r="F15" s="736"/>
      <c r="G15" s="736"/>
      <c r="H15" s="736"/>
      <c r="I15" s="736"/>
      <c r="J15" s="869"/>
      <c r="K15" s="402"/>
      <c r="L15" s="4"/>
      <c r="M15" s="4"/>
      <c r="N15" s="4"/>
      <c r="O15" s="4"/>
      <c r="P15" s="4"/>
      <c r="Q15" s="4"/>
      <c r="R15" s="4"/>
      <c r="S15" s="4"/>
      <c r="T15" s="4"/>
      <c r="U15" s="4"/>
      <c r="V15" s="4"/>
      <c r="W15" s="4"/>
      <c r="X15" s="4"/>
      <c r="Y15" s="4"/>
      <c r="Z15" s="4"/>
      <c r="AA15" s="4"/>
      <c r="AB15" s="4"/>
      <c r="AC15" s="4"/>
      <c r="AD15" s="4"/>
      <c r="AE15" s="4"/>
    </row>
    <row r="16" spans="1:31" ht="15.75" thickBot="1" x14ac:dyDescent="0.3">
      <c r="A16" s="872" t="s">
        <v>548</v>
      </c>
      <c r="B16" s="448"/>
      <c r="C16" s="448">
        <f t="shared" ref="C16:D16" si="4">C15+C14+C11</f>
        <v>167</v>
      </c>
      <c r="D16" s="448">
        <f t="shared" si="4"/>
        <v>411</v>
      </c>
      <c r="E16" s="448">
        <f>E15+E14+E11</f>
        <v>712</v>
      </c>
      <c r="F16" s="736">
        <v>1311.24929349935</v>
      </c>
      <c r="G16" s="736">
        <v>1557.4130312917196</v>
      </c>
      <c r="H16" s="736">
        <v>1371.0216949285805</v>
      </c>
      <c r="I16" s="736">
        <v>1108.159127109865</v>
      </c>
      <c r="J16" s="869">
        <v>651.83991594276995</v>
      </c>
      <c r="K16" s="402"/>
      <c r="L16" s="4"/>
      <c r="M16" s="4"/>
      <c r="N16" s="4"/>
      <c r="O16" s="4"/>
      <c r="P16" s="4"/>
      <c r="Q16" s="4"/>
      <c r="R16" s="4"/>
      <c r="S16" s="4"/>
      <c r="T16" s="4"/>
      <c r="U16" s="4"/>
      <c r="V16" s="4"/>
      <c r="W16" s="4"/>
      <c r="X16" s="4"/>
      <c r="Y16" s="4"/>
      <c r="Z16" s="4"/>
      <c r="AA16" s="4"/>
      <c r="AB16" s="4"/>
      <c r="AC16" s="4"/>
      <c r="AD16" s="4"/>
      <c r="AE16" s="4"/>
    </row>
    <row r="17" spans="1:141" s="440" customFormat="1" ht="15.75" thickBot="1" x14ac:dyDescent="0.3">
      <c r="A17" s="872" t="s">
        <v>295</v>
      </c>
      <c r="B17" s="448">
        <f t="shared" ref="B17:D17" si="5">B15+B14+B11+B9</f>
        <v>6072</v>
      </c>
      <c r="C17" s="448">
        <f t="shared" si="5"/>
        <v>3367</v>
      </c>
      <c r="D17" s="448">
        <f t="shared" si="5"/>
        <v>4126</v>
      </c>
      <c r="E17" s="448">
        <f>E15+E14+E11+E9</f>
        <v>3421</v>
      </c>
      <c r="F17" s="736">
        <f>F16+F14+F11+F9</f>
        <v>3234.6392934993501</v>
      </c>
      <c r="G17" s="736">
        <f t="shared" ref="G17:J17" si="6">G16+G14+G11+G9</f>
        <v>2980.7216312917194</v>
      </c>
      <c r="H17" s="736">
        <f t="shared" si="6"/>
        <v>2723.1648649285803</v>
      </c>
      <c r="I17" s="736">
        <f t="shared" si="6"/>
        <v>2392.6951386098649</v>
      </c>
      <c r="J17" s="869">
        <f t="shared" si="6"/>
        <v>1872.1491268677698</v>
      </c>
      <c r="K17" s="402"/>
      <c r="L17" s="402"/>
      <c r="M17" s="402"/>
      <c r="N17" s="402"/>
      <c r="O17" s="402"/>
      <c r="P17" s="402"/>
      <c r="Q17" s="402"/>
      <c r="R17" s="402"/>
      <c r="S17" s="402"/>
      <c r="T17" s="402"/>
      <c r="U17" s="402"/>
      <c r="V17" s="402"/>
      <c r="W17" s="402"/>
      <c r="X17" s="402"/>
      <c r="Y17" s="402"/>
      <c r="Z17" s="402"/>
      <c r="AA17" s="402"/>
      <c r="AB17" s="402"/>
      <c r="AC17" s="402"/>
      <c r="AD17" s="402"/>
      <c r="AE17" s="402"/>
      <c r="AF17" s="469"/>
      <c r="AG17" s="469"/>
      <c r="AH17" s="469"/>
      <c r="AI17" s="469"/>
      <c r="AJ17" s="469"/>
      <c r="AK17" s="469"/>
      <c r="AL17" s="469"/>
      <c r="AM17" s="469"/>
      <c r="AN17" s="469"/>
      <c r="AO17" s="469"/>
      <c r="AP17" s="469"/>
      <c r="AQ17" s="469"/>
      <c r="AR17" s="469"/>
      <c r="AS17" s="469"/>
      <c r="AT17" s="469"/>
      <c r="AU17" s="469"/>
      <c r="AV17" s="469"/>
      <c r="AW17" s="469"/>
      <c r="AX17" s="469"/>
      <c r="AY17" s="469"/>
      <c r="AZ17" s="469"/>
      <c r="BA17" s="469"/>
      <c r="BB17" s="469"/>
      <c r="BC17" s="469"/>
      <c r="BD17" s="468"/>
      <c r="BE17" s="468"/>
      <c r="BF17" s="468"/>
      <c r="BG17" s="468"/>
      <c r="BH17" s="468"/>
      <c r="BI17" s="468"/>
      <c r="BJ17" s="468"/>
      <c r="BK17" s="468"/>
      <c r="BL17" s="468"/>
      <c r="BM17" s="468"/>
      <c r="BN17" s="468"/>
      <c r="BO17" s="468"/>
      <c r="BP17" s="468"/>
      <c r="BQ17" s="468"/>
      <c r="BR17" s="468"/>
      <c r="BS17" s="468"/>
      <c r="BT17" s="468"/>
      <c r="BU17" s="468"/>
      <c r="BV17" s="468"/>
      <c r="BW17" s="468"/>
      <c r="BX17" s="468"/>
      <c r="BY17" s="468"/>
      <c r="BZ17" s="468"/>
      <c r="CA17" s="468"/>
      <c r="CB17" s="468"/>
      <c r="CC17" s="468"/>
      <c r="CD17" s="468"/>
      <c r="CE17" s="468"/>
      <c r="CF17" s="468"/>
      <c r="CG17" s="468"/>
      <c r="CH17" s="468"/>
      <c r="CI17" s="468"/>
      <c r="CJ17" s="468"/>
      <c r="CK17" s="468"/>
      <c r="CL17" s="468"/>
      <c r="CM17" s="468"/>
      <c r="CN17" s="468"/>
      <c r="CO17" s="468"/>
      <c r="CP17" s="468"/>
      <c r="CQ17" s="468"/>
      <c r="CR17" s="468"/>
      <c r="CS17" s="468"/>
      <c r="CT17" s="468"/>
      <c r="CU17" s="468"/>
      <c r="CV17" s="468"/>
      <c r="CW17" s="468"/>
      <c r="CX17" s="468"/>
      <c r="CY17" s="468"/>
      <c r="CZ17" s="468"/>
      <c r="DA17" s="468"/>
      <c r="DB17" s="468"/>
      <c r="DC17" s="468"/>
      <c r="DD17" s="468"/>
      <c r="DE17" s="468"/>
      <c r="DF17" s="468"/>
      <c r="DG17" s="468"/>
      <c r="DH17" s="468"/>
      <c r="DI17" s="468"/>
      <c r="DJ17" s="468"/>
      <c r="DK17" s="468"/>
      <c r="DL17" s="468"/>
      <c r="DM17" s="468"/>
      <c r="DN17" s="468"/>
      <c r="DO17" s="468"/>
      <c r="DP17" s="468"/>
      <c r="DQ17" s="468"/>
      <c r="DR17" s="468"/>
      <c r="DS17" s="468"/>
      <c r="DT17" s="468"/>
      <c r="DU17" s="468"/>
      <c r="DV17" s="468"/>
      <c r="DW17" s="468"/>
      <c r="DX17" s="468"/>
      <c r="DY17" s="468"/>
      <c r="DZ17" s="468"/>
      <c r="EA17" s="468"/>
      <c r="EB17" s="468"/>
      <c r="EC17" s="468"/>
      <c r="ED17" s="468"/>
      <c r="EE17" s="468"/>
      <c r="EF17" s="468"/>
      <c r="EG17" s="468"/>
      <c r="EH17" s="468"/>
      <c r="EI17" s="468"/>
      <c r="EJ17" s="468"/>
      <c r="EK17" s="468"/>
    </row>
    <row r="18" spans="1:141" s="1" customFormat="1" x14ac:dyDescent="0.25">
      <c r="A18" s="872" t="s">
        <v>456</v>
      </c>
      <c r="B18" s="448">
        <v>-340</v>
      </c>
      <c r="C18" s="449">
        <f t="shared" ref="C18:E18" si="7">B17-C17</f>
        <v>2705</v>
      </c>
      <c r="D18" s="449">
        <f t="shared" si="7"/>
        <v>-759</v>
      </c>
      <c r="E18" s="449">
        <f t="shared" si="7"/>
        <v>705</v>
      </c>
      <c r="F18" s="736">
        <f>E17-F17</f>
        <v>186.36070650064994</v>
      </c>
      <c r="G18" s="736">
        <f t="shared" ref="G18:I18" si="8">F17-G17</f>
        <v>253.91766220763066</v>
      </c>
      <c r="H18" s="736">
        <f>G17-H17</f>
        <v>257.5567663631391</v>
      </c>
      <c r="I18" s="736">
        <f t="shared" si="8"/>
        <v>330.4697263187154</v>
      </c>
      <c r="J18" s="869">
        <f>I17-J17</f>
        <v>520.54601174209506</v>
      </c>
      <c r="K18" s="402"/>
      <c r="L18" s="4"/>
      <c r="M18" s="4"/>
      <c r="N18" s="4"/>
      <c r="O18" s="4"/>
      <c r="P18" s="4"/>
      <c r="Q18" s="4"/>
      <c r="R18" s="4"/>
      <c r="S18" s="4"/>
      <c r="T18" s="4"/>
      <c r="U18" s="4"/>
      <c r="V18" s="4"/>
      <c r="W18" s="4"/>
      <c r="X18" s="4"/>
      <c r="Y18" s="4"/>
      <c r="Z18" s="4"/>
      <c r="AA18" s="4"/>
      <c r="AB18" s="4"/>
      <c r="AC18" s="4"/>
      <c r="AD18" s="4"/>
      <c r="AE18" s="4"/>
    </row>
    <row r="19" spans="1:141" x14ac:dyDescent="0.25">
      <c r="A19" s="461"/>
      <c r="B19" s="4"/>
      <c r="C19" s="4"/>
      <c r="D19" s="4"/>
      <c r="E19" s="4"/>
      <c r="F19" s="66"/>
      <c r="G19" s="66"/>
      <c r="H19" s="66"/>
      <c r="I19" s="66"/>
      <c r="J19" s="499"/>
      <c r="K19" s="402"/>
      <c r="L19" s="4"/>
      <c r="M19" s="4"/>
      <c r="N19" s="4"/>
      <c r="O19" s="4"/>
      <c r="P19" s="4"/>
      <c r="Q19" s="4"/>
      <c r="R19" s="4"/>
      <c r="S19" s="4"/>
      <c r="T19" s="4"/>
      <c r="U19" s="4"/>
      <c r="V19" s="4"/>
      <c r="W19" s="4"/>
      <c r="X19" s="4"/>
      <c r="Y19" s="4"/>
      <c r="Z19" s="4"/>
      <c r="AA19" s="4"/>
      <c r="AB19" s="4"/>
      <c r="AC19" s="4"/>
      <c r="AD19" s="4"/>
      <c r="AE19" s="4"/>
    </row>
    <row r="20" spans="1:141" x14ac:dyDescent="0.25">
      <c r="A20" s="461"/>
      <c r="B20" s="4"/>
      <c r="C20" s="4"/>
      <c r="D20" s="4"/>
      <c r="E20" s="4"/>
      <c r="F20" s="66"/>
      <c r="G20" s="66"/>
      <c r="H20" s="66"/>
      <c r="I20" s="66"/>
      <c r="J20" s="499"/>
      <c r="K20" s="402"/>
      <c r="L20" s="4"/>
      <c r="M20" s="4"/>
      <c r="N20" s="4"/>
      <c r="O20" s="4"/>
      <c r="P20" s="4"/>
      <c r="Q20" s="4"/>
      <c r="R20" s="4"/>
      <c r="S20" s="4"/>
      <c r="T20" s="4"/>
      <c r="U20" s="4"/>
      <c r="V20" s="4"/>
      <c r="W20" s="4"/>
      <c r="X20" s="4"/>
      <c r="Y20" s="4"/>
      <c r="Z20" s="4"/>
      <c r="AA20" s="4"/>
      <c r="AB20" s="4"/>
      <c r="AC20" s="4"/>
      <c r="AD20" s="4"/>
      <c r="AE20" s="4"/>
    </row>
    <row r="21" spans="1:141" ht="17.25" customHeight="1" x14ac:dyDescent="0.25">
      <c r="A21" s="868" t="s">
        <v>544</v>
      </c>
      <c r="B21" s="446"/>
      <c r="C21" s="446">
        <f t="shared" ref="C21:J21" si="9">C1</f>
        <v>2016</v>
      </c>
      <c r="D21" s="446">
        <f t="shared" si="9"/>
        <v>2017</v>
      </c>
      <c r="E21" s="446">
        <f t="shared" si="9"/>
        <v>2018</v>
      </c>
      <c r="F21" s="319" t="str">
        <f t="shared" si="9"/>
        <v>2019 E</v>
      </c>
      <c r="G21" s="319" t="str">
        <f t="shared" si="9"/>
        <v>2020 E</v>
      </c>
      <c r="H21" s="319" t="str">
        <f t="shared" si="9"/>
        <v>2021 E</v>
      </c>
      <c r="I21" s="319" t="str">
        <f t="shared" si="9"/>
        <v>2022 E</v>
      </c>
      <c r="J21" s="870" t="str">
        <f t="shared" si="9"/>
        <v>2023 E</v>
      </c>
      <c r="K21" s="402"/>
      <c r="L21" s="4"/>
      <c r="M21" s="4"/>
      <c r="N21" s="4"/>
      <c r="O21" s="4"/>
      <c r="P21" s="4"/>
      <c r="Q21" s="4"/>
      <c r="R21" s="4"/>
      <c r="S21" s="4"/>
      <c r="T21" s="4"/>
      <c r="U21" s="4"/>
      <c r="V21" s="4"/>
      <c r="W21" s="4"/>
      <c r="X21" s="4"/>
      <c r="Y21" s="4"/>
      <c r="Z21" s="4"/>
      <c r="AA21" s="4"/>
      <c r="AB21" s="4"/>
      <c r="AC21" s="4"/>
      <c r="AD21" s="4"/>
      <c r="AE21" s="4"/>
    </row>
    <row r="22" spans="1:141" x14ac:dyDescent="0.25">
      <c r="A22" s="874" t="s">
        <v>549</v>
      </c>
      <c r="B22" s="448"/>
      <c r="C22" s="449">
        <f>BS!C38+BS!C46</f>
        <v>10215</v>
      </c>
      <c r="D22" s="449">
        <f>BS!D38+BS!D46</f>
        <v>8722</v>
      </c>
      <c r="E22" s="449">
        <f>BS!E38+BS!E46</f>
        <v>9028</v>
      </c>
      <c r="F22" s="739">
        <f>F25*F23</f>
        <v>7521.6343642478387</v>
      </c>
      <c r="G22" s="739">
        <f t="shared" ref="G22:I22" si="10">G25*G23</f>
        <v>8767.8606519464374</v>
      </c>
      <c r="H22" s="739">
        <f t="shared" si="10"/>
        <v>8505.9919341585646</v>
      </c>
      <c r="I22" s="739">
        <f t="shared" si="10"/>
        <v>8170.681374875674</v>
      </c>
      <c r="J22" s="875">
        <f>J25*J23</f>
        <v>6464.637383625045</v>
      </c>
      <c r="K22" s="4"/>
      <c r="L22" s="4"/>
      <c r="M22" s="4"/>
      <c r="N22" s="4"/>
      <c r="O22" s="4"/>
      <c r="P22" s="4"/>
      <c r="Q22" s="4"/>
      <c r="R22" s="4"/>
      <c r="S22" s="4"/>
      <c r="T22" s="4"/>
      <c r="U22" s="4"/>
      <c r="V22" s="4"/>
      <c r="W22" s="4"/>
      <c r="X22" s="4"/>
      <c r="Y22" s="4"/>
      <c r="Z22" s="4"/>
      <c r="AA22" s="4"/>
      <c r="AB22" s="4"/>
      <c r="AC22" s="4"/>
      <c r="AD22" s="4"/>
      <c r="AE22" s="4"/>
    </row>
    <row r="23" spans="1:141" x14ac:dyDescent="0.25">
      <c r="A23" s="874" t="s">
        <v>304</v>
      </c>
      <c r="B23" s="448"/>
      <c r="C23" s="449">
        <f>IS!G19-DEP!C45</f>
        <v>1698</v>
      </c>
      <c r="D23" s="594">
        <f>IS!H19-DEP!D45</f>
        <v>1900</v>
      </c>
      <c r="E23" s="449">
        <f>DCF!B19</f>
        <v>1866</v>
      </c>
      <c r="F23" s="736">
        <f>DCF!C19</f>
        <v>1880.4085910619597</v>
      </c>
      <c r="G23" s="736">
        <f>DCF!D19</f>
        <v>1906.056663466617</v>
      </c>
      <c r="H23" s="736">
        <f>DCF!E19</f>
        <v>1933.1799850360371</v>
      </c>
      <c r="I23" s="736">
        <f>DCF!F19</f>
        <v>1945.4003273513508</v>
      </c>
      <c r="J23" s="869">
        <f>DCF!G19</f>
        <v>1958.9810253409228</v>
      </c>
      <c r="K23" s="4"/>
      <c r="L23" s="4"/>
      <c r="M23" s="4"/>
      <c r="N23" s="4"/>
      <c r="O23" s="4"/>
      <c r="P23" s="4"/>
      <c r="Q23" s="4"/>
      <c r="R23" s="4"/>
      <c r="S23" s="4"/>
      <c r="T23" s="4"/>
      <c r="U23" s="4"/>
      <c r="V23" s="4"/>
      <c r="W23" s="4"/>
      <c r="X23" s="4"/>
      <c r="Y23" s="4"/>
      <c r="Z23" s="4"/>
      <c r="AA23" s="4"/>
      <c r="AB23" s="4"/>
      <c r="AC23" s="4"/>
      <c r="AD23" s="4"/>
      <c r="AE23" s="4"/>
    </row>
    <row r="24" spans="1:141" x14ac:dyDescent="0.25">
      <c r="A24" s="461"/>
      <c r="B24" s="4"/>
      <c r="C24" s="4"/>
      <c r="D24" s="4"/>
      <c r="E24" s="4"/>
      <c r="F24" s="66"/>
      <c r="G24" s="66"/>
      <c r="H24" s="66"/>
      <c r="I24" s="66"/>
      <c r="J24" s="499"/>
      <c r="K24" s="4"/>
      <c r="L24" s="4"/>
      <c r="M24" s="4"/>
      <c r="N24" s="4"/>
      <c r="O24" s="4"/>
      <c r="P24" s="4"/>
      <c r="Q24" s="4"/>
      <c r="R24" s="4"/>
      <c r="S24" s="4"/>
      <c r="T24" s="4"/>
      <c r="U24" s="4"/>
      <c r="V24" s="4"/>
      <c r="W24" s="4"/>
      <c r="X24" s="4"/>
      <c r="Y24" s="4"/>
      <c r="Z24" s="4"/>
      <c r="AA24" s="4"/>
      <c r="AB24" s="4"/>
      <c r="AC24" s="4"/>
      <c r="AD24" s="4"/>
      <c r="AE24" s="4"/>
    </row>
    <row r="25" spans="1:141" x14ac:dyDescent="0.25">
      <c r="A25" s="874" t="s">
        <v>545</v>
      </c>
      <c r="B25" s="448"/>
      <c r="C25" s="826">
        <f t="shared" ref="C25:D25" si="11">C22/C23</f>
        <v>6.0159010600706715</v>
      </c>
      <c r="D25" s="826">
        <f t="shared" si="11"/>
        <v>4.5905263157894733</v>
      </c>
      <c r="E25" s="826">
        <f>E22/E23</f>
        <v>4.838156484458735</v>
      </c>
      <c r="F25" s="740">
        <v>4</v>
      </c>
      <c r="G25" s="740">
        <v>4.5999999999999996</v>
      </c>
      <c r="H25" s="740">
        <v>4.4000000000000004</v>
      </c>
      <c r="I25" s="740">
        <v>4.2</v>
      </c>
      <c r="J25" s="876">
        <v>3.3</v>
      </c>
      <c r="K25" s="4"/>
      <c r="L25" s="4"/>
      <c r="M25" s="4"/>
      <c r="N25" s="4"/>
      <c r="O25" s="4"/>
      <c r="P25" s="4"/>
      <c r="Q25" s="4"/>
      <c r="R25" s="4"/>
      <c r="S25" s="4"/>
      <c r="T25" s="4"/>
      <c r="U25" s="4"/>
      <c r="V25" s="4"/>
      <c r="W25" s="4"/>
      <c r="X25" s="4"/>
      <c r="Y25" s="4"/>
      <c r="Z25" s="4"/>
      <c r="AA25" s="4"/>
      <c r="AB25" s="4"/>
      <c r="AC25" s="4"/>
      <c r="AD25" s="4"/>
      <c r="AE25" s="4"/>
    </row>
    <row r="26" spans="1:141" x14ac:dyDescent="0.25">
      <c r="A26" s="529" t="s">
        <v>546</v>
      </c>
      <c r="B26" s="14"/>
      <c r="C26" s="526">
        <f>BS!C46+BS!C38</f>
        <v>10215</v>
      </c>
      <c r="D26" s="526">
        <f>BS!D46+BS!D38</f>
        <v>8722</v>
      </c>
      <c r="E26" s="526">
        <f>BS!E46+BS!E38</f>
        <v>9028</v>
      </c>
      <c r="F26" s="289">
        <f>BS!F46+BS!F38</f>
        <v>8841.6392934993492</v>
      </c>
      <c r="G26" s="289">
        <f>BS!G46+BS!G38</f>
        <v>8587.7216312917189</v>
      </c>
      <c r="H26" s="289">
        <f>BS!H46+BS!H38</f>
        <v>8330.1648649285798</v>
      </c>
      <c r="I26" s="289">
        <f>BS!I46+BS!I38</f>
        <v>7999.6951386098644</v>
      </c>
      <c r="J26" s="716">
        <f>BS!J46+BS!J38</f>
        <v>7479.1491268677692</v>
      </c>
      <c r="K26" s="4"/>
      <c r="L26" s="4"/>
      <c r="M26" s="4"/>
      <c r="N26" s="4"/>
      <c r="O26" s="4"/>
      <c r="P26" s="4"/>
      <c r="Q26" s="4"/>
      <c r="R26" s="4"/>
      <c r="S26" s="4"/>
      <c r="T26" s="4"/>
      <c r="U26" s="4"/>
      <c r="V26" s="4"/>
      <c r="W26" s="4"/>
      <c r="X26" s="4"/>
      <c r="Y26" s="4"/>
      <c r="Z26" s="4"/>
      <c r="AA26" s="4"/>
      <c r="AB26" s="4"/>
      <c r="AC26" s="4"/>
      <c r="AD26" s="4"/>
      <c r="AE26" s="4"/>
    </row>
    <row r="27" spans="1:141" x14ac:dyDescent="0.25">
      <c r="A27" s="529" t="s">
        <v>547</v>
      </c>
      <c r="B27" s="14"/>
      <c r="C27" s="14"/>
      <c r="D27" s="14"/>
      <c r="E27" s="14"/>
      <c r="F27" s="289">
        <f>F22-F26</f>
        <v>-1320.0049292515105</v>
      </c>
      <c r="G27" s="289">
        <f>G22-G26</f>
        <v>180.13902065471848</v>
      </c>
      <c r="H27" s="289">
        <f>H22-H26</f>
        <v>175.82706922998477</v>
      </c>
      <c r="I27" s="289">
        <f>I22-I26</f>
        <v>170.98623626580957</v>
      </c>
      <c r="J27" s="716">
        <f>J22-J26</f>
        <v>-1014.5117432427242</v>
      </c>
      <c r="K27" s="4"/>
      <c r="L27" s="4"/>
      <c r="M27" s="4"/>
      <c r="N27" s="4"/>
      <c r="O27" s="4"/>
      <c r="P27" s="4"/>
      <c r="Q27" s="4"/>
      <c r="R27" s="4"/>
      <c r="S27" s="4"/>
      <c r="T27" s="4"/>
      <c r="U27" s="4"/>
      <c r="V27" s="4"/>
      <c r="W27" s="4"/>
      <c r="X27" s="4"/>
      <c r="Y27" s="4"/>
      <c r="Z27" s="4"/>
      <c r="AA27" s="4"/>
      <c r="AB27" s="4"/>
      <c r="AC27" s="4"/>
      <c r="AD27" s="4"/>
      <c r="AE27" s="4"/>
    </row>
    <row r="28" spans="1:141" ht="15.75" thickBot="1" x14ac:dyDescent="0.3">
      <c r="A28" s="735"/>
      <c r="B28" s="523"/>
      <c r="C28" s="523"/>
      <c r="D28" s="523"/>
      <c r="E28" s="523"/>
      <c r="F28" s="332"/>
      <c r="G28" s="332"/>
      <c r="H28" s="332"/>
      <c r="I28" s="332"/>
      <c r="J28" s="542"/>
      <c r="K28" s="4"/>
      <c r="L28" s="4"/>
      <c r="M28" s="4"/>
      <c r="N28" s="4"/>
      <c r="O28" s="4"/>
      <c r="P28" s="4"/>
      <c r="Q28" s="4"/>
      <c r="R28" s="4"/>
      <c r="S28" s="4"/>
      <c r="T28" s="4"/>
      <c r="U28" s="4"/>
      <c r="V28" s="4"/>
      <c r="W28" s="4"/>
      <c r="X28" s="4"/>
      <c r="Y28" s="4"/>
      <c r="Z28" s="4"/>
      <c r="AA28" s="4"/>
      <c r="AB28" s="4"/>
      <c r="AC28" s="4"/>
      <c r="AD28" s="4"/>
      <c r="AE28" s="4"/>
    </row>
    <row r="29" spans="1:141" x14ac:dyDescent="0.25">
      <c r="K29" s="4"/>
      <c r="L29" s="4"/>
      <c r="M29" s="4"/>
      <c r="N29" s="4"/>
      <c r="O29" s="4"/>
      <c r="P29" s="4"/>
      <c r="Q29" s="4"/>
      <c r="R29" s="4"/>
      <c r="S29" s="4"/>
      <c r="T29" s="4"/>
      <c r="U29" s="4"/>
      <c r="V29" s="4"/>
      <c r="W29" s="4"/>
      <c r="X29" s="4"/>
      <c r="Y29" s="4"/>
      <c r="Z29" s="4"/>
      <c r="AA29" s="4"/>
      <c r="AB29" s="4"/>
      <c r="AC29" s="4"/>
      <c r="AD29" s="4"/>
      <c r="AE29" s="4"/>
    </row>
    <row r="30" spans="1:141" x14ac:dyDescent="0.25">
      <c r="K30" s="4"/>
      <c r="L30" s="4"/>
      <c r="M30" s="4"/>
      <c r="N30" s="4"/>
      <c r="O30" s="4"/>
      <c r="P30" s="4"/>
      <c r="Q30" s="4"/>
      <c r="R30" s="4"/>
      <c r="S30" s="4"/>
      <c r="T30" s="4"/>
      <c r="U30" s="4"/>
      <c r="V30" s="4"/>
      <c r="W30" s="4"/>
      <c r="X30" s="4"/>
      <c r="Y30" s="4"/>
      <c r="Z30" s="4"/>
      <c r="AA30" s="4"/>
      <c r="AB30" s="4"/>
      <c r="AC30" s="4"/>
      <c r="AD30" s="4"/>
      <c r="AE30" s="4"/>
    </row>
    <row r="31" spans="1:141" x14ac:dyDescent="0.25">
      <c r="K31" s="4"/>
      <c r="L31" s="4"/>
      <c r="M31" s="4"/>
      <c r="N31" s="4"/>
      <c r="O31" s="4"/>
      <c r="P31" s="4"/>
      <c r="Q31" s="4"/>
      <c r="R31" s="4"/>
      <c r="S31" s="4"/>
      <c r="T31" s="4"/>
      <c r="U31" s="4"/>
      <c r="V31" s="4"/>
      <c r="W31" s="4"/>
      <c r="X31" s="4"/>
      <c r="Y31" s="4"/>
      <c r="Z31" s="4"/>
      <c r="AA31" s="4"/>
      <c r="AB31" s="4"/>
      <c r="AC31" s="4"/>
      <c r="AD31" s="4"/>
      <c r="AE31" s="4"/>
    </row>
    <row r="32" spans="1:141" x14ac:dyDescent="0.25">
      <c r="K32" s="4"/>
      <c r="L32" s="4"/>
      <c r="M32" s="4"/>
      <c r="N32" s="4"/>
      <c r="O32" s="4"/>
      <c r="P32" s="4"/>
      <c r="Q32" s="4"/>
      <c r="R32" s="4"/>
      <c r="S32" s="4"/>
      <c r="T32" s="4"/>
      <c r="U32" s="4"/>
      <c r="V32" s="4"/>
      <c r="W32" s="4"/>
      <c r="X32" s="4"/>
      <c r="Y32" s="4"/>
      <c r="Z32" s="4"/>
      <c r="AA32" s="4"/>
      <c r="AB32" s="4"/>
      <c r="AC32" s="4"/>
      <c r="AD32" s="4"/>
      <c r="AE32" s="4"/>
    </row>
    <row r="33" spans="11:31" x14ac:dyDescent="0.25">
      <c r="K33" s="4"/>
      <c r="L33" s="4"/>
      <c r="M33" s="4"/>
      <c r="N33" s="4"/>
      <c r="O33" s="4"/>
      <c r="P33" s="4"/>
      <c r="Q33" s="4"/>
      <c r="R33" s="4"/>
      <c r="S33" s="4"/>
      <c r="T33" s="4"/>
      <c r="U33" s="4"/>
      <c r="V33" s="4"/>
      <c r="W33" s="4"/>
      <c r="X33" s="4"/>
      <c r="Y33" s="4"/>
      <c r="Z33" s="4"/>
      <c r="AA33" s="4"/>
      <c r="AB33" s="4"/>
      <c r="AC33" s="4"/>
      <c r="AD33" s="4"/>
      <c r="AE33" s="4"/>
    </row>
    <row r="34" spans="11:31" x14ac:dyDescent="0.25">
      <c r="K34" s="4"/>
      <c r="L34" s="4"/>
      <c r="M34" s="4"/>
      <c r="N34" s="4"/>
      <c r="O34" s="4"/>
      <c r="P34" s="4"/>
      <c r="Q34" s="4"/>
      <c r="R34" s="4"/>
      <c r="S34" s="4"/>
      <c r="T34" s="4"/>
      <c r="U34" s="4"/>
      <c r="V34" s="4"/>
      <c r="W34" s="4"/>
      <c r="X34" s="4"/>
      <c r="Y34" s="4"/>
      <c r="Z34" s="4"/>
      <c r="AA34" s="4"/>
      <c r="AB34" s="4"/>
      <c r="AC34" s="4"/>
      <c r="AD34" s="4"/>
      <c r="AE34" s="4"/>
    </row>
    <row r="35" spans="11:31" x14ac:dyDescent="0.25">
      <c r="K35" s="4"/>
      <c r="L35" s="4"/>
      <c r="M35" s="4"/>
      <c r="N35" s="4"/>
      <c r="O35" s="4"/>
      <c r="P35" s="4"/>
      <c r="Q35" s="4"/>
      <c r="R35" s="4"/>
      <c r="S35" s="4"/>
      <c r="T35" s="4"/>
      <c r="U35" s="4"/>
      <c r="V35" s="4"/>
      <c r="W35" s="4"/>
      <c r="X35" s="4"/>
      <c r="Y35" s="4"/>
      <c r="Z35" s="4"/>
      <c r="AA35" s="4"/>
      <c r="AB35" s="4"/>
      <c r="AC35" s="4"/>
      <c r="AD35" s="4"/>
      <c r="AE35" s="4"/>
    </row>
  </sheetData>
  <pageMargins left="0.7" right="0.7" top="0.75" bottom="0.75" header="0.3" footer="0.3"/>
  <pageSetup paperSize="9" orientation="portrait"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93"/>
  <sheetViews>
    <sheetView zoomScale="70" zoomScaleNormal="70" workbookViewId="0">
      <pane xSplit="1" topLeftCell="B1" activePane="topRight" state="frozen"/>
      <selection pane="topRight" activeCell="D79" sqref="D79"/>
    </sheetView>
  </sheetViews>
  <sheetFormatPr defaultRowHeight="15" x14ac:dyDescent="0.25"/>
  <cols>
    <col min="1" max="1" width="64.85546875" style="265" customWidth="1"/>
    <col min="2" max="2" width="17.7109375" style="211" customWidth="1"/>
    <col min="3" max="3" width="17.7109375" style="210" bestFit="1" customWidth="1"/>
    <col min="4" max="4" width="17.28515625" style="229" bestFit="1" customWidth="1"/>
    <col min="5" max="5" width="17.7109375" style="229" bestFit="1" customWidth="1"/>
    <col min="6" max="10" width="17.85546875" style="210" bestFit="1" customWidth="1"/>
    <col min="11" max="11" width="20.5703125" style="210" bestFit="1" customWidth="1"/>
    <col min="12" max="12" width="9.140625" style="210"/>
    <col min="13" max="13" width="8.7109375" style="210" customWidth="1"/>
    <col min="14" max="14" width="18" style="210" bestFit="1" customWidth="1"/>
    <col min="15" max="15" width="21.7109375" style="210" bestFit="1" customWidth="1"/>
    <col min="16" max="17" width="17.42578125" style="210" customWidth="1"/>
    <col min="18" max="16384" width="9.140625" style="210"/>
  </cols>
  <sheetData>
    <row r="1" spans="1:17" s="209" customFormat="1" ht="19.5" thickBot="1" x14ac:dyDescent="0.35">
      <c r="A1" s="603" t="s">
        <v>340</v>
      </c>
      <c r="B1" s="605">
        <v>42460</v>
      </c>
      <c r="C1" s="606">
        <v>42825</v>
      </c>
      <c r="D1" s="605">
        <v>43190</v>
      </c>
      <c r="E1" s="607">
        <v>43555</v>
      </c>
      <c r="F1" s="602">
        <v>43921</v>
      </c>
      <c r="G1" s="602">
        <v>44286</v>
      </c>
      <c r="H1" s="602">
        <v>44651</v>
      </c>
      <c r="I1" s="602">
        <v>45016</v>
      </c>
      <c r="J1" s="602">
        <v>45382</v>
      </c>
      <c r="K1" s="660" t="s">
        <v>400</v>
      </c>
    </row>
    <row r="2" spans="1:17" s="211" customFormat="1" x14ac:dyDescent="0.25">
      <c r="A2" s="604" t="s">
        <v>341</v>
      </c>
      <c r="B2" s="649"/>
      <c r="C2" s="649"/>
      <c r="D2" s="649"/>
      <c r="E2" s="649"/>
      <c r="F2" s="650"/>
      <c r="G2" s="650"/>
      <c r="H2" s="650"/>
      <c r="I2" s="650"/>
      <c r="J2" s="650"/>
      <c r="K2" s="650"/>
    </row>
    <row r="3" spans="1:17" s="212" customFormat="1" x14ac:dyDescent="0.25">
      <c r="A3" s="608" t="s">
        <v>342</v>
      </c>
      <c r="B3" s="609">
        <v>129</v>
      </c>
      <c r="C3" s="610">
        <v>129</v>
      </c>
      <c r="D3" s="611">
        <v>123</v>
      </c>
      <c r="E3" s="612">
        <v>122</v>
      </c>
      <c r="F3" s="651">
        <f>E3*(1+$F$22)</f>
        <v>119.56</v>
      </c>
      <c r="G3" s="651">
        <f>E3*0.85</f>
        <v>103.7</v>
      </c>
      <c r="H3" s="651">
        <f>G3*(1+$H$22)</f>
        <v>104.21849999999999</v>
      </c>
      <c r="I3" s="651">
        <f>H3*(1+$I$22)</f>
        <v>105.260685</v>
      </c>
      <c r="J3" s="651">
        <f>I3*(1+$J$22)</f>
        <v>106.31329185</v>
      </c>
      <c r="K3" s="651">
        <f>J3-E3</f>
        <v>-15.686708150000001</v>
      </c>
      <c r="N3" s="266" t="s">
        <v>420</v>
      </c>
      <c r="O3" s="266"/>
      <c r="P3" s="266"/>
    </row>
    <row r="4" spans="1:17" hidden="1" x14ac:dyDescent="0.25">
      <c r="A4" s="613" t="s">
        <v>373</v>
      </c>
      <c r="B4" s="614">
        <v>7</v>
      </c>
      <c r="C4" s="615">
        <v>7</v>
      </c>
      <c r="D4" s="616">
        <v>8</v>
      </c>
      <c r="E4" s="617">
        <v>7</v>
      </c>
      <c r="F4" s="651">
        <f>E4*(1+$F$22)</f>
        <v>6.8599999999999994</v>
      </c>
      <c r="G4" s="651">
        <f>F4*(1+$G$22)</f>
        <v>6.8256999999999994</v>
      </c>
      <c r="H4" s="651">
        <f>G4*(1+$H$22)</f>
        <v>6.859828499999999</v>
      </c>
      <c r="I4" s="651">
        <f>H4*(1+$I$22)</f>
        <v>6.9284267849999992</v>
      </c>
      <c r="J4" s="651">
        <f>I4*(1+$J$22)</f>
        <v>6.9977110528499988</v>
      </c>
      <c r="K4" s="651">
        <f t="shared" ref="K4:K20" si="0">J4-E4</f>
        <v>-2.2889471500011638E-3</v>
      </c>
      <c r="N4" s="267"/>
      <c r="O4" s="267"/>
      <c r="P4" s="267"/>
    </row>
    <row r="5" spans="1:17" hidden="1" x14ac:dyDescent="0.25">
      <c r="A5" s="613" t="s">
        <v>374</v>
      </c>
      <c r="B5" s="614">
        <v>12</v>
      </c>
      <c r="C5" s="615">
        <v>12</v>
      </c>
      <c r="D5" s="616">
        <v>5</v>
      </c>
      <c r="E5" s="617">
        <v>5</v>
      </c>
      <c r="F5" s="651">
        <f>E5*(1+$F$22)</f>
        <v>4.9000000000000004</v>
      </c>
      <c r="G5" s="651">
        <f>F5*(1+$G$22)</f>
        <v>4.8755000000000006</v>
      </c>
      <c r="H5" s="651">
        <f>G5*(1+$H$22)</f>
        <v>4.8998774999999997</v>
      </c>
      <c r="I5" s="651">
        <f>H5*(1+$I$22)</f>
        <v>4.9488762749999999</v>
      </c>
      <c r="J5" s="651">
        <f>I5*(1+$J$22)</f>
        <v>4.9983650377500002</v>
      </c>
      <c r="K5" s="651">
        <f t="shared" si="0"/>
        <v>-1.6349622499998162E-3</v>
      </c>
      <c r="N5" s="267"/>
      <c r="O5" s="267"/>
      <c r="P5" s="267"/>
    </row>
    <row r="6" spans="1:17" s="212" customFormat="1" x14ac:dyDescent="0.25">
      <c r="A6" s="608" t="s">
        <v>375</v>
      </c>
      <c r="B6" s="609">
        <v>445</v>
      </c>
      <c r="C6" s="610">
        <v>446</v>
      </c>
      <c r="D6" s="611">
        <v>435</v>
      </c>
      <c r="E6" s="612">
        <v>439</v>
      </c>
      <c r="F6" s="651">
        <f>E6*(1-1%-F22)+P17</f>
        <v>480.89</v>
      </c>
      <c r="G6" s="651">
        <f>F6*(1-1%-G22)+Q17</f>
        <v>515.98554999999999</v>
      </c>
      <c r="H6" s="651">
        <f>G6*(1-1%-H22)+R17</f>
        <v>508.24576674999997</v>
      </c>
      <c r="I6" s="651">
        <f>H6*(1-1%-I22)+S17</f>
        <v>498.08085141499998</v>
      </c>
      <c r="J6" s="651">
        <f>I6*(1-1%-J22)+T17</f>
        <v>488.11923438669999</v>
      </c>
      <c r="K6" s="651">
        <f t="shared" si="0"/>
        <v>49.119234386699986</v>
      </c>
      <c r="N6" s="266"/>
      <c r="O6" s="266"/>
      <c r="P6" s="266"/>
    </row>
    <row r="7" spans="1:17" hidden="1" x14ac:dyDescent="0.25">
      <c r="A7" s="613" t="s">
        <v>373</v>
      </c>
      <c r="B7" s="614">
        <v>64</v>
      </c>
      <c r="C7" s="615">
        <v>104</v>
      </c>
      <c r="D7" s="616">
        <v>108</v>
      </c>
      <c r="E7" s="617">
        <v>104</v>
      </c>
      <c r="F7" s="651">
        <f>E7*(1+$F$22)</f>
        <v>101.92</v>
      </c>
      <c r="G7" s="651">
        <f>F7*(1+$G$22)</f>
        <v>101.4104</v>
      </c>
      <c r="H7" s="651">
        <f t="shared" ref="H7:H16" si="1">G7*(1+$H$22)</f>
        <v>101.91745199999998</v>
      </c>
      <c r="I7" s="651">
        <f t="shared" ref="I7:I16" si="2">H7*(1+$I$22)</f>
        <v>102.93662651999999</v>
      </c>
      <c r="J7" s="651">
        <f t="shared" ref="J7:J16" si="3">I7*(1+$J$22)</f>
        <v>103.96599278519999</v>
      </c>
      <c r="K7" s="651">
        <f t="shared" si="0"/>
        <v>-3.400721480001323E-2</v>
      </c>
      <c r="N7" s="267"/>
      <c r="O7" s="267"/>
      <c r="P7" s="267"/>
    </row>
    <row r="8" spans="1:17" hidden="1" x14ac:dyDescent="0.25">
      <c r="A8" s="613" t="s">
        <v>376</v>
      </c>
      <c r="B8" s="614">
        <v>33</v>
      </c>
      <c r="C8" s="615">
        <v>32</v>
      </c>
      <c r="D8" s="616">
        <v>17</v>
      </c>
      <c r="E8" s="617">
        <v>20</v>
      </c>
      <c r="F8" s="651">
        <f>E8*(1+$F$22)</f>
        <v>19.600000000000001</v>
      </c>
      <c r="G8" s="651">
        <f>F8*(1+$G$22)</f>
        <v>19.502000000000002</v>
      </c>
      <c r="H8" s="651">
        <f t="shared" si="1"/>
        <v>19.599509999999999</v>
      </c>
      <c r="I8" s="651">
        <f t="shared" si="2"/>
        <v>19.7955051</v>
      </c>
      <c r="J8" s="651">
        <f t="shared" si="3"/>
        <v>19.993460151000001</v>
      </c>
      <c r="K8" s="651">
        <f t="shared" si="0"/>
        <v>-6.5398489999992648E-3</v>
      </c>
      <c r="N8" s="267"/>
      <c r="O8" s="267"/>
      <c r="P8" s="267"/>
    </row>
    <row r="9" spans="1:17" s="212" customFormat="1" x14ac:dyDescent="0.25">
      <c r="A9" s="608" t="s">
        <v>2</v>
      </c>
      <c r="B9" s="609">
        <v>709</v>
      </c>
      <c r="C9" s="610">
        <v>750</v>
      </c>
      <c r="D9" s="611">
        <v>790</v>
      </c>
      <c r="E9" s="612">
        <v>765</v>
      </c>
      <c r="F9" s="651">
        <f>E9*(1+$F$22)+P13+P15</f>
        <v>824.69999999999993</v>
      </c>
      <c r="G9" s="651">
        <f>F9*(1+$G$22)+Q13+Q15</f>
        <v>895.5764999999999</v>
      </c>
      <c r="H9" s="651">
        <f t="shared" si="1"/>
        <v>900.05438249999975</v>
      </c>
      <c r="I9" s="651">
        <f t="shared" si="2"/>
        <v>909.05492632499977</v>
      </c>
      <c r="J9" s="651">
        <f t="shared" si="3"/>
        <v>918.14547558824972</v>
      </c>
      <c r="K9" s="651">
        <f t="shared" si="0"/>
        <v>153.14547558824972</v>
      </c>
      <c r="N9" s="266" t="s">
        <v>421</v>
      </c>
      <c r="O9" s="266"/>
      <c r="P9" s="266"/>
    </row>
    <row r="10" spans="1:17" hidden="1" x14ac:dyDescent="0.25">
      <c r="A10" s="613" t="s">
        <v>377</v>
      </c>
      <c r="B10" s="614">
        <v>200</v>
      </c>
      <c r="C10" s="615">
        <v>200</v>
      </c>
      <c r="D10" s="616">
        <v>214</v>
      </c>
      <c r="E10" s="617">
        <v>174</v>
      </c>
      <c r="F10" s="651">
        <f>E10*(1+$F$22)</f>
        <v>170.52</v>
      </c>
      <c r="G10" s="651">
        <f>F10*(1+$G$22)</f>
        <v>169.66740000000001</v>
      </c>
      <c r="H10" s="651">
        <f t="shared" si="1"/>
        <v>170.515737</v>
      </c>
      <c r="I10" s="651">
        <f t="shared" si="2"/>
        <v>172.22089437</v>
      </c>
      <c r="J10" s="651">
        <f t="shared" si="3"/>
        <v>173.94310331369999</v>
      </c>
      <c r="K10" s="651">
        <f t="shared" si="0"/>
        <v>-5.6896686300007104E-2</v>
      </c>
      <c r="N10" s="267"/>
      <c r="O10" s="267"/>
      <c r="P10" s="267"/>
    </row>
    <row r="11" spans="1:17" hidden="1" x14ac:dyDescent="0.25">
      <c r="A11" s="613" t="s">
        <v>343</v>
      </c>
      <c r="B11" s="614">
        <v>133</v>
      </c>
      <c r="C11" s="615">
        <v>144</v>
      </c>
      <c r="D11" s="616">
        <v>162</v>
      </c>
      <c r="E11" s="617">
        <v>177</v>
      </c>
      <c r="F11" s="651">
        <f>E11*(1+$F$22)</f>
        <v>173.46</v>
      </c>
      <c r="G11" s="651">
        <f>F11*(1+$G$22)</f>
        <v>172.59270000000001</v>
      </c>
      <c r="H11" s="651">
        <f t="shared" si="1"/>
        <v>173.45566349999999</v>
      </c>
      <c r="I11" s="651">
        <f t="shared" si="2"/>
        <v>175.19022013499998</v>
      </c>
      <c r="J11" s="651">
        <f t="shared" si="3"/>
        <v>176.94212233634997</v>
      </c>
      <c r="K11" s="651">
        <f t="shared" si="0"/>
        <v>-5.7877663650032218E-2</v>
      </c>
      <c r="N11" s="267" t="s">
        <v>422</v>
      </c>
      <c r="O11" s="267"/>
      <c r="P11" s="267"/>
    </row>
    <row r="12" spans="1:17" hidden="1" x14ac:dyDescent="0.25">
      <c r="A12" s="613" t="s">
        <v>344</v>
      </c>
      <c r="B12" s="614">
        <v>4</v>
      </c>
      <c r="C12" s="615">
        <v>5</v>
      </c>
      <c r="D12" s="616">
        <v>7</v>
      </c>
      <c r="E12" s="617">
        <v>14</v>
      </c>
      <c r="F12" s="651">
        <f>E12*(1+$F$22)</f>
        <v>13.719999999999999</v>
      </c>
      <c r="G12" s="651">
        <f>F12*(1+$G$22)</f>
        <v>13.651399999999999</v>
      </c>
      <c r="H12" s="651">
        <f t="shared" si="1"/>
        <v>13.719656999999998</v>
      </c>
      <c r="I12" s="651">
        <f t="shared" si="2"/>
        <v>13.856853569999998</v>
      </c>
      <c r="J12" s="651">
        <f t="shared" si="3"/>
        <v>13.995422105699998</v>
      </c>
      <c r="K12" s="651">
        <f t="shared" si="0"/>
        <v>-4.5778943000023276E-3</v>
      </c>
      <c r="N12" s="268" t="s">
        <v>425</v>
      </c>
      <c r="O12" s="269">
        <v>300</v>
      </c>
      <c r="P12" s="267" t="s">
        <v>426</v>
      </c>
    </row>
    <row r="13" spans="1:17" s="212" customFormat="1" x14ac:dyDescent="0.25">
      <c r="A13" s="608" t="s">
        <v>4</v>
      </c>
      <c r="B13" s="609">
        <v>851</v>
      </c>
      <c r="C13" s="610">
        <v>869</v>
      </c>
      <c r="D13" s="611">
        <v>901</v>
      </c>
      <c r="E13" s="612">
        <v>892</v>
      </c>
      <c r="F13" s="651">
        <f>E13*(1+$F$22)+P18</f>
        <v>911.66</v>
      </c>
      <c r="G13" s="651">
        <f>F13*(1+$G$22)+Q18</f>
        <v>944.60169999999994</v>
      </c>
      <c r="H13" s="651">
        <f t="shared" si="1"/>
        <v>949.32470849999982</v>
      </c>
      <c r="I13" s="651">
        <f t="shared" si="2"/>
        <v>958.81795558499982</v>
      </c>
      <c r="J13" s="651">
        <f t="shared" si="3"/>
        <v>968.40613514084987</v>
      </c>
      <c r="K13" s="651">
        <f t="shared" si="0"/>
        <v>76.406135140849869</v>
      </c>
      <c r="N13" s="270" t="s">
        <v>423</v>
      </c>
      <c r="O13" s="271">
        <f>$O$12/4</f>
        <v>75</v>
      </c>
      <c r="P13" s="266">
        <f>O13/2</f>
        <v>37.5</v>
      </c>
      <c r="Q13" s="266">
        <f>P13</f>
        <v>37.5</v>
      </c>
    </row>
    <row r="14" spans="1:17" hidden="1" x14ac:dyDescent="0.25">
      <c r="A14" s="613" t="s">
        <v>378</v>
      </c>
      <c r="B14" s="614">
        <v>366</v>
      </c>
      <c r="C14" s="615">
        <v>402</v>
      </c>
      <c r="D14" s="616">
        <v>413</v>
      </c>
      <c r="E14" s="617">
        <v>435</v>
      </c>
      <c r="F14" s="651">
        <f>E14*(1+$F$22)</f>
        <v>426.3</v>
      </c>
      <c r="G14" s="651">
        <f>F14*(1+$G$22)</f>
        <v>424.16849999999999</v>
      </c>
      <c r="H14" s="651">
        <f t="shared" si="1"/>
        <v>426.28934249999998</v>
      </c>
      <c r="I14" s="651">
        <f t="shared" si="2"/>
        <v>430.55223592499999</v>
      </c>
      <c r="J14" s="651">
        <f t="shared" si="3"/>
        <v>434.85775828425</v>
      </c>
      <c r="K14" s="651">
        <f t="shared" si="0"/>
        <v>-0.14224171575000355</v>
      </c>
      <c r="N14" s="272"/>
      <c r="O14" s="271">
        <f t="shared" ref="O14:O18" si="4">$O$12/4</f>
        <v>75</v>
      </c>
      <c r="P14" s="266">
        <f t="shared" ref="P14:P18" si="5">O14/2</f>
        <v>37.5</v>
      </c>
      <c r="Q14" s="266">
        <f t="shared" ref="Q14:Q18" si="6">P14</f>
        <v>37.5</v>
      </c>
    </row>
    <row r="15" spans="1:17" s="212" customFormat="1" x14ac:dyDescent="0.25">
      <c r="A15" s="608" t="s">
        <v>6</v>
      </c>
      <c r="B15" s="609">
        <v>790</v>
      </c>
      <c r="C15" s="610">
        <v>791</v>
      </c>
      <c r="D15" s="611">
        <v>773</v>
      </c>
      <c r="E15" s="612">
        <v>689</v>
      </c>
      <c r="F15" s="651">
        <f>E15*(1+$F$22)</f>
        <v>675.22</v>
      </c>
      <c r="G15" s="651">
        <f>F15*(1+$G$22)</f>
        <v>671.84390000000008</v>
      </c>
      <c r="H15" s="651">
        <f t="shared" si="1"/>
        <v>675.20311949999996</v>
      </c>
      <c r="I15" s="651">
        <f t="shared" si="2"/>
        <v>681.95515069499993</v>
      </c>
      <c r="J15" s="651">
        <f t="shared" si="3"/>
        <v>688.77470220194994</v>
      </c>
      <c r="K15" s="651">
        <f t="shared" si="0"/>
        <v>-0.22529779805006456</v>
      </c>
      <c r="N15" s="270" t="s">
        <v>343</v>
      </c>
      <c r="O15" s="271">
        <f t="shared" si="4"/>
        <v>75</v>
      </c>
      <c r="P15" s="266">
        <f t="shared" si="5"/>
        <v>37.5</v>
      </c>
      <c r="Q15" s="266">
        <f t="shared" si="6"/>
        <v>37.5</v>
      </c>
    </row>
    <row r="16" spans="1:17" hidden="1" x14ac:dyDescent="0.25">
      <c r="A16" s="613" t="s">
        <v>378</v>
      </c>
      <c r="B16" s="614">
        <v>339</v>
      </c>
      <c r="C16" s="615">
        <v>380</v>
      </c>
      <c r="D16" s="616">
        <v>449</v>
      </c>
      <c r="E16" s="617">
        <v>342</v>
      </c>
      <c r="F16" s="651">
        <f>E16*(1+$F$22)</f>
        <v>335.15999999999997</v>
      </c>
      <c r="G16" s="651">
        <f>F16*(1+$G$22)</f>
        <v>333.48419999999999</v>
      </c>
      <c r="H16" s="651">
        <f t="shared" si="1"/>
        <v>335.15162099999998</v>
      </c>
      <c r="I16" s="651">
        <f t="shared" si="2"/>
        <v>338.50313720999998</v>
      </c>
      <c r="J16" s="651">
        <f t="shared" si="3"/>
        <v>341.88816858209998</v>
      </c>
      <c r="K16" s="651">
        <f t="shared" si="0"/>
        <v>-0.11183141790002082</v>
      </c>
      <c r="N16" s="272"/>
      <c r="O16" s="271">
        <f t="shared" si="4"/>
        <v>75</v>
      </c>
      <c r="P16" s="266">
        <f t="shared" si="5"/>
        <v>37.5</v>
      </c>
      <c r="Q16" s="266">
        <f t="shared" si="6"/>
        <v>37.5</v>
      </c>
    </row>
    <row r="17" spans="1:17" s="212" customFormat="1" x14ac:dyDescent="0.25">
      <c r="A17" s="608" t="s">
        <v>339</v>
      </c>
      <c r="B17" s="609">
        <v>6899</v>
      </c>
      <c r="C17" s="618">
        <v>5506</v>
      </c>
      <c r="D17" s="619">
        <v>5362</v>
      </c>
      <c r="E17" s="620">
        <v>5139</v>
      </c>
      <c r="F17" s="651">
        <f>E17*(1+F18)</f>
        <v>5216.0849999999991</v>
      </c>
      <c r="G17" s="651">
        <f>F17*(1+G18)</f>
        <v>5268.2458499999993</v>
      </c>
      <c r="H17" s="651">
        <f>G17*(1+H18)</f>
        <v>5294.5870792499991</v>
      </c>
      <c r="I17" s="651">
        <f t="shared" ref="I17:J17" si="7">H17*(1+I18)</f>
        <v>5321.0600146462484</v>
      </c>
      <c r="J17" s="651">
        <f t="shared" si="7"/>
        <v>5347.6653147194793</v>
      </c>
      <c r="K17" s="651">
        <f t="shared" si="0"/>
        <v>208.66531471947928</v>
      </c>
      <c r="N17" s="270" t="s">
        <v>424</v>
      </c>
      <c r="O17" s="271">
        <f t="shared" si="4"/>
        <v>75</v>
      </c>
      <c r="P17" s="266">
        <f t="shared" si="5"/>
        <v>37.5</v>
      </c>
      <c r="Q17" s="266">
        <f t="shared" si="6"/>
        <v>37.5</v>
      </c>
    </row>
    <row r="18" spans="1:17" s="217" customFormat="1" x14ac:dyDescent="0.25">
      <c r="A18" s="667" t="s">
        <v>427</v>
      </c>
      <c r="B18" s="666"/>
      <c r="C18" s="646"/>
      <c r="D18" s="668">
        <f t="shared" ref="D18:E18" si="8">D17/C17-1</f>
        <v>-2.6153287322920438E-2</v>
      </c>
      <c r="E18" s="668">
        <f t="shared" si="8"/>
        <v>-4.1588959343528575E-2</v>
      </c>
      <c r="F18" s="669">
        <v>1.4999999999999999E-2</v>
      </c>
      <c r="G18" s="669">
        <v>0.01</v>
      </c>
      <c r="H18" s="669">
        <v>5.0000000000000001E-3</v>
      </c>
      <c r="I18" s="669">
        <v>5.0000000000000001E-3</v>
      </c>
      <c r="J18" s="669">
        <v>5.0000000000000001E-3</v>
      </c>
      <c r="K18" s="661"/>
      <c r="N18" s="670" t="s">
        <v>4</v>
      </c>
      <c r="O18" s="671">
        <f t="shared" si="4"/>
        <v>75</v>
      </c>
      <c r="P18" s="672">
        <f t="shared" si="5"/>
        <v>37.5</v>
      </c>
      <c r="Q18" s="672">
        <f t="shared" si="6"/>
        <v>37.5</v>
      </c>
    </row>
    <row r="19" spans="1:17" s="212" customFormat="1" x14ac:dyDescent="0.25">
      <c r="A19" s="608" t="s">
        <v>345</v>
      </c>
      <c r="B19" s="609">
        <v>646</v>
      </c>
      <c r="C19" s="610">
        <v>636</v>
      </c>
      <c r="D19" s="611">
        <v>609</v>
      </c>
      <c r="E19" s="612">
        <v>579</v>
      </c>
      <c r="F19" s="651">
        <f>E19*(1+F18)</f>
        <v>587.68499999999995</v>
      </c>
      <c r="G19" s="651">
        <f>F19*(1+G18)</f>
        <v>593.56184999999994</v>
      </c>
      <c r="H19" s="651">
        <f>G19*(1+$H$22)</f>
        <v>596.5296592499999</v>
      </c>
      <c r="I19" s="651">
        <f>H19*(1+I22)</f>
        <v>602.49495584249985</v>
      </c>
      <c r="J19" s="651">
        <f>I19*(1+J22)</f>
        <v>608.51990540092481</v>
      </c>
      <c r="K19" s="651">
        <f t="shared" si="0"/>
        <v>29.519905400924813</v>
      </c>
    </row>
    <row r="20" spans="1:17" s="212" customFormat="1" x14ac:dyDescent="0.25">
      <c r="A20" s="608" t="s">
        <v>346</v>
      </c>
      <c r="B20" s="609">
        <v>149</v>
      </c>
      <c r="C20" s="610">
        <v>186</v>
      </c>
      <c r="D20" s="611">
        <v>214</v>
      </c>
      <c r="E20" s="612">
        <v>243</v>
      </c>
      <c r="F20" s="651">
        <f>E20*(1+F18)</f>
        <v>246.64499999999998</v>
      </c>
      <c r="G20" s="651">
        <f>F20*(1+G18)</f>
        <v>249.11144999999999</v>
      </c>
      <c r="H20" s="651">
        <f>G20*(1+H22)</f>
        <v>250.35700724999995</v>
      </c>
      <c r="I20" s="651">
        <f>H20*(1+I22)</f>
        <v>252.86057732249995</v>
      </c>
      <c r="J20" s="651">
        <f>I20*(1+$J$22)</f>
        <v>255.38918309572495</v>
      </c>
      <c r="K20" s="651">
        <f t="shared" si="0"/>
        <v>12.389183095724945</v>
      </c>
    </row>
    <row r="21" spans="1:17" s="212" customFormat="1" ht="15.75" thickBot="1" x14ac:dyDescent="0.3">
      <c r="A21" s="608" t="s">
        <v>379</v>
      </c>
      <c r="B21" s="609">
        <f t="shared" ref="B21:I21" si="9">B20+B19+B17+B15+B13+B9+B6+B3</f>
        <v>10618</v>
      </c>
      <c r="C21" s="609">
        <f t="shared" si="9"/>
        <v>9313</v>
      </c>
      <c r="D21" s="609">
        <f t="shared" si="9"/>
        <v>9207</v>
      </c>
      <c r="E21" s="621">
        <f t="shared" si="9"/>
        <v>8868</v>
      </c>
      <c r="F21" s="213">
        <f>F20+F19+F17+F15+F13+F9+F6+F3</f>
        <v>9062.4449999999979</v>
      </c>
      <c r="G21" s="213">
        <f t="shared" si="9"/>
        <v>9242.6268</v>
      </c>
      <c r="H21" s="213">
        <f>H20+H19+H17+H15+H13+H9+H6+H3</f>
        <v>9278.5202229999995</v>
      </c>
      <c r="I21" s="213">
        <f t="shared" si="9"/>
        <v>9329.5851168312474</v>
      </c>
      <c r="J21" s="213">
        <f>J20+J19+J17+J15+J13+J9+J6+J3</f>
        <v>9381.3332423838801</v>
      </c>
      <c r="K21" s="651">
        <f>J21-E21</f>
        <v>513.33324238388013</v>
      </c>
    </row>
    <row r="22" spans="1:17" ht="13.5" customHeight="1" x14ac:dyDescent="0.25">
      <c r="A22" s="622" t="s">
        <v>383</v>
      </c>
      <c r="B22" s="623" t="s">
        <v>49</v>
      </c>
      <c r="C22" s="624">
        <f>C21/B21-1</f>
        <v>-0.12290450178941426</v>
      </c>
      <c r="D22" s="624">
        <f t="shared" ref="D22:E22" si="10">D21/C21-1</f>
        <v>-1.1381939224739623E-2</v>
      </c>
      <c r="E22" s="624">
        <f t="shared" si="10"/>
        <v>-3.6819811013359405E-2</v>
      </c>
      <c r="F22" s="652">
        <v>-0.02</v>
      </c>
      <c r="G22" s="652">
        <v>-5.0000000000000001E-3</v>
      </c>
      <c r="H22" s="652">
        <v>5.0000000000000001E-3</v>
      </c>
      <c r="I22" s="652">
        <v>0.01</v>
      </c>
      <c r="J22" s="652">
        <v>0.01</v>
      </c>
      <c r="K22" s="273"/>
      <c r="N22" s="436" t="s">
        <v>484</v>
      </c>
      <c r="O22" s="437"/>
      <c r="Q22" s="408" t="s">
        <v>485</v>
      </c>
    </row>
    <row r="23" spans="1:17" ht="13.5" customHeight="1" x14ac:dyDescent="0.25">
      <c r="A23" s="662" t="s">
        <v>384</v>
      </c>
      <c r="B23" s="623"/>
      <c r="C23" s="624"/>
      <c r="D23" s="625"/>
      <c r="E23" s="663"/>
      <c r="F23" s="664">
        <f>F21/E21-1</f>
        <v>2.1926589986468015E-2</v>
      </c>
      <c r="G23" s="664">
        <f t="shared" ref="G23:J23" si="11">G21/F21-1</f>
        <v>1.9882250319864347E-2</v>
      </c>
      <c r="H23" s="664">
        <f t="shared" si="11"/>
        <v>3.8834655749595548E-3</v>
      </c>
      <c r="I23" s="664">
        <f t="shared" si="11"/>
        <v>5.5035601156170344E-3</v>
      </c>
      <c r="J23" s="665">
        <f t="shared" si="11"/>
        <v>5.5466695361698903E-3</v>
      </c>
      <c r="K23" s="273"/>
      <c r="N23" s="405"/>
      <c r="O23" s="406"/>
      <c r="Q23" s="408"/>
    </row>
    <row r="24" spans="1:17" s="212" customFormat="1" ht="15.75" customHeight="1" x14ac:dyDescent="0.25">
      <c r="A24" s="608" t="s">
        <v>382</v>
      </c>
      <c r="B24" s="674">
        <v>42460</v>
      </c>
      <c r="C24" s="675">
        <v>42825</v>
      </c>
      <c r="D24" s="674">
        <v>43190</v>
      </c>
      <c r="E24" s="676">
        <v>43555</v>
      </c>
      <c r="F24" s="677">
        <v>43921</v>
      </c>
      <c r="G24" s="677">
        <v>44286</v>
      </c>
      <c r="H24" s="677">
        <v>44651</v>
      </c>
      <c r="I24" s="677">
        <v>45016</v>
      </c>
      <c r="J24" s="677">
        <v>45382</v>
      </c>
      <c r="K24" s="678" t="str">
        <f>K1</f>
        <v>New Addition Growth</v>
      </c>
      <c r="N24" s="407"/>
      <c r="O24" s="679"/>
      <c r="Q24" s="680" t="s">
        <v>486</v>
      </c>
    </row>
    <row r="25" spans="1:17" s="212" customFormat="1" x14ac:dyDescent="0.25">
      <c r="A25" s="608" t="s">
        <v>380</v>
      </c>
      <c r="B25" s="609">
        <v>27</v>
      </c>
      <c r="C25" s="610">
        <v>28</v>
      </c>
      <c r="D25" s="611">
        <v>29</v>
      </c>
      <c r="E25" s="612">
        <v>26</v>
      </c>
      <c r="F25" s="651">
        <f>E25</f>
        <v>26</v>
      </c>
      <c r="G25" s="216">
        <f>F25</f>
        <v>26</v>
      </c>
      <c r="H25" s="651">
        <f>G25</f>
        <v>26</v>
      </c>
      <c r="I25" s="651">
        <f t="shared" ref="I25:J25" si="12">H25</f>
        <v>26</v>
      </c>
      <c r="J25" s="651">
        <f t="shared" si="12"/>
        <v>26</v>
      </c>
      <c r="K25" s="651">
        <f>J25-E25</f>
        <v>0</v>
      </c>
      <c r="N25" s="407" t="s">
        <v>5</v>
      </c>
      <c r="O25" s="271">
        <v>15</v>
      </c>
    </row>
    <row r="26" spans="1:17" hidden="1" x14ac:dyDescent="0.25">
      <c r="A26" s="622" t="s">
        <v>347</v>
      </c>
      <c r="B26" s="623">
        <v>15</v>
      </c>
      <c r="C26" s="615">
        <v>15</v>
      </c>
      <c r="D26" s="616">
        <v>15</v>
      </c>
      <c r="E26" s="617">
        <v>15</v>
      </c>
      <c r="F26" s="653"/>
      <c r="G26" s="273"/>
      <c r="H26" s="273"/>
      <c r="I26" s="273"/>
      <c r="J26" s="273"/>
      <c r="K26" s="651">
        <f t="shared" ref="K26:K57" si="13">J26-E26</f>
        <v>-15</v>
      </c>
      <c r="N26" s="405"/>
      <c r="O26" s="404"/>
    </row>
    <row r="27" spans="1:17" hidden="1" x14ac:dyDescent="0.25">
      <c r="A27" s="622" t="s">
        <v>348</v>
      </c>
      <c r="B27" s="623">
        <v>12</v>
      </c>
      <c r="C27" s="615">
        <v>13</v>
      </c>
      <c r="D27" s="616">
        <v>14</v>
      </c>
      <c r="E27" s="617">
        <v>11</v>
      </c>
      <c r="F27" s="653"/>
      <c r="G27" s="273"/>
      <c r="H27" s="273"/>
      <c r="I27" s="273"/>
      <c r="J27" s="273"/>
      <c r="K27" s="661">
        <f t="shared" si="13"/>
        <v>-11</v>
      </c>
      <c r="N27" s="405"/>
      <c r="O27" s="404"/>
    </row>
    <row r="28" spans="1:17" s="212" customFormat="1" x14ac:dyDescent="0.25">
      <c r="A28" s="608" t="s">
        <v>349</v>
      </c>
      <c r="B28" s="609">
        <v>66</v>
      </c>
      <c r="C28" s="610">
        <v>80</v>
      </c>
      <c r="D28" s="611">
        <v>86</v>
      </c>
      <c r="E28" s="612">
        <v>91</v>
      </c>
      <c r="F28" s="651">
        <f>E28*(1+F33)</f>
        <v>92.364999999999995</v>
      </c>
      <c r="G28" s="651">
        <f t="shared" ref="G28:J28" si="14">F28*(1+G33)</f>
        <v>93.75047499999998</v>
      </c>
      <c r="H28" s="651">
        <f t="shared" si="14"/>
        <v>95.156732124999976</v>
      </c>
      <c r="I28" s="651">
        <f t="shared" si="14"/>
        <v>96.584083106874971</v>
      </c>
      <c r="J28" s="651">
        <f t="shared" si="14"/>
        <v>98.032844353478083</v>
      </c>
      <c r="K28" s="651">
        <f t="shared" si="13"/>
        <v>7.0328443534780831</v>
      </c>
      <c r="N28" s="407" t="s">
        <v>3</v>
      </c>
      <c r="O28" s="271">
        <v>13</v>
      </c>
    </row>
    <row r="29" spans="1:17" hidden="1" x14ac:dyDescent="0.25">
      <c r="A29" s="622" t="s">
        <v>350</v>
      </c>
      <c r="B29" s="623">
        <v>2</v>
      </c>
      <c r="C29" s="615">
        <v>2</v>
      </c>
      <c r="D29" s="616">
        <v>2</v>
      </c>
      <c r="E29" s="617">
        <v>2</v>
      </c>
      <c r="F29" s="653"/>
      <c r="G29" s="273"/>
      <c r="H29" s="273"/>
      <c r="I29" s="273"/>
      <c r="J29" s="273"/>
      <c r="K29" s="651">
        <f t="shared" si="13"/>
        <v>-2</v>
      </c>
      <c r="N29" s="405"/>
      <c r="O29" s="404"/>
    </row>
    <row r="30" spans="1:17" hidden="1" x14ac:dyDescent="0.25">
      <c r="A30" s="622" t="s">
        <v>351</v>
      </c>
      <c r="B30" s="623">
        <v>29</v>
      </c>
      <c r="C30" s="615">
        <v>29</v>
      </c>
      <c r="D30" s="616">
        <v>29</v>
      </c>
      <c r="E30" s="617">
        <v>29</v>
      </c>
      <c r="F30" s="653"/>
      <c r="G30" s="273"/>
      <c r="H30" s="273"/>
      <c r="I30" s="273"/>
      <c r="J30" s="273"/>
      <c r="K30" s="651">
        <f t="shared" si="13"/>
        <v>-29</v>
      </c>
      <c r="N30" s="405"/>
      <c r="O30" s="404"/>
    </row>
    <row r="31" spans="1:17" hidden="1" x14ac:dyDescent="0.25">
      <c r="A31" s="622" t="s">
        <v>352</v>
      </c>
      <c r="B31" s="623">
        <v>24</v>
      </c>
      <c r="C31" s="615">
        <v>24</v>
      </c>
      <c r="D31" s="616">
        <v>24</v>
      </c>
      <c r="E31" s="617">
        <v>24</v>
      </c>
      <c r="F31" s="653"/>
      <c r="G31" s="273"/>
      <c r="H31" s="273"/>
      <c r="I31" s="273"/>
      <c r="J31" s="273"/>
      <c r="K31" s="651">
        <f t="shared" si="13"/>
        <v>-24</v>
      </c>
      <c r="N31" s="405"/>
      <c r="O31" s="404"/>
    </row>
    <row r="32" spans="1:17" hidden="1" x14ac:dyDescent="0.25">
      <c r="A32" s="622" t="s">
        <v>353</v>
      </c>
      <c r="B32" s="623">
        <v>11</v>
      </c>
      <c r="C32" s="615">
        <v>25</v>
      </c>
      <c r="D32" s="616">
        <v>31</v>
      </c>
      <c r="E32" s="617">
        <v>36</v>
      </c>
      <c r="F32" s="653"/>
      <c r="G32" s="273"/>
      <c r="H32" s="273"/>
      <c r="I32" s="273"/>
      <c r="J32" s="273"/>
      <c r="K32" s="651">
        <f t="shared" si="13"/>
        <v>-36</v>
      </c>
      <c r="N32" s="405"/>
      <c r="O32" s="404"/>
    </row>
    <row r="33" spans="1:15" x14ac:dyDescent="0.25">
      <c r="A33" s="622" t="s">
        <v>383</v>
      </c>
      <c r="B33" s="627" t="s">
        <v>49</v>
      </c>
      <c r="C33" s="627">
        <f>C28/B28-1</f>
        <v>0.21212121212121215</v>
      </c>
      <c r="D33" s="627">
        <f>D28/C28-1</f>
        <v>7.4999999999999956E-2</v>
      </c>
      <c r="E33" s="627">
        <f>E28/D28-1</f>
        <v>5.8139534883721034E-2</v>
      </c>
      <c r="F33" s="654">
        <v>1.4999999999999999E-2</v>
      </c>
      <c r="G33" s="654">
        <v>1.4999999999999999E-2</v>
      </c>
      <c r="H33" s="654">
        <v>1.4999999999999999E-2</v>
      </c>
      <c r="I33" s="654">
        <v>1.4999999999999999E-2</v>
      </c>
      <c r="J33" s="654">
        <v>1.4999999999999999E-2</v>
      </c>
      <c r="K33" s="661"/>
      <c r="N33" s="405" t="s">
        <v>6</v>
      </c>
      <c r="O33" s="404">
        <v>11</v>
      </c>
    </row>
    <row r="34" spans="1:15" s="212" customFormat="1" x14ac:dyDescent="0.25">
      <c r="A34" s="608" t="s">
        <v>354</v>
      </c>
      <c r="B34" s="609">
        <v>2126</v>
      </c>
      <c r="C34" s="618">
        <v>1117</v>
      </c>
      <c r="D34" s="619">
        <v>1072</v>
      </c>
      <c r="E34" s="620">
        <v>1059</v>
      </c>
      <c r="F34" s="651">
        <f>E34*(1+F35)-E40+F40</f>
        <v>1062.9100000000001</v>
      </c>
      <c r="G34" s="651">
        <f t="shared" ref="G34:I34" si="15">F34*(1+G35)-F40+G40</f>
        <v>1063.4458999999999</v>
      </c>
      <c r="H34" s="651">
        <f t="shared" si="15"/>
        <v>1079.2003090000001</v>
      </c>
      <c r="I34" s="651">
        <f t="shared" si="15"/>
        <v>1095.2658605900001</v>
      </c>
      <c r="J34" s="651">
        <f>I34*(1+J35)-I40+J40</f>
        <v>1111.6502741509003</v>
      </c>
      <c r="K34" s="651">
        <f t="shared" si="13"/>
        <v>52.650274150900259</v>
      </c>
      <c r="N34" s="407" t="s">
        <v>478</v>
      </c>
      <c r="O34" s="271">
        <v>56</v>
      </c>
    </row>
    <row r="35" spans="1:15" s="214" customFormat="1" hidden="1" x14ac:dyDescent="0.25">
      <c r="A35" s="622" t="s">
        <v>383</v>
      </c>
      <c r="B35" s="628"/>
      <c r="C35" s="628">
        <f t="shared" ref="C35:D35" si="16">C34/B34-1</f>
        <v>-0.47460018814675442</v>
      </c>
      <c r="D35" s="628">
        <f t="shared" si="16"/>
        <v>-4.0286481647269445E-2</v>
      </c>
      <c r="E35" s="628">
        <f>E34/D34-1</f>
        <v>-1.2126865671641784E-2</v>
      </c>
      <c r="F35" s="655">
        <v>-0.01</v>
      </c>
      <c r="G35" s="655">
        <v>-0.01</v>
      </c>
      <c r="H35" s="656">
        <v>0.01</v>
      </c>
      <c r="I35" s="656">
        <v>0.01</v>
      </c>
      <c r="J35" s="656">
        <v>0.01</v>
      </c>
      <c r="K35" s="651"/>
      <c r="N35" s="405"/>
      <c r="O35" s="404"/>
    </row>
    <row r="36" spans="1:15" hidden="1" x14ac:dyDescent="0.25">
      <c r="A36" s="622" t="s">
        <v>355</v>
      </c>
      <c r="B36" s="623">
        <v>137</v>
      </c>
      <c r="C36" s="615">
        <v>129</v>
      </c>
      <c r="D36" s="616">
        <v>113</v>
      </c>
      <c r="E36" s="617">
        <v>112</v>
      </c>
      <c r="F36" s="653"/>
      <c r="G36" s="273"/>
      <c r="H36" s="273"/>
      <c r="I36" s="273"/>
      <c r="J36" s="273"/>
      <c r="K36" s="651">
        <f t="shared" si="13"/>
        <v>-112</v>
      </c>
      <c r="N36" s="405" t="s">
        <v>479</v>
      </c>
      <c r="O36" s="404"/>
    </row>
    <row r="37" spans="1:15" hidden="1" x14ac:dyDescent="0.25">
      <c r="A37" s="622" t="s">
        <v>356</v>
      </c>
      <c r="B37" s="623">
        <v>185</v>
      </c>
      <c r="C37" s="615">
        <v>185</v>
      </c>
      <c r="D37" s="616">
        <v>186</v>
      </c>
      <c r="E37" s="617">
        <v>186</v>
      </c>
      <c r="F37" s="653"/>
      <c r="G37" s="273"/>
      <c r="H37" s="273"/>
      <c r="I37" s="273"/>
      <c r="J37" s="273"/>
      <c r="K37" s="651">
        <f t="shared" si="13"/>
        <v>-186</v>
      </c>
      <c r="N37" s="405" t="s">
        <v>3</v>
      </c>
      <c r="O37" s="404">
        <v>9</v>
      </c>
    </row>
    <row r="38" spans="1:15" hidden="1" x14ac:dyDescent="0.25">
      <c r="A38" s="622" t="s">
        <v>357</v>
      </c>
      <c r="B38" s="623">
        <v>199</v>
      </c>
      <c r="C38" s="615">
        <v>194</v>
      </c>
      <c r="D38" s="616">
        <v>187</v>
      </c>
      <c r="E38" s="617">
        <v>173</v>
      </c>
      <c r="F38" s="653"/>
      <c r="G38" s="657"/>
      <c r="H38" s="273"/>
      <c r="I38" s="273"/>
      <c r="J38" s="273"/>
      <c r="K38" s="651">
        <f t="shared" si="13"/>
        <v>-173</v>
      </c>
      <c r="N38" s="405" t="s">
        <v>6</v>
      </c>
      <c r="O38" s="404">
        <v>8</v>
      </c>
    </row>
    <row r="39" spans="1:15" hidden="1" x14ac:dyDescent="0.25">
      <c r="A39" s="622" t="s">
        <v>358</v>
      </c>
      <c r="B39" s="623"/>
      <c r="C39" s="629"/>
      <c r="D39" s="629"/>
      <c r="E39" s="617">
        <v>13</v>
      </c>
      <c r="F39" s="653"/>
      <c r="G39" s="273"/>
      <c r="H39" s="273"/>
      <c r="I39" s="273"/>
      <c r="J39" s="273"/>
      <c r="K39" s="651">
        <f t="shared" si="13"/>
        <v>-13</v>
      </c>
      <c r="N39" s="405" t="s">
        <v>480</v>
      </c>
      <c r="O39" s="404">
        <v>62</v>
      </c>
    </row>
    <row r="40" spans="1:15" hidden="1" x14ac:dyDescent="0.25">
      <c r="A40" s="622" t="s">
        <v>359</v>
      </c>
      <c r="B40" s="623">
        <v>96</v>
      </c>
      <c r="C40" s="615">
        <v>106</v>
      </c>
      <c r="D40" s="616">
        <v>127</v>
      </c>
      <c r="E40" s="617">
        <v>145</v>
      </c>
      <c r="F40" s="653">
        <f>E40*(1+F41)</f>
        <v>159.5</v>
      </c>
      <c r="G40" s="653">
        <f>F40*(1+G41)</f>
        <v>170.66500000000002</v>
      </c>
      <c r="H40" s="653">
        <f t="shared" ref="H40:I40" si="17">G40*(1+H41)</f>
        <v>175.78495000000004</v>
      </c>
      <c r="I40" s="653">
        <f t="shared" si="17"/>
        <v>181.05849850000004</v>
      </c>
      <c r="J40" s="653">
        <f>I40*(1+J41)</f>
        <v>186.49025345500004</v>
      </c>
      <c r="K40" s="651">
        <f>J40-E40</f>
        <v>41.490253455000044</v>
      </c>
      <c r="N40" s="405"/>
      <c r="O40" s="404"/>
    </row>
    <row r="41" spans="1:15" hidden="1" x14ac:dyDescent="0.25">
      <c r="A41" s="622" t="s">
        <v>383</v>
      </c>
      <c r="B41" s="630"/>
      <c r="C41" s="630">
        <f t="shared" ref="C41:D41" si="18">C40/B40-1</f>
        <v>0.10416666666666674</v>
      </c>
      <c r="D41" s="630">
        <f t="shared" si="18"/>
        <v>0.19811320754716988</v>
      </c>
      <c r="E41" s="630">
        <f>E40/D40-1</f>
        <v>0.1417322834645669</v>
      </c>
      <c r="F41" s="654">
        <v>0.1</v>
      </c>
      <c r="G41" s="654">
        <v>7.0000000000000007E-2</v>
      </c>
      <c r="H41" s="654">
        <v>0.03</v>
      </c>
      <c r="I41" s="654">
        <v>0.03</v>
      </c>
      <c r="J41" s="654">
        <v>0.03</v>
      </c>
      <c r="K41" s="651"/>
      <c r="N41" s="405" t="s">
        <v>481</v>
      </c>
      <c r="O41" s="404"/>
    </row>
    <row r="42" spans="1:15" hidden="1" x14ac:dyDescent="0.25">
      <c r="A42" s="622" t="s">
        <v>381</v>
      </c>
      <c r="B42" s="623">
        <v>301</v>
      </c>
      <c r="C42" s="615">
        <v>274</v>
      </c>
      <c r="D42" s="616">
        <v>265</v>
      </c>
      <c r="E42" s="617">
        <v>235</v>
      </c>
      <c r="F42" s="653"/>
      <c r="G42" s="273"/>
      <c r="H42" s="273"/>
      <c r="I42" s="273"/>
      <c r="J42" s="273"/>
      <c r="K42" s="651">
        <f t="shared" si="13"/>
        <v>-235</v>
      </c>
      <c r="N42" s="405"/>
      <c r="O42" s="404"/>
    </row>
    <row r="43" spans="1:15" hidden="1" x14ac:dyDescent="0.25">
      <c r="A43" s="622" t="s">
        <v>360</v>
      </c>
      <c r="B43" s="623"/>
      <c r="C43" s="631"/>
      <c r="D43" s="629"/>
      <c r="E43" s="617"/>
      <c r="F43" s="653"/>
      <c r="G43" s="273"/>
      <c r="H43" s="273"/>
      <c r="I43" s="273"/>
      <c r="J43" s="273"/>
      <c r="K43" s="651">
        <f t="shared" si="13"/>
        <v>0</v>
      </c>
      <c r="N43" s="405" t="str">
        <f>N25</f>
        <v>Hypermarkets</v>
      </c>
      <c r="O43" s="404">
        <v>5</v>
      </c>
    </row>
    <row r="44" spans="1:15" hidden="1" x14ac:dyDescent="0.25">
      <c r="A44" s="622" t="s">
        <v>361</v>
      </c>
      <c r="B44" s="623">
        <v>157</v>
      </c>
      <c r="C44" s="615">
        <v>152</v>
      </c>
      <c r="D44" s="616">
        <v>123</v>
      </c>
      <c r="E44" s="617">
        <v>124</v>
      </c>
      <c r="F44" s="653"/>
      <c r="G44" s="273"/>
      <c r="H44" s="273"/>
      <c r="I44" s="273"/>
      <c r="J44" s="273"/>
      <c r="K44" s="651">
        <f t="shared" si="13"/>
        <v>-124</v>
      </c>
      <c r="N44" s="405"/>
      <c r="O44" s="404"/>
    </row>
    <row r="45" spans="1:15" hidden="1" x14ac:dyDescent="0.25">
      <c r="A45" s="622" t="s">
        <v>362</v>
      </c>
      <c r="B45" s="623">
        <v>78</v>
      </c>
      <c r="C45" s="615">
        <v>76</v>
      </c>
      <c r="D45" s="616">
        <v>71</v>
      </c>
      <c r="E45" s="617">
        <v>71</v>
      </c>
      <c r="F45" s="653"/>
      <c r="G45" s="273"/>
      <c r="H45" s="273"/>
      <c r="I45" s="273"/>
      <c r="J45" s="273"/>
      <c r="K45" s="661">
        <f t="shared" si="13"/>
        <v>-71</v>
      </c>
      <c r="N45" s="405" t="s">
        <v>482</v>
      </c>
      <c r="O45" s="404" t="s">
        <v>483</v>
      </c>
    </row>
    <row r="46" spans="1:15" s="212" customFormat="1" x14ac:dyDescent="0.25">
      <c r="A46" s="608" t="s">
        <v>363</v>
      </c>
      <c r="B46" s="609">
        <v>1632</v>
      </c>
      <c r="C46" s="618">
        <v>1899</v>
      </c>
      <c r="D46" s="619">
        <v>1847</v>
      </c>
      <c r="E46" s="620">
        <v>1959</v>
      </c>
      <c r="F46" s="651">
        <f>E46*(1+F47)</f>
        <v>1978.59</v>
      </c>
      <c r="G46" s="651">
        <f t="shared" ref="G46:J46" si="19">F46*(1+G47)</f>
        <v>1998.3759</v>
      </c>
      <c r="H46" s="651">
        <f t="shared" si="19"/>
        <v>2008.3677794999999</v>
      </c>
      <c r="I46" s="651">
        <f t="shared" si="19"/>
        <v>2018.4096183974996</v>
      </c>
      <c r="J46" s="651">
        <f t="shared" si="19"/>
        <v>2028.5016664894868</v>
      </c>
      <c r="K46" s="651">
        <f t="shared" si="13"/>
        <v>69.501666489486752</v>
      </c>
    </row>
    <row r="47" spans="1:15" s="214" customFormat="1" hidden="1" x14ac:dyDescent="0.25">
      <c r="A47" s="626"/>
      <c r="B47" s="632"/>
      <c r="C47" s="633">
        <f t="shared" ref="C47:D47" si="20">C46/B46-1</f>
        <v>0.16360294117647056</v>
      </c>
      <c r="D47" s="633">
        <f t="shared" si="20"/>
        <v>-2.7382833070036861E-2</v>
      </c>
      <c r="E47" s="633">
        <f>E46/D46-1</f>
        <v>6.0638873849485631E-2</v>
      </c>
      <c r="F47" s="658">
        <v>0.01</v>
      </c>
      <c r="G47" s="658">
        <v>0.01</v>
      </c>
      <c r="H47" s="658">
        <v>5.0000000000000001E-3</v>
      </c>
      <c r="I47" s="658">
        <v>5.0000000000000001E-3</v>
      </c>
      <c r="J47" s="658">
        <v>5.0000000000000001E-3</v>
      </c>
      <c r="K47" s="651"/>
    </row>
    <row r="48" spans="1:15" hidden="1" x14ac:dyDescent="0.25">
      <c r="A48" s="622" t="s">
        <v>364</v>
      </c>
      <c r="B48" s="623">
        <v>85</v>
      </c>
      <c r="C48" s="615">
        <v>86</v>
      </c>
      <c r="D48" s="616">
        <v>90</v>
      </c>
      <c r="E48" s="617">
        <v>92</v>
      </c>
      <c r="F48" s="653"/>
      <c r="G48" s="273"/>
      <c r="H48" s="273"/>
      <c r="I48" s="273"/>
      <c r="J48" s="273"/>
      <c r="K48" s="651">
        <f t="shared" si="13"/>
        <v>-92</v>
      </c>
    </row>
    <row r="49" spans="1:12" hidden="1" x14ac:dyDescent="0.25">
      <c r="A49" s="622" t="s">
        <v>365</v>
      </c>
      <c r="B49" s="623">
        <v>163</v>
      </c>
      <c r="C49" s="615">
        <v>166</v>
      </c>
      <c r="D49" s="616">
        <v>163</v>
      </c>
      <c r="E49" s="617">
        <v>161</v>
      </c>
      <c r="F49" s="653"/>
      <c r="G49" s="273"/>
      <c r="H49" s="273"/>
      <c r="I49" s="273"/>
      <c r="J49" s="273"/>
      <c r="K49" s="651">
        <f t="shared" si="13"/>
        <v>-161</v>
      </c>
    </row>
    <row r="50" spans="1:12" hidden="1" x14ac:dyDescent="0.25">
      <c r="A50" s="622" t="s">
        <v>366</v>
      </c>
      <c r="B50" s="623">
        <v>58</v>
      </c>
      <c r="C50" s="615">
        <v>67</v>
      </c>
      <c r="D50" s="616">
        <v>71</v>
      </c>
      <c r="E50" s="617">
        <v>70</v>
      </c>
      <c r="F50" s="653"/>
      <c r="G50" s="273"/>
      <c r="H50" s="273"/>
      <c r="I50" s="273"/>
      <c r="J50" s="273"/>
      <c r="K50" s="651">
        <f t="shared" si="13"/>
        <v>-70</v>
      </c>
    </row>
    <row r="51" spans="1:12" hidden="1" x14ac:dyDescent="0.25">
      <c r="A51" s="622" t="s">
        <v>367</v>
      </c>
      <c r="B51" s="623">
        <v>1214</v>
      </c>
      <c r="C51" s="634">
        <v>1443</v>
      </c>
      <c r="D51" s="635">
        <v>1410</v>
      </c>
      <c r="E51" s="636">
        <v>1520</v>
      </c>
      <c r="F51" s="653"/>
      <c r="G51" s="273"/>
      <c r="H51" s="273"/>
      <c r="I51" s="273"/>
      <c r="J51" s="273"/>
      <c r="K51" s="651">
        <f t="shared" si="13"/>
        <v>-1520</v>
      </c>
    </row>
    <row r="52" spans="1:12" hidden="1" x14ac:dyDescent="0.25">
      <c r="A52" s="613" t="s">
        <v>368</v>
      </c>
      <c r="B52" s="614">
        <v>1062</v>
      </c>
      <c r="C52" s="637">
        <v>1307</v>
      </c>
      <c r="D52" s="638">
        <v>1286</v>
      </c>
      <c r="E52" s="639">
        <v>1419</v>
      </c>
      <c r="F52" s="653"/>
      <c r="G52" s="273"/>
      <c r="H52" s="273"/>
      <c r="I52" s="273"/>
      <c r="J52" s="273"/>
      <c r="K52" s="651">
        <f t="shared" si="13"/>
        <v>-1419</v>
      </c>
    </row>
    <row r="53" spans="1:12" hidden="1" x14ac:dyDescent="0.25">
      <c r="A53" s="622" t="s">
        <v>369</v>
      </c>
      <c r="B53" s="623">
        <v>111</v>
      </c>
      <c r="C53" s="640">
        <v>2</v>
      </c>
      <c r="D53" s="641">
        <v>9</v>
      </c>
      <c r="E53" s="642">
        <v>20</v>
      </c>
      <c r="F53" s="653"/>
      <c r="G53" s="273"/>
      <c r="H53" s="273"/>
      <c r="I53" s="273"/>
      <c r="J53" s="273"/>
      <c r="K53" s="651">
        <f t="shared" si="13"/>
        <v>-20</v>
      </c>
    </row>
    <row r="54" spans="1:12" hidden="1" x14ac:dyDescent="0.25">
      <c r="A54" s="622" t="s">
        <v>370</v>
      </c>
      <c r="B54" s="623">
        <v>1</v>
      </c>
      <c r="C54" s="615">
        <v>109</v>
      </c>
      <c r="D54" s="616">
        <v>104</v>
      </c>
      <c r="E54" s="617">
        <v>96</v>
      </c>
      <c r="F54" s="653"/>
      <c r="G54" s="273"/>
      <c r="H54" s="273"/>
      <c r="I54" s="273"/>
      <c r="J54" s="273"/>
      <c r="K54" s="661">
        <f t="shared" si="13"/>
        <v>-96</v>
      </c>
    </row>
    <row r="55" spans="1:12" s="212" customFormat="1" x14ac:dyDescent="0.25">
      <c r="A55" s="608" t="s">
        <v>401</v>
      </c>
      <c r="B55" s="609"/>
      <c r="C55" s="643"/>
      <c r="D55" s="644"/>
      <c r="E55" s="612">
        <v>1</v>
      </c>
      <c r="F55" s="651">
        <f>E55</f>
        <v>1</v>
      </c>
      <c r="G55" s="651">
        <f t="shared" ref="G55:J55" si="21">F55</f>
        <v>1</v>
      </c>
      <c r="H55" s="651">
        <f t="shared" si="21"/>
        <v>1</v>
      </c>
      <c r="I55" s="651">
        <f t="shared" si="21"/>
        <v>1</v>
      </c>
      <c r="J55" s="651">
        <f t="shared" si="21"/>
        <v>1</v>
      </c>
      <c r="K55" s="651">
        <f t="shared" si="13"/>
        <v>0</v>
      </c>
    </row>
    <row r="56" spans="1:12" hidden="1" x14ac:dyDescent="0.25">
      <c r="A56" s="622" t="s">
        <v>371</v>
      </c>
      <c r="B56" s="623"/>
      <c r="C56" s="629"/>
      <c r="D56" s="645"/>
      <c r="E56" s="617">
        <v>1</v>
      </c>
      <c r="F56" s="215"/>
      <c r="G56" s="273"/>
      <c r="H56" s="273"/>
      <c r="I56" s="273"/>
      <c r="J56" s="273"/>
      <c r="K56" s="661">
        <f t="shared" si="13"/>
        <v>-1</v>
      </c>
    </row>
    <row r="57" spans="1:12" s="212" customFormat="1" x14ac:dyDescent="0.25">
      <c r="A57" s="608" t="s">
        <v>372</v>
      </c>
      <c r="B57" s="618">
        <f>B55+B46+B34+B28+B25</f>
        <v>3851</v>
      </c>
      <c r="C57" s="618">
        <f>C55+C46+C34+C28+C25</f>
        <v>3124</v>
      </c>
      <c r="D57" s="618">
        <f t="shared" ref="D57" si="22">D55+D46+D34+D28+D25</f>
        <v>3034</v>
      </c>
      <c r="E57" s="673">
        <f>E55+E46+E34+E28+E25</f>
        <v>3136</v>
      </c>
      <c r="F57" s="659">
        <f>F55+F46+F34+F28+F25</f>
        <v>3160.8649999999998</v>
      </c>
      <c r="G57" s="659">
        <f t="shared" ref="G57:J57" si="23">G55+G46+G34+G28+G25</f>
        <v>3182.5722749999995</v>
      </c>
      <c r="H57" s="659">
        <f t="shared" si="23"/>
        <v>3209.7248206250001</v>
      </c>
      <c r="I57" s="659">
        <f t="shared" si="23"/>
        <v>3237.2595620943744</v>
      </c>
      <c r="J57" s="659">
        <f t="shared" si="23"/>
        <v>3265.1847849938649</v>
      </c>
      <c r="K57" s="651">
        <f t="shared" si="13"/>
        <v>129.18478499386492</v>
      </c>
    </row>
    <row r="58" spans="1:12" x14ac:dyDescent="0.25">
      <c r="A58" s="622" t="s">
        <v>383</v>
      </c>
      <c r="B58" s="647" t="s">
        <v>49</v>
      </c>
      <c r="C58" s="648">
        <f>C57/B57-1</f>
        <v>-0.18878213451051673</v>
      </c>
      <c r="D58" s="648">
        <f t="shared" ref="D58:E58" si="24">D57/C57-1</f>
        <v>-2.8809218950064053E-2</v>
      </c>
      <c r="E58" s="648">
        <f t="shared" si="24"/>
        <v>3.3618984838497123E-2</v>
      </c>
      <c r="F58" s="218">
        <f>F57/E57-1</f>
        <v>7.9288903061223159E-3</v>
      </c>
      <c r="G58" s="218">
        <f t="shared" ref="G58" si="25">G57/F57-1</f>
        <v>6.8675109503253395E-3</v>
      </c>
      <c r="H58" s="218">
        <f t="shared" ref="H58" si="26">H57/G57-1</f>
        <v>8.5316351927939849E-3</v>
      </c>
      <c r="I58" s="218">
        <f t="shared" ref="I58" si="27">I57/H57-1</f>
        <v>8.5785364815207377E-3</v>
      </c>
      <c r="J58" s="218">
        <f t="shared" ref="J58" si="28">J57/I57-1</f>
        <v>8.6261921121406626E-3</v>
      </c>
      <c r="K58" s="686"/>
      <c r="L58" s="219"/>
    </row>
    <row r="59" spans="1:12" s="212" customFormat="1" x14ac:dyDescent="0.25">
      <c r="A59" s="681" t="s">
        <v>402</v>
      </c>
      <c r="B59" s="682">
        <f>B57+B21</f>
        <v>14469</v>
      </c>
      <c r="C59" s="682">
        <f t="shared" ref="C59:J59" si="29">C57+C21</f>
        <v>12437</v>
      </c>
      <c r="D59" s="682">
        <f t="shared" si="29"/>
        <v>12241</v>
      </c>
      <c r="E59" s="682">
        <f t="shared" si="29"/>
        <v>12004</v>
      </c>
      <c r="F59" s="687">
        <f>F57+F21</f>
        <v>12223.309999999998</v>
      </c>
      <c r="G59" s="687">
        <f t="shared" si="29"/>
        <v>12425.199075</v>
      </c>
      <c r="H59" s="687">
        <f t="shared" si="29"/>
        <v>12488.245043625</v>
      </c>
      <c r="I59" s="687">
        <f t="shared" si="29"/>
        <v>12566.844678925621</v>
      </c>
      <c r="J59" s="687">
        <f t="shared" si="29"/>
        <v>12646.518027377744</v>
      </c>
      <c r="K59" s="688"/>
      <c r="L59" s="220"/>
    </row>
    <row r="60" spans="1:12" s="212" customFormat="1" x14ac:dyDescent="0.25">
      <c r="A60" s="683" t="s">
        <v>403</v>
      </c>
      <c r="B60" s="684"/>
      <c r="C60" s="685">
        <f>C59/B59-1</f>
        <v>-0.14043817817402726</v>
      </c>
      <c r="D60" s="685">
        <f t="shared" ref="D60:E60" si="30">D59/C59-1</f>
        <v>-1.5759427514673963E-2</v>
      </c>
      <c r="E60" s="685">
        <f t="shared" si="30"/>
        <v>-1.9361163303651674E-2</v>
      </c>
      <c r="F60" s="689">
        <f>F59/E59-1</f>
        <v>1.8269743418860118E-2</v>
      </c>
      <c r="G60" s="689">
        <f t="shared" ref="G60" si="31">G59/F59-1</f>
        <v>1.6516727056746783E-2</v>
      </c>
      <c r="H60" s="689">
        <f t="shared" ref="H60" si="32">H59/G59-1</f>
        <v>5.0740409263825281E-3</v>
      </c>
      <c r="I60" s="689">
        <f t="shared" ref="I60" si="33">I59/H59-1</f>
        <v>6.293889575841094E-3</v>
      </c>
      <c r="J60" s="689">
        <f t="shared" ref="J60" si="34">J59/I59-1</f>
        <v>6.3399644451509474E-3</v>
      </c>
      <c r="K60" s="690"/>
      <c r="L60" s="220"/>
    </row>
    <row r="61" spans="1:12" ht="15.75" customHeight="1" x14ac:dyDescent="0.25">
      <c r="A61" s="221"/>
      <c r="B61" s="221"/>
      <c r="C61" s="222"/>
      <c r="D61" s="222"/>
      <c r="E61" s="223"/>
      <c r="F61" s="219"/>
      <c r="G61" s="219"/>
      <c r="H61" s="224"/>
      <c r="I61" s="224"/>
      <c r="J61" s="224"/>
      <c r="K61" s="224"/>
      <c r="L61" s="219"/>
    </row>
    <row r="62" spans="1:12" x14ac:dyDescent="0.25">
      <c r="A62" s="784"/>
      <c r="B62" s="784"/>
      <c r="C62" s="785"/>
      <c r="D62" s="786"/>
      <c r="E62" s="786"/>
      <c r="F62" s="787"/>
      <c r="G62" s="787"/>
      <c r="H62" s="226"/>
      <c r="I62" s="226"/>
      <c r="J62" s="226"/>
      <c r="K62" s="226"/>
      <c r="L62" s="219"/>
    </row>
    <row r="63" spans="1:12" x14ac:dyDescent="0.25">
      <c r="A63" s="788"/>
      <c r="B63" s="789"/>
      <c r="C63" s="790"/>
      <c r="D63" s="791"/>
      <c r="E63" s="791"/>
      <c r="F63" s="787"/>
      <c r="G63" s="787"/>
      <c r="H63" s="228"/>
      <c r="I63" s="228"/>
      <c r="J63" s="228"/>
      <c r="K63" s="228"/>
      <c r="L63" s="219"/>
    </row>
    <row r="64" spans="1:12" x14ac:dyDescent="0.25">
      <c r="A64" s="789"/>
      <c r="B64" s="789"/>
      <c r="C64" s="790"/>
      <c r="D64" s="791"/>
      <c r="E64" s="788"/>
      <c r="F64" s="787"/>
      <c r="G64" s="787"/>
      <c r="H64" s="228"/>
      <c r="I64" s="228"/>
      <c r="J64" s="228"/>
      <c r="K64" s="228"/>
      <c r="L64" s="219"/>
    </row>
    <row r="65" spans="1:12" x14ac:dyDescent="0.25">
      <c r="A65" s="784"/>
      <c r="B65" s="784"/>
      <c r="C65" s="785"/>
      <c r="D65" s="786"/>
      <c r="E65" s="786"/>
      <c r="F65" s="787"/>
      <c r="G65" s="787"/>
      <c r="H65" s="226"/>
      <c r="I65" s="226"/>
      <c r="J65" s="226"/>
      <c r="K65" s="226"/>
      <c r="L65" s="219"/>
    </row>
    <row r="66" spans="1:12" x14ac:dyDescent="0.25">
      <c r="A66" s="789"/>
      <c r="B66" s="789"/>
      <c r="C66" s="790"/>
      <c r="D66" s="791"/>
      <c r="E66" s="791"/>
      <c r="F66" s="787"/>
      <c r="G66" s="787"/>
      <c r="H66" s="228"/>
      <c r="I66" s="228"/>
      <c r="J66" s="228"/>
      <c r="K66" s="228"/>
      <c r="L66" s="219"/>
    </row>
    <row r="67" spans="1:12" x14ac:dyDescent="0.25">
      <c r="A67" s="789"/>
      <c r="B67" s="789"/>
      <c r="C67" s="790"/>
      <c r="D67" s="791"/>
      <c r="E67" s="791"/>
      <c r="F67" s="787"/>
      <c r="G67" s="787"/>
      <c r="H67" s="228"/>
      <c r="I67" s="228"/>
      <c r="J67" s="228"/>
      <c r="K67" s="228"/>
      <c r="L67" s="219"/>
    </row>
    <row r="68" spans="1:12" x14ac:dyDescent="0.25">
      <c r="A68" s="784"/>
      <c r="B68" s="784"/>
      <c r="C68" s="785"/>
      <c r="D68" s="786"/>
      <c r="E68" s="786"/>
      <c r="F68" s="787"/>
      <c r="G68" s="787"/>
      <c r="H68" s="226"/>
      <c r="I68" s="226"/>
      <c r="J68" s="226"/>
      <c r="K68" s="226"/>
      <c r="L68" s="219"/>
    </row>
    <row r="69" spans="1:12" x14ac:dyDescent="0.25">
      <c r="A69" s="789"/>
      <c r="B69" s="789"/>
      <c r="C69" s="785"/>
      <c r="D69" s="791"/>
      <c r="E69" s="791"/>
      <c r="F69" s="787"/>
      <c r="G69" s="787"/>
      <c r="H69" s="228"/>
      <c r="I69" s="228"/>
      <c r="J69" s="228"/>
      <c r="K69" s="228"/>
      <c r="L69" s="219"/>
    </row>
    <row r="70" spans="1:12" x14ac:dyDescent="0.25">
      <c r="A70" s="789"/>
      <c r="B70" s="789"/>
      <c r="C70" s="785"/>
      <c r="D70" s="791"/>
      <c r="E70" s="791"/>
      <c r="F70" s="787"/>
      <c r="G70" s="787"/>
      <c r="H70" s="228"/>
      <c r="I70" s="228"/>
      <c r="J70" s="228"/>
      <c r="K70" s="228"/>
      <c r="L70" s="219"/>
    </row>
    <row r="71" spans="1:12" ht="15.75" x14ac:dyDescent="0.25">
      <c r="A71" s="792"/>
      <c r="B71" s="793"/>
      <c r="C71" s="785"/>
      <c r="D71" s="791"/>
      <c r="E71" s="791"/>
      <c r="F71" s="787"/>
      <c r="G71" s="787"/>
      <c r="H71" s="228"/>
      <c r="I71" s="228"/>
      <c r="J71" s="228"/>
      <c r="K71" s="228"/>
      <c r="L71" s="219"/>
    </row>
    <row r="72" spans="1:12" x14ac:dyDescent="0.25">
      <c r="A72" s="799"/>
      <c r="B72" s="784"/>
      <c r="C72" s="784"/>
      <c r="D72" s="784"/>
      <c r="E72" s="786"/>
      <c r="F72" s="806"/>
      <c r="G72" s="806"/>
      <c r="H72" s="226"/>
      <c r="I72" s="226"/>
      <c r="J72" s="226"/>
      <c r="K72" s="226"/>
      <c r="L72" s="219"/>
    </row>
    <row r="73" spans="1:12" x14ac:dyDescent="0.25">
      <c r="A73" s="794"/>
      <c r="B73" s="789"/>
      <c r="C73" s="790"/>
      <c r="D73" s="791"/>
      <c r="E73" s="791"/>
      <c r="F73" s="787"/>
      <c r="G73" s="787"/>
      <c r="H73" s="228"/>
      <c r="I73" s="228"/>
      <c r="J73" s="228"/>
      <c r="K73" s="228"/>
      <c r="L73" s="219"/>
    </row>
    <row r="74" spans="1:12" x14ac:dyDescent="0.25">
      <c r="A74" s="794"/>
      <c r="B74" s="784"/>
      <c r="C74" s="785"/>
      <c r="D74" s="786"/>
      <c r="E74" s="786"/>
      <c r="F74" s="787"/>
      <c r="G74" s="787"/>
      <c r="H74" s="226"/>
      <c r="I74" s="226"/>
      <c r="J74" s="226"/>
      <c r="K74" s="226"/>
      <c r="L74" s="219"/>
    </row>
    <row r="75" spans="1:12" x14ac:dyDescent="0.25">
      <c r="A75" s="794"/>
      <c r="B75" s="789"/>
      <c r="C75" s="795"/>
      <c r="D75" s="791"/>
      <c r="E75" s="791"/>
      <c r="F75" s="787"/>
      <c r="G75" s="787"/>
      <c r="H75" s="228"/>
      <c r="I75" s="228"/>
      <c r="J75" s="228"/>
      <c r="K75" s="228"/>
      <c r="L75" s="219"/>
    </row>
    <row r="76" spans="1:12" x14ac:dyDescent="0.25">
      <c r="A76" s="794"/>
      <c r="B76" s="784"/>
      <c r="C76" s="795"/>
      <c r="D76" s="796"/>
      <c r="E76" s="796"/>
      <c r="F76" s="787"/>
      <c r="G76" s="787"/>
      <c r="H76" s="230"/>
      <c r="I76" s="230"/>
      <c r="J76" s="230"/>
      <c r="K76" s="230"/>
      <c r="L76" s="219"/>
    </row>
    <row r="77" spans="1:12" x14ac:dyDescent="0.25">
      <c r="A77" s="794"/>
      <c r="B77" s="784"/>
      <c r="C77" s="795"/>
      <c r="D77" s="796"/>
      <c r="E77" s="796"/>
      <c r="F77" s="787"/>
      <c r="G77" s="787"/>
      <c r="H77" s="230"/>
      <c r="I77" s="230"/>
      <c r="J77" s="230"/>
      <c r="K77" s="230"/>
      <c r="L77" s="219"/>
    </row>
    <row r="78" spans="1:12" x14ac:dyDescent="0.25">
      <c r="A78" s="794"/>
      <c r="B78" s="784"/>
      <c r="C78" s="785"/>
      <c r="D78" s="786"/>
      <c r="E78" s="786"/>
      <c r="F78" s="787"/>
      <c r="G78" s="787"/>
      <c r="H78" s="226"/>
      <c r="I78" s="226"/>
      <c r="J78" s="226"/>
      <c r="K78" s="226"/>
      <c r="L78" s="219"/>
    </row>
    <row r="79" spans="1:12" x14ac:dyDescent="0.25">
      <c r="A79" s="797"/>
      <c r="B79" s="784"/>
      <c r="C79" s="785"/>
      <c r="D79" s="786"/>
      <c r="E79" s="786"/>
      <c r="F79" s="787"/>
      <c r="G79" s="787"/>
      <c r="H79" s="226"/>
      <c r="I79" s="226"/>
      <c r="J79" s="226"/>
      <c r="K79" s="226"/>
      <c r="L79" s="219"/>
    </row>
    <row r="80" spans="1:12" x14ac:dyDescent="0.25">
      <c r="A80" s="792"/>
      <c r="B80" s="784"/>
      <c r="C80" s="785"/>
      <c r="D80" s="796"/>
      <c r="E80" s="796"/>
      <c r="F80" s="787"/>
      <c r="G80" s="787"/>
      <c r="H80" s="230"/>
      <c r="I80" s="230"/>
      <c r="J80" s="230"/>
      <c r="K80" s="230"/>
      <c r="L80" s="219"/>
    </row>
    <row r="81" spans="1:12" x14ac:dyDescent="0.25">
      <c r="A81" s="784"/>
      <c r="B81" s="784"/>
      <c r="C81" s="784"/>
      <c r="D81" s="786"/>
      <c r="E81" s="786"/>
      <c r="F81" s="787"/>
      <c r="G81" s="787"/>
      <c r="H81" s="226"/>
      <c r="I81" s="226"/>
      <c r="J81" s="226"/>
      <c r="K81" s="226"/>
      <c r="L81" s="219"/>
    </row>
    <row r="82" spans="1:12" ht="15.75" customHeight="1" x14ac:dyDescent="0.25">
      <c r="A82" s="784"/>
      <c r="B82" s="784"/>
      <c r="C82" s="784"/>
      <c r="D82" s="787"/>
      <c r="E82" s="787"/>
      <c r="F82" s="787"/>
      <c r="G82" s="787"/>
      <c r="H82" s="223"/>
      <c r="I82" s="224"/>
      <c r="J82" s="224"/>
      <c r="K82" s="224"/>
      <c r="L82" s="219"/>
    </row>
    <row r="83" spans="1:12" x14ac:dyDescent="0.25">
      <c r="A83" s="784"/>
      <c r="B83" s="784"/>
      <c r="C83" s="784"/>
      <c r="D83" s="787"/>
      <c r="E83" s="786"/>
      <c r="F83" s="787"/>
      <c r="G83" s="787"/>
      <c r="H83" s="226"/>
      <c r="I83" s="226"/>
      <c r="J83" s="226"/>
      <c r="K83" s="231"/>
      <c r="L83" s="219"/>
    </row>
    <row r="84" spans="1:12" x14ac:dyDescent="0.25">
      <c r="A84" s="798"/>
      <c r="B84" s="798"/>
      <c r="C84" s="798"/>
      <c r="D84" s="787"/>
      <c r="E84" s="791"/>
      <c r="F84" s="787"/>
      <c r="G84" s="787"/>
      <c r="H84" s="228"/>
      <c r="I84" s="228"/>
      <c r="J84" s="228"/>
      <c r="K84" s="231"/>
      <c r="L84" s="219"/>
    </row>
    <row r="85" spans="1:12" x14ac:dyDescent="0.25">
      <c r="A85" s="798"/>
      <c r="B85" s="798"/>
      <c r="C85" s="798"/>
      <c r="D85" s="787"/>
      <c r="E85" s="791"/>
      <c r="F85" s="787"/>
      <c r="G85" s="787"/>
      <c r="H85" s="228"/>
      <c r="I85" s="228"/>
      <c r="J85" s="228"/>
      <c r="K85" s="231"/>
      <c r="L85" s="219"/>
    </row>
    <row r="86" spans="1:12" x14ac:dyDescent="0.25">
      <c r="A86" s="784"/>
      <c r="B86" s="784"/>
      <c r="C86" s="784"/>
      <c r="D86" s="787"/>
      <c r="E86" s="786"/>
      <c r="F86" s="787"/>
      <c r="G86" s="787"/>
      <c r="H86" s="226"/>
      <c r="I86" s="226"/>
      <c r="J86" s="226"/>
      <c r="K86" s="231"/>
      <c r="L86" s="219"/>
    </row>
    <row r="87" spans="1:12" x14ac:dyDescent="0.25">
      <c r="A87" s="798"/>
      <c r="B87" s="798"/>
      <c r="C87" s="798"/>
      <c r="D87" s="787"/>
      <c r="E87" s="791"/>
      <c r="F87" s="787"/>
      <c r="G87" s="787"/>
      <c r="H87" s="228"/>
      <c r="I87" s="228"/>
      <c r="J87" s="228"/>
      <c r="K87" s="231"/>
      <c r="L87" s="219"/>
    </row>
    <row r="88" spans="1:12" x14ac:dyDescent="0.25">
      <c r="A88" s="798"/>
      <c r="B88" s="798"/>
      <c r="C88" s="798"/>
      <c r="D88" s="787"/>
      <c r="E88" s="791"/>
      <c r="F88" s="787"/>
      <c r="G88" s="787"/>
      <c r="H88" s="228"/>
      <c r="I88" s="228"/>
      <c r="J88" s="228"/>
      <c r="K88" s="231"/>
      <c r="L88" s="219"/>
    </row>
    <row r="89" spans="1:12" x14ac:dyDescent="0.25">
      <c r="A89" s="798"/>
      <c r="B89" s="798"/>
      <c r="C89" s="798"/>
      <c r="D89" s="787"/>
      <c r="E89" s="791"/>
      <c r="F89" s="787"/>
      <c r="G89" s="787"/>
      <c r="H89" s="228"/>
      <c r="I89" s="228"/>
      <c r="J89" s="228"/>
      <c r="K89" s="231"/>
      <c r="L89" s="219"/>
    </row>
    <row r="90" spans="1:12" x14ac:dyDescent="0.25">
      <c r="A90" s="798"/>
      <c r="B90" s="798"/>
      <c r="C90" s="798"/>
      <c r="D90" s="787"/>
      <c r="E90" s="791"/>
      <c r="F90" s="787"/>
      <c r="G90" s="787"/>
      <c r="H90" s="228"/>
      <c r="I90" s="228"/>
      <c r="J90" s="228"/>
      <c r="K90" s="231"/>
      <c r="L90" s="219"/>
    </row>
    <row r="91" spans="1:12" x14ac:dyDescent="0.25">
      <c r="A91" s="784"/>
      <c r="B91" s="784"/>
      <c r="C91" s="784"/>
      <c r="D91" s="787"/>
      <c r="E91" s="796"/>
      <c r="F91" s="787"/>
      <c r="G91" s="787"/>
      <c r="H91" s="230"/>
      <c r="I91" s="230"/>
      <c r="J91" s="230"/>
      <c r="K91" s="231"/>
      <c r="L91" s="219"/>
    </row>
    <row r="92" spans="1:12" x14ac:dyDescent="0.25">
      <c r="A92" s="798"/>
      <c r="B92" s="798"/>
      <c r="C92" s="798"/>
      <c r="D92" s="787"/>
      <c r="E92" s="791"/>
      <c r="F92" s="787"/>
      <c r="G92" s="787"/>
      <c r="H92" s="228"/>
      <c r="I92" s="228"/>
      <c r="J92" s="228"/>
      <c r="K92" s="231"/>
      <c r="L92" s="219"/>
    </row>
    <row r="93" spans="1:12" x14ac:dyDescent="0.25">
      <c r="A93" s="798"/>
      <c r="B93" s="798"/>
      <c r="C93" s="798"/>
      <c r="D93" s="787"/>
      <c r="E93" s="791"/>
      <c r="F93" s="787"/>
      <c r="G93" s="787"/>
      <c r="H93" s="228"/>
      <c r="I93" s="228"/>
      <c r="J93" s="228"/>
      <c r="K93" s="231"/>
      <c r="L93" s="219"/>
    </row>
    <row r="94" spans="1:12" x14ac:dyDescent="0.25">
      <c r="A94" s="798"/>
      <c r="B94" s="798"/>
      <c r="C94" s="798"/>
      <c r="D94" s="787"/>
      <c r="E94" s="791"/>
      <c r="F94" s="787"/>
      <c r="G94" s="787"/>
      <c r="H94" s="228"/>
      <c r="I94" s="228"/>
      <c r="J94" s="228"/>
      <c r="K94" s="231"/>
      <c r="L94" s="219"/>
    </row>
    <row r="95" spans="1:12" x14ac:dyDescent="0.25">
      <c r="A95" s="798"/>
      <c r="B95" s="798"/>
      <c r="C95" s="798"/>
      <c r="D95" s="787"/>
      <c r="E95" s="791"/>
      <c r="F95" s="787"/>
      <c r="G95" s="787"/>
      <c r="H95" s="228"/>
      <c r="I95" s="228"/>
      <c r="J95" s="228"/>
      <c r="K95" s="231"/>
      <c r="L95" s="219"/>
    </row>
    <row r="96" spans="1:12" ht="15" customHeight="1" x14ac:dyDescent="0.25">
      <c r="A96" s="798"/>
      <c r="B96" s="798"/>
      <c r="C96" s="798"/>
      <c r="D96" s="787"/>
      <c r="E96" s="791"/>
      <c r="F96" s="787"/>
      <c r="G96" s="787"/>
      <c r="H96" s="228"/>
      <c r="I96" s="228"/>
      <c r="J96" s="228"/>
      <c r="K96" s="231"/>
      <c r="L96" s="219"/>
    </row>
    <row r="97" spans="1:12" x14ac:dyDescent="0.25">
      <c r="A97" s="798"/>
      <c r="B97" s="798"/>
      <c r="C97" s="798"/>
      <c r="D97" s="787"/>
      <c r="E97" s="791"/>
      <c r="F97" s="787"/>
      <c r="G97" s="787"/>
      <c r="H97" s="228"/>
      <c r="I97" s="228"/>
      <c r="J97" s="228"/>
      <c r="K97" s="231"/>
      <c r="L97" s="219"/>
    </row>
    <row r="98" spans="1:12" x14ac:dyDescent="0.25">
      <c r="A98" s="231"/>
      <c r="B98" s="231"/>
      <c r="C98" s="231"/>
      <c r="D98" s="228"/>
      <c r="E98" s="228"/>
      <c r="F98" s="219"/>
      <c r="G98" s="219"/>
      <c r="H98" s="228"/>
      <c r="I98" s="228"/>
      <c r="J98" s="228"/>
      <c r="K98" s="231"/>
      <c r="L98" s="219"/>
    </row>
    <row r="99" spans="1:12" x14ac:dyDescent="0.25">
      <c r="A99" s="221"/>
      <c r="B99" s="221"/>
      <c r="C99" s="221"/>
      <c r="D99" s="230"/>
      <c r="E99" s="230"/>
      <c r="F99" s="219"/>
      <c r="G99" s="219"/>
      <c r="H99" s="230"/>
      <c r="I99" s="230"/>
      <c r="J99" s="230"/>
      <c r="K99" s="231"/>
      <c r="L99" s="219"/>
    </row>
    <row r="100" spans="1:12" x14ac:dyDescent="0.25">
      <c r="A100" s="231"/>
      <c r="B100" s="231"/>
      <c r="C100" s="231"/>
      <c r="D100" s="228"/>
      <c r="E100" s="228"/>
      <c r="F100" s="219"/>
      <c r="G100" s="219"/>
      <c r="H100" s="228"/>
      <c r="I100" s="228"/>
      <c r="J100" s="228"/>
      <c r="K100" s="231"/>
      <c r="L100" s="219"/>
    </row>
    <row r="101" spans="1:12" x14ac:dyDescent="0.25">
      <c r="A101" s="231"/>
      <c r="B101" s="231"/>
      <c r="C101" s="231"/>
      <c r="D101" s="228"/>
      <c r="E101" s="228"/>
      <c r="F101" s="219"/>
      <c r="G101" s="219"/>
      <c r="H101" s="228"/>
      <c r="I101" s="228"/>
      <c r="J101" s="228"/>
      <c r="K101" s="231"/>
      <c r="L101" s="219"/>
    </row>
    <row r="102" spans="1:12" x14ac:dyDescent="0.25">
      <c r="A102" s="231"/>
      <c r="B102" s="231"/>
      <c r="C102" s="231"/>
      <c r="D102" s="228"/>
      <c r="E102" s="228"/>
      <c r="F102" s="219"/>
      <c r="G102" s="219"/>
      <c r="H102" s="228"/>
      <c r="I102" s="228"/>
      <c r="J102" s="228"/>
      <c r="K102" s="231"/>
      <c r="L102" s="219"/>
    </row>
    <row r="103" spans="1:12" x14ac:dyDescent="0.25">
      <c r="A103" s="231"/>
      <c r="B103" s="231"/>
      <c r="C103" s="231"/>
      <c r="D103" s="232"/>
      <c r="E103" s="232"/>
      <c r="F103" s="219"/>
      <c r="G103" s="219"/>
      <c r="H103" s="232"/>
      <c r="I103" s="232"/>
      <c r="J103" s="232"/>
      <c r="K103" s="231"/>
      <c r="L103" s="219"/>
    </row>
    <row r="104" spans="1:12" x14ac:dyDescent="0.25">
      <c r="A104" s="227"/>
      <c r="B104" s="227"/>
      <c r="C104" s="227"/>
      <c r="D104" s="233"/>
      <c r="E104" s="233"/>
      <c r="F104" s="219"/>
      <c r="G104" s="219"/>
      <c r="H104" s="233"/>
      <c r="I104" s="233"/>
      <c r="J104" s="233"/>
      <c r="K104" s="231"/>
      <c r="L104" s="219"/>
    </row>
    <row r="105" spans="1:12" x14ac:dyDescent="0.25">
      <c r="A105" s="231"/>
      <c r="B105" s="231"/>
      <c r="C105" s="231"/>
      <c r="D105" s="234"/>
      <c r="E105" s="234"/>
      <c r="F105" s="219"/>
      <c r="G105" s="219"/>
      <c r="H105" s="234"/>
      <c r="I105" s="234"/>
      <c r="J105" s="228"/>
      <c r="K105" s="231"/>
      <c r="L105" s="219"/>
    </row>
    <row r="106" spans="1:12" x14ac:dyDescent="0.25">
      <c r="A106" s="231"/>
      <c r="B106" s="231"/>
      <c r="C106" s="231"/>
      <c r="D106" s="228"/>
      <c r="E106" s="228"/>
      <c r="F106" s="219"/>
      <c r="G106" s="219"/>
      <c r="H106" s="228"/>
      <c r="I106" s="228"/>
      <c r="J106" s="228"/>
      <c r="K106" s="231"/>
      <c r="L106" s="219"/>
    </row>
    <row r="107" spans="1:12" x14ac:dyDescent="0.25">
      <c r="A107" s="221"/>
      <c r="B107" s="221"/>
      <c r="C107" s="225"/>
      <c r="D107" s="230"/>
      <c r="E107" s="230"/>
      <c r="F107" s="219"/>
      <c r="G107" s="219"/>
      <c r="H107" s="230"/>
      <c r="I107" s="230"/>
      <c r="J107" s="230"/>
      <c r="K107" s="230"/>
      <c r="L107" s="219"/>
    </row>
    <row r="108" spans="1:12" x14ac:dyDescent="0.25">
      <c r="A108" s="235"/>
      <c r="B108" s="235"/>
      <c r="C108" s="219"/>
      <c r="D108" s="219"/>
      <c r="E108" s="219"/>
      <c r="F108" s="219"/>
      <c r="G108" s="219"/>
      <c r="H108" s="219"/>
      <c r="I108" s="219"/>
      <c r="J108" s="219"/>
      <c r="K108" s="219"/>
      <c r="L108" s="219"/>
    </row>
    <row r="109" spans="1:12" x14ac:dyDescent="0.25">
      <c r="A109" s="235"/>
      <c r="B109" s="235"/>
      <c r="C109" s="219"/>
      <c r="D109" s="219"/>
      <c r="E109" s="219"/>
      <c r="F109" s="219"/>
      <c r="G109" s="219"/>
      <c r="H109" s="219"/>
      <c r="I109" s="219"/>
      <c r="J109" s="219"/>
      <c r="K109" s="219"/>
      <c r="L109" s="219"/>
    </row>
    <row r="110" spans="1:12" x14ac:dyDescent="0.25">
      <c r="A110" s="235"/>
      <c r="B110" s="235"/>
      <c r="C110" s="219"/>
      <c r="D110" s="219"/>
      <c r="E110" s="219"/>
      <c r="F110" s="219"/>
      <c r="G110" s="219"/>
      <c r="H110" s="219"/>
      <c r="I110" s="219"/>
      <c r="J110" s="219"/>
      <c r="K110" s="219"/>
      <c r="L110" s="219"/>
    </row>
    <row r="111" spans="1:12" x14ac:dyDescent="0.25">
      <c r="A111" s="235"/>
      <c r="B111" s="235"/>
      <c r="C111" s="219"/>
      <c r="D111" s="219"/>
      <c r="E111" s="219"/>
      <c r="F111" s="219"/>
      <c r="G111" s="219"/>
      <c r="H111" s="219"/>
      <c r="I111" s="219"/>
      <c r="J111" s="219"/>
      <c r="K111" s="219"/>
      <c r="L111" s="219"/>
    </row>
    <row r="112" spans="1:12" x14ac:dyDescent="0.25">
      <c r="A112" s="235"/>
      <c r="B112" s="235"/>
      <c r="C112" s="219"/>
      <c r="D112" s="219"/>
      <c r="E112" s="219"/>
      <c r="F112" s="219"/>
      <c r="G112" s="219"/>
      <c r="H112" s="219"/>
      <c r="I112" s="219"/>
      <c r="J112" s="219"/>
      <c r="K112" s="219"/>
      <c r="L112" s="219"/>
    </row>
    <row r="113" spans="1:12" x14ac:dyDescent="0.25">
      <c r="A113" s="235"/>
      <c r="B113" s="235"/>
      <c r="C113" s="219"/>
      <c r="D113" s="219"/>
      <c r="E113" s="219"/>
      <c r="F113" s="219"/>
      <c r="G113" s="219"/>
      <c r="H113" s="219"/>
      <c r="I113" s="219"/>
      <c r="J113" s="219"/>
      <c r="K113" s="219"/>
      <c r="L113" s="219"/>
    </row>
    <row r="114" spans="1:12" x14ac:dyDescent="0.25">
      <c r="A114" s="236"/>
      <c r="B114" s="236"/>
      <c r="C114" s="219"/>
      <c r="D114" s="219"/>
      <c r="E114" s="219"/>
      <c r="F114" s="219"/>
      <c r="G114" s="219"/>
      <c r="H114" s="219"/>
      <c r="I114" s="219"/>
      <c r="J114" s="219"/>
      <c r="K114" s="219"/>
      <c r="L114" s="219"/>
    </row>
    <row r="115" spans="1:12" x14ac:dyDescent="0.25">
      <c r="A115" s="236"/>
      <c r="B115" s="236"/>
      <c r="C115" s="219"/>
      <c r="D115" s="219"/>
      <c r="E115" s="219"/>
      <c r="F115" s="219"/>
      <c r="G115" s="219"/>
      <c r="H115" s="219"/>
      <c r="I115" s="219"/>
      <c r="J115" s="219"/>
      <c r="K115" s="219"/>
      <c r="L115" s="219"/>
    </row>
    <row r="116" spans="1:12" x14ac:dyDescent="0.25">
      <c r="A116" s="235"/>
      <c r="B116" s="235"/>
      <c r="C116" s="219"/>
      <c r="D116" s="219"/>
      <c r="E116" s="219"/>
      <c r="F116" s="219"/>
      <c r="G116" s="219"/>
      <c r="H116" s="219"/>
      <c r="I116" s="219"/>
      <c r="J116" s="219"/>
      <c r="K116" s="219"/>
      <c r="L116" s="219"/>
    </row>
    <row r="117" spans="1:12" x14ac:dyDescent="0.25">
      <c r="A117" s="235"/>
      <c r="B117" s="235"/>
      <c r="C117" s="219"/>
      <c r="D117" s="219"/>
      <c r="E117" s="219"/>
      <c r="F117" s="219"/>
      <c r="G117" s="219"/>
      <c r="H117" s="219"/>
      <c r="I117" s="219"/>
      <c r="J117" s="219"/>
      <c r="K117" s="219"/>
      <c r="L117" s="219"/>
    </row>
    <row r="118" spans="1:12" x14ac:dyDescent="0.25">
      <c r="A118" s="235"/>
      <c r="B118" s="235"/>
      <c r="C118" s="219"/>
      <c r="D118" s="219"/>
      <c r="E118" s="219"/>
      <c r="F118" s="219"/>
      <c r="G118" s="219"/>
      <c r="H118" s="219"/>
      <c r="I118" s="219"/>
      <c r="J118" s="219"/>
      <c r="K118" s="219"/>
      <c r="L118" s="219"/>
    </row>
    <row r="119" spans="1:12" x14ac:dyDescent="0.25">
      <c r="A119" s="237"/>
      <c r="B119" s="237"/>
      <c r="C119" s="219"/>
      <c r="D119" s="219"/>
      <c r="E119" s="219"/>
      <c r="F119" s="219"/>
      <c r="G119" s="219"/>
      <c r="H119" s="219"/>
      <c r="I119" s="219"/>
      <c r="J119" s="219"/>
      <c r="K119" s="219"/>
      <c r="L119" s="219"/>
    </row>
    <row r="120" spans="1:12" x14ac:dyDescent="0.25">
      <c r="A120" s="238"/>
      <c r="B120" s="238"/>
      <c r="C120" s="219"/>
      <c r="D120" s="219"/>
      <c r="E120" s="219"/>
      <c r="F120" s="219"/>
      <c r="G120" s="219"/>
      <c r="H120" s="219"/>
      <c r="I120" s="219"/>
      <c r="J120" s="219"/>
      <c r="K120" s="219"/>
      <c r="L120" s="219"/>
    </row>
    <row r="121" spans="1:12" x14ac:dyDescent="0.25">
      <c r="A121" s="235"/>
      <c r="B121" s="235"/>
      <c r="C121" s="219"/>
      <c r="D121" s="219"/>
      <c r="E121" s="219"/>
      <c r="F121" s="219"/>
      <c r="G121" s="219"/>
      <c r="H121" s="219"/>
      <c r="I121" s="219"/>
      <c r="J121" s="219"/>
      <c r="K121" s="219"/>
      <c r="L121" s="219"/>
    </row>
    <row r="122" spans="1:12" x14ac:dyDescent="0.25">
      <c r="A122" s="237"/>
      <c r="B122" s="237"/>
      <c r="C122" s="219"/>
      <c r="D122" s="219"/>
      <c r="E122" s="219"/>
      <c r="F122" s="219"/>
      <c r="G122" s="219"/>
      <c r="H122" s="219"/>
      <c r="I122" s="219"/>
      <c r="J122" s="219"/>
      <c r="K122" s="219"/>
      <c r="L122" s="219"/>
    </row>
    <row r="123" spans="1:12" x14ac:dyDescent="0.25">
      <c r="A123" s="235"/>
      <c r="B123" s="235"/>
      <c r="C123" s="219"/>
      <c r="D123" s="219"/>
      <c r="E123" s="219"/>
      <c r="F123" s="219"/>
      <c r="G123" s="219"/>
      <c r="H123" s="219"/>
      <c r="I123" s="219"/>
      <c r="J123" s="219"/>
      <c r="K123" s="219"/>
      <c r="L123" s="219"/>
    </row>
    <row r="124" spans="1:12" x14ac:dyDescent="0.25">
      <c r="A124" s="235"/>
      <c r="B124" s="235"/>
      <c r="C124" s="219"/>
      <c r="D124" s="219"/>
      <c r="E124" s="219"/>
      <c r="F124" s="219"/>
      <c r="G124" s="219"/>
      <c r="H124" s="219"/>
      <c r="I124" s="219"/>
      <c r="J124" s="219"/>
      <c r="K124" s="219"/>
      <c r="L124" s="219"/>
    </row>
    <row r="125" spans="1:12" x14ac:dyDescent="0.25">
      <c r="A125" s="235"/>
      <c r="B125" s="235"/>
      <c r="C125" s="219"/>
      <c r="D125" s="219"/>
      <c r="E125" s="219"/>
      <c r="F125" s="219"/>
      <c r="G125" s="219"/>
      <c r="H125" s="219"/>
      <c r="I125" s="219"/>
      <c r="J125" s="219"/>
      <c r="K125" s="219"/>
      <c r="L125" s="219"/>
    </row>
    <row r="126" spans="1:12" x14ac:dyDescent="0.25">
      <c r="A126" s="235"/>
      <c r="B126" s="235"/>
      <c r="C126" s="219"/>
      <c r="D126" s="219"/>
      <c r="E126" s="219"/>
      <c r="F126" s="219"/>
      <c r="G126" s="219"/>
      <c r="H126" s="219"/>
      <c r="I126" s="219"/>
      <c r="J126" s="219"/>
      <c r="K126" s="219"/>
      <c r="L126" s="219"/>
    </row>
    <row r="127" spans="1:12" x14ac:dyDescent="0.25">
      <c r="A127" s="239"/>
      <c r="B127" s="239"/>
      <c r="C127" s="219"/>
      <c r="D127" s="219"/>
      <c r="E127" s="219"/>
      <c r="F127" s="219"/>
      <c r="G127" s="219"/>
      <c r="H127" s="219"/>
      <c r="I127" s="219"/>
      <c r="J127" s="219"/>
      <c r="K127" s="219"/>
      <c r="L127" s="219"/>
    </row>
    <row r="128" spans="1:12" x14ac:dyDescent="0.25">
      <c r="A128" s="235"/>
      <c r="B128" s="235"/>
      <c r="C128" s="219"/>
      <c r="D128" s="219"/>
      <c r="E128" s="219"/>
      <c r="F128" s="219"/>
      <c r="G128" s="219"/>
      <c r="H128" s="219"/>
      <c r="I128" s="219"/>
      <c r="J128" s="219"/>
      <c r="K128" s="219"/>
      <c r="L128" s="219"/>
    </row>
    <row r="129" spans="1:12" x14ac:dyDescent="0.25">
      <c r="A129" s="239"/>
      <c r="B129" s="239"/>
      <c r="C129" s="219"/>
      <c r="D129" s="219"/>
      <c r="E129" s="219"/>
      <c r="F129" s="219"/>
      <c r="G129" s="219"/>
      <c r="H129" s="219"/>
      <c r="I129" s="219"/>
      <c r="J129" s="219"/>
      <c r="K129" s="219"/>
      <c r="L129" s="219"/>
    </row>
    <row r="130" spans="1:12" x14ac:dyDescent="0.25">
      <c r="A130" s="236"/>
      <c r="B130" s="236"/>
      <c r="C130" s="219"/>
      <c r="D130" s="219"/>
      <c r="E130" s="219"/>
      <c r="F130" s="219"/>
      <c r="G130" s="219"/>
      <c r="H130" s="219"/>
      <c r="I130" s="219"/>
      <c r="J130" s="219"/>
      <c r="K130" s="219"/>
      <c r="L130" s="219"/>
    </row>
    <row r="131" spans="1:12" x14ac:dyDescent="0.25">
      <c r="A131" s="236"/>
      <c r="B131" s="236"/>
      <c r="C131" s="219"/>
      <c r="D131" s="219"/>
      <c r="E131" s="219"/>
      <c r="F131" s="219"/>
      <c r="G131" s="219"/>
      <c r="H131" s="219"/>
      <c r="I131" s="219"/>
      <c r="J131" s="219"/>
      <c r="K131" s="219"/>
      <c r="L131" s="219"/>
    </row>
    <row r="132" spans="1:12" x14ac:dyDescent="0.25">
      <c r="A132" s="236"/>
      <c r="B132" s="236"/>
      <c r="C132" s="219"/>
      <c r="D132" s="219"/>
      <c r="E132" s="219"/>
      <c r="F132" s="219"/>
      <c r="G132" s="219"/>
      <c r="H132" s="219"/>
      <c r="I132" s="219"/>
      <c r="J132" s="219"/>
      <c r="K132" s="219"/>
      <c r="L132" s="219"/>
    </row>
    <row r="133" spans="1:12" x14ac:dyDescent="0.25">
      <c r="A133" s="235"/>
      <c r="B133" s="235"/>
      <c r="C133" s="219"/>
      <c r="D133" s="219"/>
      <c r="E133" s="219"/>
      <c r="F133" s="219"/>
      <c r="G133" s="219"/>
      <c r="H133" s="219"/>
      <c r="I133" s="219"/>
      <c r="J133" s="219"/>
      <c r="K133" s="219"/>
      <c r="L133" s="219"/>
    </row>
    <row r="134" spans="1:12" x14ac:dyDescent="0.25">
      <c r="A134" s="235"/>
      <c r="B134" s="235"/>
      <c r="C134" s="219"/>
      <c r="D134" s="219"/>
      <c r="E134" s="219"/>
      <c r="F134" s="219"/>
      <c r="G134" s="219"/>
      <c r="H134" s="219"/>
      <c r="I134" s="219"/>
      <c r="J134" s="219"/>
      <c r="K134" s="219"/>
      <c r="L134" s="219"/>
    </row>
    <row r="135" spans="1:12" x14ac:dyDescent="0.25">
      <c r="A135" s="235"/>
      <c r="B135" s="235"/>
      <c r="C135" s="219"/>
      <c r="D135" s="219"/>
      <c r="E135" s="219"/>
      <c r="F135" s="219"/>
      <c r="G135" s="219"/>
      <c r="H135" s="219"/>
      <c r="I135" s="219"/>
      <c r="J135" s="219"/>
      <c r="K135" s="219"/>
      <c r="L135" s="219"/>
    </row>
    <row r="136" spans="1:12" x14ac:dyDescent="0.25">
      <c r="A136" s="235"/>
      <c r="B136" s="235"/>
      <c r="C136" s="219"/>
      <c r="D136" s="219"/>
      <c r="E136" s="219"/>
      <c r="F136" s="219"/>
      <c r="G136" s="219"/>
      <c r="H136" s="219"/>
      <c r="I136" s="219"/>
      <c r="J136" s="219"/>
      <c r="K136" s="219"/>
      <c r="L136" s="219"/>
    </row>
    <row r="137" spans="1:12" x14ac:dyDescent="0.25">
      <c r="A137" s="235"/>
      <c r="B137" s="235"/>
      <c r="C137" s="219"/>
      <c r="D137" s="219"/>
      <c r="E137" s="219"/>
      <c r="F137" s="219"/>
      <c r="G137" s="219"/>
      <c r="H137" s="219"/>
      <c r="I137" s="219"/>
      <c r="J137" s="219"/>
      <c r="K137" s="219"/>
      <c r="L137" s="219"/>
    </row>
    <row r="138" spans="1:12" x14ac:dyDescent="0.25">
      <c r="A138" s="239"/>
      <c r="B138" s="239"/>
      <c r="C138" s="219"/>
      <c r="D138" s="219"/>
      <c r="E138" s="219"/>
      <c r="F138" s="219"/>
      <c r="G138" s="219"/>
      <c r="H138" s="219"/>
      <c r="I138" s="219"/>
      <c r="J138" s="219"/>
      <c r="K138" s="219"/>
      <c r="L138" s="219"/>
    </row>
    <row r="139" spans="1:12" x14ac:dyDescent="0.25">
      <c r="A139" s="235"/>
      <c r="B139" s="235"/>
      <c r="C139" s="219"/>
      <c r="D139" s="219"/>
      <c r="E139" s="219"/>
      <c r="F139" s="219"/>
      <c r="G139" s="219"/>
      <c r="H139" s="219"/>
      <c r="I139" s="219"/>
      <c r="J139" s="219"/>
      <c r="K139" s="219"/>
      <c r="L139" s="219"/>
    </row>
    <row r="140" spans="1:12" x14ac:dyDescent="0.25">
      <c r="A140" s="240"/>
      <c r="B140" s="240"/>
      <c r="C140" s="240"/>
      <c r="D140" s="240"/>
      <c r="E140" s="219"/>
      <c r="F140" s="219"/>
      <c r="G140" s="219"/>
      <c r="H140" s="219"/>
      <c r="I140" s="219"/>
      <c r="J140" s="219"/>
      <c r="K140" s="219"/>
      <c r="L140" s="219"/>
    </row>
    <row r="141" spans="1:12" x14ac:dyDescent="0.25">
      <c r="A141" s="241"/>
      <c r="B141" s="241"/>
      <c r="C141" s="241"/>
      <c r="D141" s="241"/>
      <c r="E141" s="219"/>
      <c r="F141" s="219"/>
      <c r="G141" s="219"/>
      <c r="H141" s="219"/>
      <c r="I141" s="219"/>
      <c r="J141" s="219"/>
      <c r="K141" s="219"/>
      <c r="L141" s="219"/>
    </row>
    <row r="142" spans="1:12" x14ac:dyDescent="0.25">
      <c r="A142" s="241"/>
      <c r="B142" s="241"/>
      <c r="C142" s="241"/>
      <c r="D142" s="241"/>
      <c r="E142" s="219"/>
      <c r="F142" s="219"/>
      <c r="G142" s="219"/>
      <c r="H142" s="219"/>
      <c r="I142" s="219"/>
      <c r="J142" s="219"/>
      <c r="K142" s="219"/>
      <c r="L142" s="219"/>
    </row>
    <row r="143" spans="1:12" x14ac:dyDescent="0.25">
      <c r="A143" s="241"/>
      <c r="B143" s="241"/>
      <c r="C143" s="241"/>
      <c r="D143" s="241"/>
      <c r="E143" s="219"/>
      <c r="F143" s="219"/>
      <c r="G143" s="219"/>
      <c r="H143" s="219"/>
      <c r="I143" s="219"/>
      <c r="J143" s="219"/>
      <c r="K143" s="219"/>
      <c r="L143" s="219"/>
    </row>
    <row r="144" spans="1:12" x14ac:dyDescent="0.25">
      <c r="A144" s="241"/>
      <c r="B144" s="241"/>
      <c r="C144" s="241"/>
      <c r="D144" s="241"/>
      <c r="E144" s="219"/>
      <c r="F144" s="219"/>
      <c r="G144" s="219"/>
      <c r="H144" s="219"/>
      <c r="I144" s="219"/>
      <c r="J144" s="219"/>
      <c r="K144" s="219"/>
      <c r="L144" s="219"/>
    </row>
    <row r="145" spans="1:12" x14ac:dyDescent="0.25">
      <c r="A145" s="235"/>
      <c r="B145" s="235"/>
      <c r="C145" s="219"/>
      <c r="D145" s="219"/>
      <c r="E145" s="219"/>
      <c r="F145" s="219"/>
      <c r="G145" s="219"/>
      <c r="H145" s="219"/>
      <c r="I145" s="219"/>
      <c r="J145" s="219"/>
      <c r="K145" s="219"/>
      <c r="L145" s="219"/>
    </row>
    <row r="146" spans="1:12" x14ac:dyDescent="0.25">
      <c r="A146" s="239"/>
      <c r="B146" s="239"/>
      <c r="C146" s="219"/>
      <c r="D146" s="219"/>
      <c r="E146" s="219"/>
      <c r="F146" s="219"/>
      <c r="G146" s="219"/>
      <c r="H146" s="219"/>
      <c r="I146" s="219"/>
      <c r="J146" s="219"/>
      <c r="K146" s="219"/>
      <c r="L146" s="219"/>
    </row>
    <row r="147" spans="1:12" x14ac:dyDescent="0.25">
      <c r="A147" s="235"/>
      <c r="B147" s="235"/>
      <c r="C147" s="219"/>
      <c r="D147" s="219"/>
      <c r="E147" s="219"/>
      <c r="F147" s="219"/>
      <c r="G147" s="219"/>
      <c r="H147" s="219"/>
      <c r="I147" s="219"/>
      <c r="J147" s="219"/>
      <c r="K147" s="219"/>
      <c r="L147" s="219"/>
    </row>
    <row r="148" spans="1:12" x14ac:dyDescent="0.25">
      <c r="A148" s="235"/>
      <c r="B148" s="235"/>
      <c r="C148" s="219"/>
      <c r="D148" s="219"/>
      <c r="E148" s="219"/>
      <c r="F148" s="219"/>
      <c r="G148" s="219"/>
      <c r="H148" s="219"/>
      <c r="I148" s="219"/>
      <c r="J148" s="219"/>
      <c r="K148" s="219"/>
      <c r="L148" s="219"/>
    </row>
    <row r="149" spans="1:12" x14ac:dyDescent="0.25">
      <c r="A149" s="235"/>
      <c r="B149" s="235"/>
      <c r="C149" s="219"/>
      <c r="D149" s="219"/>
      <c r="E149" s="219"/>
      <c r="F149" s="219"/>
      <c r="G149" s="219"/>
      <c r="H149" s="219"/>
      <c r="I149" s="219"/>
      <c r="J149" s="219"/>
      <c r="K149" s="219"/>
      <c r="L149" s="219"/>
    </row>
    <row r="150" spans="1:12" x14ac:dyDescent="0.25">
      <c r="A150" s="239"/>
      <c r="B150" s="239"/>
      <c r="C150" s="219"/>
      <c r="D150" s="219"/>
      <c r="E150" s="219"/>
      <c r="F150" s="219"/>
      <c r="G150" s="219"/>
      <c r="H150" s="219"/>
      <c r="I150" s="219"/>
      <c r="J150" s="219"/>
      <c r="K150" s="219"/>
      <c r="L150" s="219"/>
    </row>
    <row r="151" spans="1:12" x14ac:dyDescent="0.25">
      <c r="A151" s="235"/>
      <c r="B151" s="235"/>
      <c r="C151" s="219"/>
      <c r="D151" s="219"/>
      <c r="E151" s="219"/>
      <c r="F151" s="219"/>
      <c r="G151" s="219"/>
      <c r="H151" s="219"/>
      <c r="I151" s="219"/>
      <c r="J151" s="219"/>
      <c r="K151" s="219"/>
      <c r="L151" s="219"/>
    </row>
    <row r="152" spans="1:12" x14ac:dyDescent="0.25">
      <c r="A152" s="241"/>
      <c r="B152" s="241"/>
      <c r="C152" s="240"/>
      <c r="D152" s="240"/>
      <c r="E152" s="240"/>
      <c r="F152" s="219"/>
      <c r="G152" s="219"/>
      <c r="H152" s="240"/>
      <c r="I152" s="240"/>
      <c r="J152" s="240"/>
      <c r="K152" s="241"/>
      <c r="L152" s="219"/>
    </row>
    <row r="153" spans="1:12" x14ac:dyDescent="0.25">
      <c r="A153" s="241"/>
      <c r="B153" s="241"/>
      <c r="C153" s="240"/>
      <c r="D153" s="240"/>
      <c r="E153" s="240"/>
      <c r="F153" s="219"/>
      <c r="G153" s="219"/>
      <c r="H153" s="240"/>
      <c r="I153" s="240"/>
      <c r="J153" s="240"/>
      <c r="K153" s="241"/>
      <c r="L153" s="219"/>
    </row>
    <row r="154" spans="1:12" ht="15" customHeight="1" x14ac:dyDescent="0.25">
      <c r="A154" s="240"/>
      <c r="B154" s="240"/>
      <c r="C154" s="240"/>
      <c r="D154" s="240"/>
      <c r="E154" s="241"/>
      <c r="F154" s="219"/>
      <c r="G154" s="219"/>
      <c r="H154" s="241"/>
      <c r="I154" s="241"/>
      <c r="J154" s="241"/>
      <c r="K154" s="241"/>
      <c r="L154" s="219"/>
    </row>
    <row r="155" spans="1:12" ht="15" customHeight="1" x14ac:dyDescent="0.25">
      <c r="A155" s="241"/>
      <c r="B155" s="241"/>
      <c r="C155" s="241"/>
      <c r="D155" s="241"/>
      <c r="E155" s="240"/>
      <c r="F155" s="219"/>
      <c r="G155" s="219"/>
      <c r="H155" s="242"/>
      <c r="I155" s="241"/>
      <c r="J155" s="241"/>
      <c r="K155" s="241"/>
      <c r="L155" s="219"/>
    </row>
    <row r="156" spans="1:12" ht="15" customHeight="1" x14ac:dyDescent="0.25">
      <c r="A156" s="240"/>
      <c r="B156" s="240"/>
      <c r="C156" s="240"/>
      <c r="D156" s="240"/>
      <c r="E156" s="241"/>
      <c r="F156" s="219"/>
      <c r="G156" s="219"/>
      <c r="H156" s="241"/>
      <c r="I156" s="241"/>
      <c r="J156" s="241"/>
      <c r="K156" s="241"/>
      <c r="L156" s="219"/>
    </row>
    <row r="157" spans="1:12" ht="16.5" customHeight="1" x14ac:dyDescent="0.25">
      <c r="A157" s="241"/>
      <c r="B157" s="241"/>
      <c r="C157" s="241"/>
      <c r="D157" s="241"/>
      <c r="E157" s="243"/>
      <c r="F157" s="219"/>
      <c r="G157" s="219"/>
      <c r="H157" s="240"/>
      <c r="I157" s="241"/>
      <c r="J157" s="241"/>
      <c r="K157" s="241"/>
      <c r="L157" s="219"/>
    </row>
    <row r="158" spans="1:12" ht="16.5" customHeight="1" x14ac:dyDescent="0.25">
      <c r="A158" s="241"/>
      <c r="B158" s="241"/>
      <c r="C158" s="241"/>
      <c r="D158" s="241"/>
      <c r="E158" s="240"/>
      <c r="F158" s="219"/>
      <c r="G158" s="219"/>
      <c r="H158" s="242"/>
      <c r="I158" s="241"/>
      <c r="J158" s="241"/>
      <c r="K158" s="241"/>
      <c r="L158" s="219"/>
    </row>
    <row r="159" spans="1:12" x14ac:dyDescent="0.25">
      <c r="A159" s="241"/>
      <c r="B159" s="241"/>
      <c r="C159" s="241"/>
      <c r="D159" s="241"/>
      <c r="E159" s="240"/>
      <c r="F159" s="219"/>
      <c r="G159" s="219"/>
      <c r="H159" s="240"/>
      <c r="I159" s="241"/>
      <c r="J159" s="241"/>
      <c r="K159" s="241"/>
      <c r="L159" s="219"/>
    </row>
    <row r="160" spans="1:12" ht="15" customHeight="1" x14ac:dyDescent="0.25">
      <c r="A160" s="240"/>
      <c r="B160" s="240"/>
      <c r="C160" s="240"/>
      <c r="D160" s="240"/>
      <c r="E160" s="241"/>
      <c r="F160" s="219"/>
      <c r="G160" s="219"/>
      <c r="H160" s="241"/>
      <c r="I160" s="241"/>
      <c r="J160" s="241"/>
      <c r="K160" s="241"/>
      <c r="L160" s="219"/>
    </row>
    <row r="161" spans="1:12" ht="16.5" customHeight="1" x14ac:dyDescent="0.25">
      <c r="A161" s="241"/>
      <c r="B161" s="241"/>
      <c r="C161" s="241"/>
      <c r="D161" s="241"/>
      <c r="E161" s="243"/>
      <c r="F161" s="219"/>
      <c r="G161" s="219"/>
      <c r="H161" s="240"/>
      <c r="I161" s="241"/>
      <c r="J161" s="241"/>
      <c r="K161" s="241"/>
      <c r="L161" s="219"/>
    </row>
    <row r="162" spans="1:12" x14ac:dyDescent="0.25">
      <c r="A162" s="235"/>
      <c r="B162" s="235"/>
      <c r="C162" s="219"/>
      <c r="D162" s="219"/>
      <c r="E162" s="219"/>
      <c r="F162" s="219"/>
      <c r="G162" s="219"/>
      <c r="H162" s="219"/>
      <c r="I162" s="219"/>
      <c r="J162" s="219"/>
      <c r="K162" s="219"/>
      <c r="L162" s="219"/>
    </row>
    <row r="163" spans="1:12" x14ac:dyDescent="0.25">
      <c r="A163" s="239"/>
      <c r="B163" s="239"/>
      <c r="C163" s="219"/>
      <c r="D163" s="219"/>
      <c r="E163" s="219"/>
      <c r="F163" s="219"/>
      <c r="G163" s="219"/>
      <c r="H163" s="219"/>
      <c r="I163" s="219"/>
      <c r="J163" s="219"/>
      <c r="K163" s="219"/>
      <c r="L163" s="219"/>
    </row>
    <row r="164" spans="1:12" x14ac:dyDescent="0.25">
      <c r="A164" s="235"/>
      <c r="B164" s="235"/>
      <c r="C164" s="219"/>
      <c r="D164" s="219"/>
      <c r="E164" s="219"/>
      <c r="F164" s="219"/>
      <c r="G164" s="219"/>
      <c r="H164" s="219"/>
      <c r="I164" s="219"/>
      <c r="J164" s="219"/>
      <c r="K164" s="219"/>
      <c r="L164" s="219"/>
    </row>
    <row r="165" spans="1:12" x14ac:dyDescent="0.25">
      <c r="A165" s="240"/>
      <c r="B165" s="240"/>
      <c r="C165" s="241"/>
      <c r="D165" s="241"/>
      <c r="E165" s="219"/>
      <c r="F165" s="219"/>
      <c r="G165" s="219"/>
      <c r="H165" s="219"/>
      <c r="I165" s="219"/>
      <c r="J165" s="219"/>
      <c r="K165" s="219"/>
      <c r="L165" s="219"/>
    </row>
    <row r="166" spans="1:12" x14ac:dyDescent="0.25">
      <c r="A166" s="240"/>
      <c r="B166" s="240"/>
      <c r="C166" s="240"/>
      <c r="D166" s="240"/>
      <c r="E166" s="219"/>
      <c r="F166" s="219"/>
      <c r="G166" s="219"/>
      <c r="H166" s="219"/>
      <c r="I166" s="219"/>
      <c r="J166" s="219"/>
      <c r="K166" s="219"/>
      <c r="L166" s="219"/>
    </row>
    <row r="167" spans="1:12" x14ac:dyDescent="0.25">
      <c r="A167" s="240"/>
      <c r="B167" s="240"/>
      <c r="C167" s="240"/>
      <c r="D167" s="240"/>
      <c r="E167" s="219"/>
      <c r="F167" s="219"/>
      <c r="G167" s="219"/>
      <c r="H167" s="219"/>
      <c r="I167" s="219"/>
      <c r="J167" s="219"/>
      <c r="K167" s="219"/>
      <c r="L167" s="219"/>
    </row>
    <row r="168" spans="1:12" x14ac:dyDescent="0.25">
      <c r="A168" s="240"/>
      <c r="B168" s="240"/>
      <c r="C168" s="240"/>
      <c r="D168" s="240"/>
      <c r="E168" s="219"/>
      <c r="F168" s="219"/>
      <c r="G168" s="219"/>
      <c r="H168" s="219"/>
      <c r="I168" s="219"/>
      <c r="J168" s="219"/>
      <c r="K168" s="219"/>
      <c r="L168" s="219"/>
    </row>
    <row r="169" spans="1:12" x14ac:dyDescent="0.25">
      <c r="A169" s="241"/>
      <c r="B169" s="241"/>
      <c r="C169" s="244"/>
      <c r="D169" s="244"/>
      <c r="E169" s="219"/>
      <c r="F169" s="219"/>
      <c r="G169" s="219"/>
      <c r="H169" s="219"/>
      <c r="I169" s="219"/>
      <c r="J169" s="219"/>
      <c r="K169" s="219"/>
      <c r="L169" s="219"/>
    </row>
    <row r="170" spans="1:12" x14ac:dyDescent="0.25">
      <c r="A170" s="241"/>
      <c r="B170" s="241"/>
      <c r="C170" s="241"/>
      <c r="D170" s="241"/>
      <c r="E170" s="219"/>
      <c r="F170" s="219"/>
      <c r="G170" s="219"/>
      <c r="H170" s="219"/>
      <c r="I170" s="219"/>
      <c r="J170" s="219"/>
      <c r="K170" s="219"/>
      <c r="L170" s="219"/>
    </row>
    <row r="171" spans="1:12" x14ac:dyDescent="0.25">
      <c r="A171" s="241"/>
      <c r="B171" s="241"/>
      <c r="C171" s="241"/>
      <c r="D171" s="241"/>
      <c r="E171" s="219"/>
      <c r="F171" s="219"/>
      <c r="G171" s="219"/>
      <c r="H171" s="219"/>
      <c r="I171" s="219"/>
      <c r="J171" s="219"/>
      <c r="K171" s="219"/>
      <c r="L171" s="219"/>
    </row>
    <row r="172" spans="1:12" x14ac:dyDescent="0.25">
      <c r="A172" s="241"/>
      <c r="B172" s="241"/>
      <c r="C172" s="241"/>
      <c r="D172" s="241"/>
      <c r="E172" s="219"/>
      <c r="F172" s="219"/>
      <c r="G172" s="219"/>
      <c r="H172" s="219"/>
      <c r="I172" s="219"/>
      <c r="J172" s="219"/>
      <c r="K172" s="219"/>
      <c r="L172" s="219"/>
    </row>
    <row r="173" spans="1:12" x14ac:dyDescent="0.25">
      <c r="A173" s="241"/>
      <c r="B173" s="241"/>
      <c r="C173" s="241"/>
      <c r="D173" s="241"/>
      <c r="E173" s="219"/>
      <c r="F173" s="219"/>
      <c r="G173" s="219"/>
      <c r="H173" s="219"/>
      <c r="I173" s="219"/>
      <c r="J173" s="219"/>
      <c r="K173" s="219"/>
      <c r="L173" s="219"/>
    </row>
    <row r="174" spans="1:12" x14ac:dyDescent="0.25">
      <c r="A174" s="245"/>
      <c r="B174" s="245"/>
      <c r="C174" s="245"/>
      <c r="D174" s="245"/>
      <c r="E174" s="219"/>
      <c r="F174" s="219"/>
      <c r="G174" s="219"/>
      <c r="H174" s="219"/>
      <c r="I174" s="219"/>
      <c r="J174" s="219"/>
      <c r="K174" s="219"/>
      <c r="L174" s="219"/>
    </row>
    <row r="175" spans="1:12" x14ac:dyDescent="0.25">
      <c r="A175" s="241"/>
      <c r="B175" s="241"/>
      <c r="C175" s="241"/>
      <c r="D175" s="241"/>
      <c r="E175" s="219"/>
      <c r="F175" s="219"/>
      <c r="G175" s="219"/>
      <c r="H175" s="219"/>
      <c r="I175" s="219"/>
      <c r="J175" s="219"/>
      <c r="K175" s="219"/>
      <c r="L175" s="219"/>
    </row>
    <row r="176" spans="1:12" x14ac:dyDescent="0.25">
      <c r="A176" s="240"/>
      <c r="B176" s="240"/>
      <c r="C176" s="246"/>
      <c r="D176" s="246"/>
      <c r="E176" s="219"/>
      <c r="F176" s="219"/>
      <c r="G176" s="219"/>
      <c r="H176" s="219"/>
      <c r="I176" s="219"/>
      <c r="J176" s="219"/>
      <c r="K176" s="219"/>
      <c r="L176" s="219"/>
    </row>
    <row r="177" spans="1:12" x14ac:dyDescent="0.25">
      <c r="A177" s="241"/>
      <c r="B177" s="241"/>
      <c r="C177" s="241"/>
      <c r="D177" s="241"/>
      <c r="E177" s="219"/>
      <c r="F177" s="219"/>
      <c r="G177" s="219"/>
      <c r="H177" s="219"/>
      <c r="I177" s="219"/>
      <c r="J177" s="219"/>
      <c r="K177" s="219"/>
      <c r="L177" s="219"/>
    </row>
    <row r="178" spans="1:12" x14ac:dyDescent="0.25">
      <c r="A178" s="241"/>
      <c r="B178" s="241"/>
      <c r="C178" s="241"/>
      <c r="D178" s="241"/>
      <c r="E178" s="219"/>
      <c r="F178" s="219"/>
      <c r="G178" s="219"/>
      <c r="H178" s="219"/>
      <c r="I178" s="219"/>
      <c r="J178" s="219"/>
      <c r="K178" s="219"/>
      <c r="L178" s="219"/>
    </row>
    <row r="179" spans="1:12" x14ac:dyDescent="0.25">
      <c r="A179" s="240"/>
      <c r="B179" s="240"/>
      <c r="C179" s="241"/>
      <c r="D179" s="241"/>
      <c r="E179" s="219"/>
      <c r="F179" s="219"/>
      <c r="G179" s="219"/>
      <c r="H179" s="219"/>
      <c r="I179" s="219"/>
      <c r="J179" s="219"/>
      <c r="K179" s="219"/>
      <c r="L179" s="219"/>
    </row>
    <row r="180" spans="1:12" x14ac:dyDescent="0.25">
      <c r="A180" s="240"/>
      <c r="B180" s="240"/>
      <c r="C180" s="241"/>
      <c r="D180" s="241"/>
      <c r="E180" s="219"/>
      <c r="F180" s="219"/>
      <c r="G180" s="219"/>
      <c r="H180" s="219"/>
      <c r="I180" s="219"/>
      <c r="J180" s="219"/>
      <c r="K180" s="219"/>
      <c r="L180" s="219"/>
    </row>
    <row r="181" spans="1:12" x14ac:dyDescent="0.25">
      <c r="A181" s="240"/>
      <c r="B181" s="240"/>
      <c r="C181" s="240"/>
      <c r="D181" s="240"/>
      <c r="E181" s="219"/>
      <c r="F181" s="219"/>
      <c r="G181" s="219"/>
      <c r="H181" s="219"/>
      <c r="I181" s="219"/>
      <c r="J181" s="219"/>
      <c r="K181" s="219"/>
      <c r="L181" s="219"/>
    </row>
    <row r="182" spans="1:12" x14ac:dyDescent="0.25">
      <c r="A182" s="240"/>
      <c r="B182" s="240"/>
      <c r="C182" s="240"/>
      <c r="D182" s="240"/>
      <c r="E182" s="219"/>
      <c r="F182" s="219"/>
      <c r="G182" s="219"/>
      <c r="H182" s="219"/>
      <c r="I182" s="219"/>
      <c r="J182" s="219"/>
      <c r="K182" s="219"/>
      <c r="L182" s="219"/>
    </row>
    <row r="183" spans="1:12" x14ac:dyDescent="0.25">
      <c r="A183" s="240"/>
      <c r="B183" s="240"/>
      <c r="C183" s="240"/>
      <c r="D183" s="240"/>
      <c r="E183" s="219"/>
      <c r="F183" s="219"/>
      <c r="G183" s="219"/>
      <c r="H183" s="219"/>
      <c r="I183" s="219"/>
      <c r="J183" s="219"/>
      <c r="K183" s="219"/>
      <c r="L183" s="219"/>
    </row>
    <row r="184" spans="1:12" x14ac:dyDescent="0.25">
      <c r="A184" s="241"/>
      <c r="B184" s="241"/>
      <c r="C184" s="241"/>
      <c r="D184" s="241"/>
      <c r="E184" s="219"/>
      <c r="F184" s="219"/>
      <c r="G184" s="219"/>
      <c r="H184" s="219"/>
      <c r="I184" s="219"/>
      <c r="J184" s="219"/>
      <c r="K184" s="219"/>
      <c r="L184" s="219"/>
    </row>
    <row r="185" spans="1:12" x14ac:dyDescent="0.25">
      <c r="A185" s="241"/>
      <c r="B185" s="241"/>
      <c r="C185" s="241"/>
      <c r="D185" s="241"/>
      <c r="E185" s="219"/>
      <c r="F185" s="219"/>
      <c r="G185" s="219"/>
      <c r="H185" s="219"/>
      <c r="I185" s="219"/>
      <c r="J185" s="219"/>
      <c r="K185" s="219"/>
      <c r="L185" s="219"/>
    </row>
    <row r="186" spans="1:12" x14ac:dyDescent="0.25">
      <c r="A186" s="240"/>
      <c r="B186" s="240"/>
      <c r="C186" s="240"/>
      <c r="D186" s="240"/>
      <c r="E186" s="219"/>
      <c r="F186" s="219"/>
      <c r="G186" s="219"/>
      <c r="H186" s="219"/>
      <c r="I186" s="219"/>
      <c r="J186" s="219"/>
      <c r="K186" s="219"/>
      <c r="L186" s="219"/>
    </row>
    <row r="187" spans="1:12" x14ac:dyDescent="0.25">
      <c r="A187" s="241"/>
      <c r="B187" s="241"/>
      <c r="C187" s="241"/>
      <c r="D187" s="241"/>
      <c r="E187" s="219"/>
      <c r="F187" s="219"/>
      <c r="G187" s="219"/>
      <c r="H187" s="219"/>
      <c r="I187" s="219"/>
      <c r="J187" s="219"/>
      <c r="K187" s="219"/>
      <c r="L187" s="219"/>
    </row>
    <row r="188" spans="1:12" x14ac:dyDescent="0.25">
      <c r="A188" s="241"/>
      <c r="B188" s="241"/>
      <c r="C188" s="241"/>
      <c r="D188" s="241"/>
      <c r="E188" s="219"/>
      <c r="F188" s="219"/>
      <c r="G188" s="219"/>
      <c r="H188" s="219"/>
      <c r="I188" s="219"/>
      <c r="J188" s="219"/>
      <c r="K188" s="219"/>
      <c r="L188" s="219"/>
    </row>
    <row r="189" spans="1:12" x14ac:dyDescent="0.25">
      <c r="A189" s="240"/>
      <c r="B189" s="240"/>
      <c r="C189" s="241"/>
      <c r="D189" s="241"/>
      <c r="E189" s="219"/>
      <c r="F189" s="219"/>
      <c r="G189" s="219"/>
      <c r="H189" s="219"/>
      <c r="I189" s="219"/>
      <c r="J189" s="219"/>
      <c r="K189" s="219"/>
      <c r="L189" s="219"/>
    </row>
    <row r="190" spans="1:12" x14ac:dyDescent="0.25">
      <c r="A190" s="240"/>
      <c r="B190" s="240"/>
      <c r="C190" s="241"/>
      <c r="D190" s="241"/>
      <c r="E190" s="219"/>
      <c r="F190" s="219"/>
      <c r="G190" s="219"/>
      <c r="H190" s="219"/>
      <c r="I190" s="219"/>
      <c r="J190" s="219"/>
      <c r="K190" s="219"/>
      <c r="L190" s="219"/>
    </row>
    <row r="191" spans="1:12" x14ac:dyDescent="0.25">
      <c r="A191" s="240"/>
      <c r="B191" s="240"/>
      <c r="C191" s="240"/>
      <c r="D191" s="240"/>
      <c r="E191" s="219"/>
      <c r="F191" s="219"/>
      <c r="G191" s="219"/>
      <c r="H191" s="219"/>
      <c r="I191" s="219"/>
      <c r="J191" s="219"/>
      <c r="K191" s="219"/>
      <c r="L191" s="219"/>
    </row>
    <row r="192" spans="1:12" x14ac:dyDescent="0.25">
      <c r="A192" s="240"/>
      <c r="B192" s="240"/>
      <c r="C192" s="240"/>
      <c r="D192" s="240"/>
      <c r="E192" s="219"/>
      <c r="F192" s="219"/>
      <c r="G192" s="219"/>
      <c r="H192" s="219"/>
      <c r="I192" s="219"/>
      <c r="J192" s="219"/>
      <c r="K192" s="219"/>
      <c r="L192" s="219"/>
    </row>
    <row r="193" spans="1:12" x14ac:dyDescent="0.25">
      <c r="A193" s="240"/>
      <c r="B193" s="240"/>
      <c r="C193" s="240"/>
      <c r="D193" s="240"/>
      <c r="E193" s="219"/>
      <c r="F193" s="219"/>
      <c r="G193" s="219"/>
      <c r="H193" s="219"/>
      <c r="I193" s="219"/>
      <c r="J193" s="219"/>
      <c r="K193" s="219"/>
      <c r="L193" s="219"/>
    </row>
    <row r="194" spans="1:12" x14ac:dyDescent="0.25">
      <c r="A194" s="240"/>
      <c r="B194" s="240"/>
      <c r="C194" s="246"/>
      <c r="D194" s="246"/>
      <c r="E194" s="219"/>
      <c r="F194" s="219"/>
      <c r="G194" s="219"/>
      <c r="H194" s="219"/>
      <c r="I194" s="219"/>
      <c r="J194" s="219"/>
      <c r="K194" s="219"/>
      <c r="L194" s="219"/>
    </row>
    <row r="195" spans="1:12" x14ac:dyDescent="0.25">
      <c r="A195" s="235"/>
      <c r="B195" s="235"/>
      <c r="C195" s="219"/>
      <c r="D195" s="219"/>
      <c r="E195" s="219"/>
      <c r="F195" s="219"/>
      <c r="G195" s="219"/>
      <c r="H195" s="219"/>
      <c r="I195" s="219"/>
      <c r="J195" s="219"/>
      <c r="K195" s="219"/>
      <c r="L195" s="219"/>
    </row>
    <row r="196" spans="1:12" x14ac:dyDescent="0.25">
      <c r="A196" s="247"/>
      <c r="B196" s="247"/>
      <c r="C196" s="219"/>
      <c r="D196" s="219"/>
      <c r="E196" s="219"/>
      <c r="F196" s="219"/>
      <c r="G196" s="219"/>
      <c r="H196" s="219"/>
      <c r="I196" s="219"/>
      <c r="J196" s="219"/>
      <c r="K196" s="219"/>
      <c r="L196" s="219"/>
    </row>
    <row r="197" spans="1:12" x14ac:dyDescent="0.25">
      <c r="A197" s="247"/>
      <c r="B197" s="247"/>
      <c r="C197" s="219"/>
      <c r="D197" s="219"/>
      <c r="E197" s="219"/>
      <c r="F197" s="219"/>
      <c r="G197" s="219"/>
      <c r="H197" s="219"/>
      <c r="I197" s="219"/>
      <c r="J197" s="219"/>
      <c r="K197" s="219"/>
      <c r="L197" s="219"/>
    </row>
    <row r="198" spans="1:12" x14ac:dyDescent="0.25">
      <c r="A198" s="247"/>
      <c r="B198" s="247"/>
      <c r="C198" s="219"/>
      <c r="D198" s="219"/>
      <c r="E198" s="219"/>
      <c r="F198" s="219"/>
      <c r="G198" s="219"/>
      <c r="H198" s="219"/>
      <c r="I198" s="219"/>
      <c r="J198" s="219"/>
      <c r="K198" s="219"/>
      <c r="L198" s="219"/>
    </row>
    <row r="199" spans="1:12" x14ac:dyDescent="0.25">
      <c r="A199" s="247"/>
      <c r="B199" s="247"/>
      <c r="C199" s="219"/>
      <c r="D199" s="219"/>
      <c r="E199" s="219"/>
      <c r="F199" s="219"/>
      <c r="G199" s="219"/>
      <c r="H199" s="219"/>
      <c r="I199" s="219"/>
      <c r="J199" s="219"/>
      <c r="K199" s="219"/>
      <c r="L199" s="219"/>
    </row>
    <row r="200" spans="1:12" x14ac:dyDescent="0.25">
      <c r="A200" s="247"/>
      <c r="B200" s="247"/>
      <c r="C200" s="219"/>
      <c r="D200" s="219"/>
      <c r="E200" s="219"/>
      <c r="F200" s="219"/>
      <c r="G200" s="219"/>
      <c r="H200" s="219"/>
      <c r="I200" s="219"/>
      <c r="J200" s="219"/>
      <c r="K200" s="219"/>
      <c r="L200" s="219"/>
    </row>
    <row r="201" spans="1:12" x14ac:dyDescent="0.25">
      <c r="A201" s="247"/>
      <c r="B201" s="247"/>
      <c r="C201" s="219"/>
      <c r="D201" s="219"/>
      <c r="E201" s="219"/>
      <c r="F201" s="219"/>
      <c r="G201" s="219"/>
      <c r="H201" s="219"/>
      <c r="I201" s="219"/>
      <c r="J201" s="219"/>
      <c r="K201" s="219"/>
      <c r="L201" s="219"/>
    </row>
    <row r="202" spans="1:12" x14ac:dyDescent="0.25">
      <c r="A202" s="247"/>
      <c r="B202" s="247"/>
      <c r="C202" s="219"/>
      <c r="D202" s="219"/>
      <c r="E202" s="219"/>
      <c r="F202" s="219"/>
      <c r="G202" s="219"/>
      <c r="H202" s="219"/>
      <c r="I202" s="219"/>
      <c r="J202" s="219"/>
      <c r="K202" s="219"/>
      <c r="L202" s="219"/>
    </row>
    <row r="203" spans="1:12" x14ac:dyDescent="0.25">
      <c r="A203" s="247"/>
      <c r="B203" s="247"/>
      <c r="C203" s="219"/>
      <c r="D203" s="219"/>
      <c r="E203" s="219"/>
      <c r="F203" s="219"/>
      <c r="G203" s="219"/>
      <c r="H203" s="219"/>
      <c r="I203" s="219"/>
      <c r="J203" s="219"/>
      <c r="K203" s="219"/>
      <c r="L203" s="219"/>
    </row>
    <row r="204" spans="1:12" x14ac:dyDescent="0.25">
      <c r="A204" s="247"/>
      <c r="B204" s="247"/>
      <c r="C204" s="219"/>
      <c r="D204" s="219"/>
      <c r="E204" s="219"/>
      <c r="F204" s="219"/>
      <c r="G204" s="219"/>
      <c r="H204" s="219"/>
      <c r="I204" s="219"/>
      <c r="J204" s="219"/>
      <c r="K204" s="219"/>
      <c r="L204" s="219"/>
    </row>
    <row r="205" spans="1:12" x14ac:dyDescent="0.25">
      <c r="A205" s="247"/>
      <c r="B205" s="247"/>
      <c r="C205" s="219"/>
      <c r="D205" s="219"/>
      <c r="E205" s="219"/>
      <c r="F205" s="219"/>
      <c r="G205" s="219"/>
      <c r="H205" s="219"/>
      <c r="I205" s="219"/>
      <c r="J205" s="219"/>
      <c r="K205" s="219"/>
      <c r="L205" s="219"/>
    </row>
    <row r="206" spans="1:12" x14ac:dyDescent="0.25">
      <c r="A206" s="247"/>
      <c r="B206" s="247"/>
      <c r="C206" s="219"/>
      <c r="D206" s="219"/>
      <c r="E206" s="219"/>
      <c r="F206" s="219"/>
      <c r="G206" s="219"/>
      <c r="H206" s="219"/>
      <c r="I206" s="219"/>
      <c r="J206" s="219"/>
      <c r="K206" s="219"/>
      <c r="L206" s="219"/>
    </row>
    <row r="207" spans="1:12" x14ac:dyDescent="0.25">
      <c r="A207" s="247"/>
      <c r="B207" s="247"/>
      <c r="C207" s="219"/>
      <c r="D207" s="219"/>
      <c r="E207" s="219"/>
      <c r="F207" s="219"/>
      <c r="G207" s="219"/>
      <c r="H207" s="219"/>
      <c r="I207" s="219"/>
      <c r="J207" s="219"/>
      <c r="K207" s="219"/>
      <c r="L207" s="219"/>
    </row>
    <row r="208" spans="1:12" x14ac:dyDescent="0.25">
      <c r="A208" s="247"/>
      <c r="B208" s="247"/>
      <c r="C208" s="219"/>
      <c r="D208" s="219"/>
      <c r="E208" s="219"/>
      <c r="F208" s="219"/>
      <c r="G208" s="219"/>
      <c r="H208" s="219"/>
      <c r="I208" s="219"/>
      <c r="J208" s="219"/>
      <c r="K208" s="219"/>
      <c r="L208" s="219"/>
    </row>
    <row r="209" spans="1:12" x14ac:dyDescent="0.25">
      <c r="A209" s="247"/>
      <c r="B209" s="247"/>
      <c r="C209" s="219"/>
      <c r="D209" s="219"/>
      <c r="E209" s="219"/>
      <c r="F209" s="219"/>
      <c r="G209" s="219"/>
      <c r="H209" s="219"/>
      <c r="I209" s="219"/>
      <c r="J209" s="219"/>
      <c r="K209" s="219"/>
      <c r="L209" s="219"/>
    </row>
    <row r="210" spans="1:12" x14ac:dyDescent="0.25">
      <c r="A210" s="247"/>
      <c r="B210" s="247"/>
      <c r="C210" s="219"/>
      <c r="D210" s="219"/>
      <c r="E210" s="219"/>
      <c r="F210" s="219"/>
      <c r="G210" s="219"/>
      <c r="H210" s="219"/>
      <c r="I210" s="219"/>
      <c r="J210" s="219"/>
      <c r="K210" s="219"/>
      <c r="L210" s="219"/>
    </row>
    <row r="211" spans="1:12" x14ac:dyDescent="0.25">
      <c r="A211" s="247"/>
      <c r="B211" s="247"/>
      <c r="C211" s="219"/>
      <c r="D211" s="219"/>
      <c r="E211" s="219"/>
      <c r="F211" s="219"/>
      <c r="G211" s="219"/>
      <c r="H211" s="219"/>
      <c r="I211" s="219"/>
      <c r="J211" s="219"/>
      <c r="K211" s="219"/>
      <c r="L211" s="219"/>
    </row>
    <row r="212" spans="1:12" x14ac:dyDescent="0.25">
      <c r="A212" s="247"/>
      <c r="B212" s="247"/>
      <c r="C212" s="219"/>
      <c r="D212" s="219"/>
      <c r="E212" s="219"/>
      <c r="F212" s="219"/>
      <c r="G212" s="219"/>
      <c r="H212" s="219"/>
      <c r="I212" s="219"/>
      <c r="J212" s="219"/>
      <c r="K212" s="219"/>
      <c r="L212" s="219"/>
    </row>
    <row r="213" spans="1:12" x14ac:dyDescent="0.25">
      <c r="A213" s="247"/>
      <c r="B213" s="247"/>
      <c r="C213" s="219"/>
      <c r="D213" s="219"/>
      <c r="E213" s="219"/>
      <c r="F213" s="219"/>
      <c r="G213" s="219"/>
      <c r="H213" s="219"/>
      <c r="I213" s="219"/>
      <c r="J213" s="219"/>
      <c r="K213" s="219"/>
      <c r="L213" s="219"/>
    </row>
    <row r="214" spans="1:12" x14ac:dyDescent="0.25">
      <c r="A214" s="247"/>
      <c r="B214" s="247"/>
      <c r="C214" s="219"/>
      <c r="D214" s="219"/>
      <c r="E214" s="219"/>
      <c r="F214" s="219"/>
      <c r="G214" s="219"/>
      <c r="H214" s="219"/>
      <c r="I214" s="219"/>
      <c r="J214" s="219"/>
      <c r="K214" s="219"/>
      <c r="L214" s="219"/>
    </row>
    <row r="215" spans="1:12" x14ac:dyDescent="0.25">
      <c r="A215" s="247"/>
      <c r="B215" s="247"/>
      <c r="C215" s="219"/>
      <c r="D215" s="219"/>
      <c r="E215" s="219"/>
      <c r="F215" s="219"/>
      <c r="G215" s="219"/>
      <c r="H215" s="219"/>
      <c r="I215" s="219"/>
      <c r="J215" s="219"/>
      <c r="K215" s="219"/>
      <c r="L215" s="219"/>
    </row>
    <row r="216" spans="1:12" x14ac:dyDescent="0.25">
      <c r="A216" s="247"/>
      <c r="B216" s="247"/>
      <c r="C216" s="219"/>
      <c r="D216" s="219"/>
      <c r="E216" s="219"/>
      <c r="F216" s="219"/>
      <c r="G216" s="219"/>
      <c r="H216" s="219"/>
      <c r="I216" s="219"/>
      <c r="J216" s="219"/>
      <c r="K216" s="219"/>
      <c r="L216" s="219"/>
    </row>
    <row r="217" spans="1:12" x14ac:dyDescent="0.25">
      <c r="A217" s="247"/>
      <c r="B217" s="247"/>
      <c r="C217" s="219"/>
      <c r="D217" s="219"/>
      <c r="E217" s="219"/>
      <c r="F217" s="219"/>
      <c r="G217" s="219"/>
      <c r="H217" s="219"/>
      <c r="I217" s="219"/>
      <c r="J217" s="219"/>
      <c r="K217" s="219"/>
      <c r="L217" s="219"/>
    </row>
    <row r="218" spans="1:12" x14ac:dyDescent="0.25">
      <c r="A218" s="247"/>
      <c r="B218" s="247"/>
      <c r="C218" s="219"/>
      <c r="D218" s="219"/>
      <c r="E218" s="219"/>
      <c r="F218" s="219"/>
      <c r="G218" s="219"/>
      <c r="H218" s="219"/>
      <c r="I218" s="219"/>
      <c r="J218" s="219"/>
      <c r="K218" s="219"/>
      <c r="L218" s="219"/>
    </row>
    <row r="219" spans="1:12" x14ac:dyDescent="0.25">
      <c r="A219" s="247"/>
      <c r="B219" s="247"/>
      <c r="C219" s="219"/>
      <c r="D219" s="219"/>
      <c r="E219" s="219"/>
      <c r="F219" s="219"/>
      <c r="G219" s="219"/>
      <c r="H219" s="219"/>
      <c r="I219" s="219"/>
      <c r="J219" s="219"/>
      <c r="K219" s="219"/>
      <c r="L219" s="219"/>
    </row>
    <row r="220" spans="1:12" x14ac:dyDescent="0.25">
      <c r="A220" s="247"/>
      <c r="B220" s="247"/>
      <c r="C220" s="219"/>
      <c r="D220" s="219"/>
      <c r="E220" s="219"/>
      <c r="F220" s="219"/>
      <c r="G220" s="219"/>
      <c r="H220" s="219"/>
      <c r="I220" s="219"/>
      <c r="J220" s="219"/>
      <c r="K220" s="219"/>
      <c r="L220" s="219"/>
    </row>
    <row r="221" spans="1:12" x14ac:dyDescent="0.25">
      <c r="A221" s="247"/>
      <c r="B221" s="247"/>
      <c r="C221" s="219"/>
      <c r="D221" s="219"/>
      <c r="E221" s="219"/>
      <c r="F221" s="219"/>
      <c r="G221" s="219"/>
      <c r="H221" s="219"/>
      <c r="I221" s="219"/>
      <c r="J221" s="219"/>
      <c r="K221" s="219"/>
      <c r="L221" s="219"/>
    </row>
    <row r="222" spans="1:12" x14ac:dyDescent="0.25">
      <c r="A222" s="247"/>
      <c r="B222" s="247"/>
      <c r="C222" s="219"/>
      <c r="D222" s="219"/>
      <c r="E222" s="219"/>
      <c r="F222" s="219"/>
      <c r="G222" s="219"/>
      <c r="H222" s="219"/>
      <c r="I222" s="219"/>
      <c r="J222" s="219"/>
      <c r="K222" s="219"/>
      <c r="L222" s="219"/>
    </row>
    <row r="223" spans="1:12" x14ac:dyDescent="0.25">
      <c r="A223" s="247"/>
      <c r="B223" s="247"/>
      <c r="C223" s="219"/>
      <c r="D223" s="219"/>
      <c r="E223" s="219"/>
      <c r="F223" s="219"/>
      <c r="G223" s="219"/>
      <c r="H223" s="219"/>
      <c r="I223" s="219"/>
      <c r="J223" s="219"/>
      <c r="K223" s="219"/>
      <c r="L223" s="219"/>
    </row>
    <row r="224" spans="1:12" x14ac:dyDescent="0.25">
      <c r="A224" s="247"/>
      <c r="B224" s="247"/>
      <c r="C224" s="219"/>
      <c r="D224" s="219"/>
      <c r="E224" s="219"/>
      <c r="F224" s="219"/>
      <c r="G224" s="219"/>
      <c r="H224" s="219"/>
      <c r="I224" s="219"/>
      <c r="J224" s="219"/>
      <c r="K224" s="219"/>
      <c r="L224" s="219"/>
    </row>
    <row r="225" spans="1:12" x14ac:dyDescent="0.25">
      <c r="A225" s="247"/>
      <c r="B225" s="247"/>
      <c r="C225" s="219"/>
      <c r="D225" s="219"/>
      <c r="E225" s="219"/>
      <c r="F225" s="219"/>
      <c r="G225" s="219"/>
      <c r="H225" s="219"/>
      <c r="I225" s="219"/>
      <c r="J225" s="219"/>
      <c r="K225" s="219"/>
      <c r="L225" s="219"/>
    </row>
    <row r="226" spans="1:12" x14ac:dyDescent="0.25">
      <c r="A226" s="247"/>
      <c r="B226" s="247"/>
      <c r="C226" s="219"/>
      <c r="D226" s="219"/>
      <c r="E226" s="219"/>
      <c r="F226" s="219"/>
      <c r="G226" s="219"/>
      <c r="H226" s="219"/>
      <c r="I226" s="219"/>
      <c r="J226" s="219"/>
      <c r="K226" s="219"/>
      <c r="L226" s="219"/>
    </row>
    <row r="227" spans="1:12" x14ac:dyDescent="0.25">
      <c r="A227" s="247"/>
      <c r="B227" s="247"/>
      <c r="C227" s="219"/>
      <c r="D227" s="219"/>
      <c r="E227" s="219"/>
      <c r="F227" s="219"/>
      <c r="G227" s="219"/>
      <c r="H227" s="219"/>
      <c r="I227" s="219"/>
      <c r="J227" s="219"/>
      <c r="K227" s="219"/>
      <c r="L227" s="219"/>
    </row>
    <row r="228" spans="1:12" x14ac:dyDescent="0.25">
      <c r="A228" s="247"/>
      <c r="B228" s="247"/>
      <c r="C228" s="219"/>
      <c r="D228" s="219"/>
      <c r="E228" s="219"/>
      <c r="F228" s="219"/>
      <c r="G228" s="219"/>
      <c r="H228" s="219"/>
      <c r="I228" s="219"/>
      <c r="J228" s="219"/>
      <c r="K228" s="219"/>
      <c r="L228" s="219"/>
    </row>
    <row r="229" spans="1:12" x14ac:dyDescent="0.25">
      <c r="A229" s="247"/>
      <c r="B229" s="247"/>
      <c r="C229" s="219"/>
      <c r="D229" s="219"/>
      <c r="E229" s="219"/>
      <c r="F229" s="219"/>
      <c r="G229" s="219"/>
      <c r="H229" s="219"/>
      <c r="I229" s="219"/>
      <c r="J229" s="219"/>
      <c r="K229" s="219"/>
      <c r="L229" s="219"/>
    </row>
    <row r="230" spans="1:12" x14ac:dyDescent="0.25">
      <c r="A230" s="247"/>
      <c r="B230" s="247"/>
      <c r="C230" s="219"/>
      <c r="D230" s="219"/>
      <c r="E230" s="219"/>
      <c r="F230" s="219"/>
      <c r="G230" s="219"/>
      <c r="H230" s="219"/>
      <c r="I230" s="219"/>
      <c r="J230" s="219"/>
      <c r="K230" s="219"/>
      <c r="L230" s="219"/>
    </row>
    <row r="231" spans="1:12" x14ac:dyDescent="0.25">
      <c r="A231" s="247"/>
      <c r="B231" s="247"/>
      <c r="C231" s="219"/>
      <c r="D231" s="219"/>
      <c r="E231" s="219"/>
      <c r="F231" s="219"/>
      <c r="G231" s="219"/>
      <c r="H231" s="219"/>
      <c r="I231" s="219"/>
      <c r="J231" s="219"/>
      <c r="K231" s="219"/>
      <c r="L231" s="219"/>
    </row>
    <row r="232" spans="1:12" x14ac:dyDescent="0.25">
      <c r="A232" s="247"/>
      <c r="B232" s="247"/>
      <c r="C232" s="219"/>
      <c r="D232" s="219"/>
      <c r="E232" s="219"/>
      <c r="F232" s="219"/>
      <c r="G232" s="219"/>
      <c r="H232" s="219"/>
      <c r="I232" s="219"/>
      <c r="J232" s="219"/>
      <c r="K232" s="219"/>
      <c r="L232" s="219"/>
    </row>
    <row r="233" spans="1:12" x14ac:dyDescent="0.25">
      <c r="A233" s="247"/>
      <c r="B233" s="247"/>
      <c r="C233" s="219"/>
      <c r="D233" s="219"/>
      <c r="E233" s="219"/>
      <c r="F233" s="219"/>
      <c r="G233" s="219"/>
      <c r="H233" s="219"/>
      <c r="I233" s="219"/>
      <c r="J233" s="219"/>
      <c r="K233" s="219"/>
      <c r="L233" s="219"/>
    </row>
    <row r="234" spans="1:12" x14ac:dyDescent="0.25">
      <c r="A234" s="247"/>
      <c r="B234" s="247"/>
      <c r="C234" s="219"/>
      <c r="D234" s="219"/>
      <c r="E234" s="219"/>
      <c r="F234" s="219"/>
      <c r="G234" s="219"/>
      <c r="H234" s="219"/>
      <c r="I234" s="219"/>
      <c r="J234" s="219"/>
      <c r="K234" s="219"/>
      <c r="L234" s="219"/>
    </row>
    <row r="235" spans="1:12" x14ac:dyDescent="0.25">
      <c r="A235" s="247"/>
      <c r="B235" s="247"/>
      <c r="C235" s="219"/>
      <c r="D235" s="219"/>
      <c r="E235" s="219"/>
      <c r="F235" s="219"/>
      <c r="G235" s="219"/>
      <c r="H235" s="219"/>
      <c r="I235" s="219"/>
      <c r="J235" s="219"/>
      <c r="K235" s="219"/>
      <c r="L235" s="219"/>
    </row>
    <row r="236" spans="1:12" x14ac:dyDescent="0.25">
      <c r="A236" s="247"/>
      <c r="B236" s="247"/>
      <c r="C236" s="219"/>
      <c r="D236" s="219"/>
      <c r="E236" s="219"/>
      <c r="F236" s="219"/>
      <c r="G236" s="219"/>
      <c r="H236" s="219"/>
      <c r="I236" s="219"/>
      <c r="J236" s="219"/>
      <c r="K236" s="219"/>
      <c r="L236" s="219"/>
    </row>
    <row r="237" spans="1:12" x14ac:dyDescent="0.25">
      <c r="A237" s="247"/>
      <c r="B237" s="247"/>
      <c r="C237" s="219"/>
      <c r="D237" s="219"/>
      <c r="E237" s="219"/>
      <c r="F237" s="219"/>
      <c r="G237" s="219"/>
      <c r="H237" s="219"/>
      <c r="I237" s="219"/>
      <c r="J237" s="219"/>
      <c r="K237" s="219"/>
      <c r="L237" s="219"/>
    </row>
    <row r="238" spans="1:12" x14ac:dyDescent="0.25">
      <c r="A238" s="247"/>
      <c r="B238" s="247"/>
      <c r="C238" s="219"/>
      <c r="D238" s="219"/>
      <c r="E238" s="219"/>
      <c r="F238" s="219"/>
      <c r="G238" s="219"/>
      <c r="H238" s="219"/>
      <c r="I238" s="219"/>
      <c r="J238" s="219"/>
      <c r="K238" s="219"/>
      <c r="L238" s="219"/>
    </row>
    <row r="239" spans="1:12" x14ac:dyDescent="0.25">
      <c r="A239" s="247"/>
      <c r="B239" s="247"/>
      <c r="C239" s="219"/>
      <c r="D239" s="219"/>
      <c r="E239" s="219"/>
      <c r="F239" s="219"/>
      <c r="G239" s="219"/>
      <c r="H239" s="219"/>
      <c r="I239" s="219"/>
      <c r="J239" s="219"/>
      <c r="K239" s="219"/>
      <c r="L239" s="219"/>
    </row>
    <row r="240" spans="1:12" x14ac:dyDescent="0.25">
      <c r="A240" s="247"/>
      <c r="B240" s="247"/>
      <c r="C240" s="219"/>
      <c r="D240" s="219"/>
      <c r="E240" s="219"/>
      <c r="F240" s="219"/>
      <c r="G240" s="219"/>
      <c r="H240" s="219"/>
      <c r="I240" s="219"/>
      <c r="J240" s="219"/>
      <c r="K240" s="219"/>
      <c r="L240" s="219"/>
    </row>
    <row r="241" spans="1:12" x14ac:dyDescent="0.25">
      <c r="A241" s="247"/>
      <c r="B241" s="247"/>
      <c r="C241" s="219"/>
      <c r="D241" s="219"/>
      <c r="E241" s="219"/>
      <c r="F241" s="219"/>
      <c r="G241" s="219"/>
      <c r="H241" s="219"/>
      <c r="I241" s="219"/>
      <c r="J241" s="219"/>
      <c r="K241" s="219"/>
      <c r="L241" s="219"/>
    </row>
    <row r="242" spans="1:12" x14ac:dyDescent="0.25">
      <c r="A242" s="247"/>
      <c r="B242" s="247"/>
      <c r="C242" s="219"/>
      <c r="D242" s="219"/>
      <c r="E242" s="219"/>
      <c r="F242" s="219"/>
      <c r="G242" s="219"/>
      <c r="H242" s="219"/>
      <c r="I242" s="219"/>
      <c r="J242" s="219"/>
      <c r="K242" s="219"/>
      <c r="L242" s="219"/>
    </row>
    <row r="243" spans="1:12" x14ac:dyDescent="0.25">
      <c r="A243" s="247"/>
      <c r="B243" s="247"/>
      <c r="C243" s="219"/>
      <c r="D243" s="219"/>
      <c r="E243" s="219"/>
      <c r="F243" s="219"/>
      <c r="G243" s="219"/>
      <c r="H243" s="219"/>
      <c r="I243" s="219"/>
      <c r="J243" s="219"/>
      <c r="K243" s="219"/>
      <c r="L243" s="219"/>
    </row>
    <row r="244" spans="1:12" x14ac:dyDescent="0.25">
      <c r="A244" s="247"/>
      <c r="B244" s="247"/>
      <c r="C244" s="219"/>
      <c r="D244" s="219"/>
      <c r="E244" s="219"/>
      <c r="F244" s="219"/>
      <c r="G244" s="219"/>
      <c r="H244" s="219"/>
      <c r="I244" s="219"/>
      <c r="J244" s="219"/>
      <c r="K244" s="219"/>
      <c r="L244" s="219"/>
    </row>
    <row r="245" spans="1:12" x14ac:dyDescent="0.25">
      <c r="A245" s="247"/>
      <c r="B245" s="247"/>
      <c r="C245" s="219"/>
      <c r="D245" s="219"/>
      <c r="E245" s="219"/>
      <c r="F245" s="219"/>
      <c r="G245" s="219"/>
      <c r="H245" s="219"/>
      <c r="I245" s="219"/>
      <c r="J245" s="219"/>
      <c r="K245" s="219"/>
      <c r="L245" s="219"/>
    </row>
    <row r="246" spans="1:12" x14ac:dyDescent="0.25">
      <c r="A246" s="247"/>
      <c r="B246" s="247"/>
      <c r="C246" s="219"/>
      <c r="D246" s="219"/>
      <c r="E246" s="219"/>
      <c r="F246" s="219"/>
      <c r="G246" s="219"/>
      <c r="H246" s="219"/>
      <c r="I246" s="219"/>
      <c r="J246" s="219"/>
      <c r="K246" s="219"/>
      <c r="L246" s="219"/>
    </row>
    <row r="247" spans="1:12" x14ac:dyDescent="0.25">
      <c r="A247" s="247"/>
      <c r="B247" s="247"/>
      <c r="C247" s="219"/>
      <c r="D247" s="219"/>
      <c r="E247" s="219"/>
      <c r="F247" s="219"/>
      <c r="G247" s="219"/>
      <c r="H247" s="219"/>
      <c r="I247" s="219"/>
      <c r="J247" s="219"/>
      <c r="K247" s="219"/>
      <c r="L247" s="219"/>
    </row>
    <row r="248" spans="1:12" x14ac:dyDescent="0.25">
      <c r="A248" s="247"/>
      <c r="B248" s="247"/>
      <c r="C248" s="219"/>
      <c r="D248" s="219"/>
      <c r="E248" s="219"/>
      <c r="F248" s="219"/>
      <c r="G248" s="219"/>
      <c r="H248" s="219"/>
      <c r="I248" s="219"/>
      <c r="J248" s="219"/>
      <c r="K248" s="219"/>
      <c r="L248" s="219"/>
    </row>
    <row r="249" spans="1:12" x14ac:dyDescent="0.25">
      <c r="A249" s="235"/>
      <c r="B249" s="235"/>
      <c r="C249" s="219"/>
      <c r="D249" s="219"/>
      <c r="E249" s="219"/>
      <c r="F249" s="219"/>
      <c r="G249" s="219"/>
      <c r="H249" s="219"/>
      <c r="I249" s="219"/>
      <c r="J249" s="219"/>
      <c r="K249" s="219"/>
      <c r="L249" s="219"/>
    </row>
    <row r="250" spans="1:12" x14ac:dyDescent="0.25">
      <c r="A250" s="248"/>
      <c r="B250" s="248"/>
      <c r="C250" s="219"/>
      <c r="D250" s="219"/>
      <c r="E250" s="219"/>
      <c r="F250" s="219"/>
      <c r="G250" s="219"/>
      <c r="H250" s="219"/>
      <c r="I250" s="219"/>
      <c r="J250" s="219"/>
      <c r="K250" s="219"/>
      <c r="L250" s="219"/>
    </row>
    <row r="251" spans="1:12" x14ac:dyDescent="0.25">
      <c r="A251" s="235"/>
      <c r="B251" s="235"/>
      <c r="C251" s="219"/>
      <c r="D251" s="219"/>
      <c r="E251" s="219"/>
      <c r="F251" s="219"/>
      <c r="G251" s="219"/>
      <c r="H251" s="219"/>
      <c r="I251" s="219"/>
      <c r="J251" s="219"/>
      <c r="K251" s="219"/>
      <c r="L251" s="219"/>
    </row>
    <row r="252" spans="1:12" x14ac:dyDescent="0.25">
      <c r="A252" s="248"/>
      <c r="B252" s="248"/>
      <c r="C252" s="219"/>
      <c r="D252" s="219"/>
      <c r="E252" s="219"/>
      <c r="F252" s="219"/>
      <c r="G252" s="219"/>
      <c r="H252" s="219"/>
      <c r="I252" s="219"/>
      <c r="J252" s="219"/>
      <c r="K252" s="219"/>
      <c r="L252" s="219"/>
    </row>
    <row r="253" spans="1:12" x14ac:dyDescent="0.25">
      <c r="A253" s="249"/>
      <c r="B253" s="249"/>
      <c r="C253" s="219"/>
      <c r="D253" s="219"/>
      <c r="E253" s="219"/>
      <c r="F253" s="219"/>
      <c r="G253" s="219"/>
      <c r="H253" s="219"/>
      <c r="I253" s="219"/>
      <c r="J253" s="219"/>
      <c r="K253" s="219"/>
      <c r="L253" s="219"/>
    </row>
    <row r="254" spans="1:12" x14ac:dyDescent="0.25">
      <c r="A254" s="235"/>
      <c r="B254" s="235"/>
      <c r="C254" s="219"/>
      <c r="D254" s="219"/>
      <c r="E254" s="219"/>
      <c r="F254" s="219"/>
      <c r="G254" s="219"/>
      <c r="H254" s="219"/>
      <c r="I254" s="219"/>
      <c r="J254" s="219"/>
      <c r="K254" s="219"/>
      <c r="L254" s="219"/>
    </row>
    <row r="255" spans="1:12" x14ac:dyDescent="0.25">
      <c r="A255" s="248"/>
      <c r="B255" s="248"/>
      <c r="C255" s="219"/>
      <c r="D255" s="219"/>
      <c r="E255" s="219"/>
      <c r="F255" s="219"/>
      <c r="G255" s="219"/>
      <c r="H255" s="219"/>
      <c r="I255" s="219"/>
      <c r="J255" s="219"/>
      <c r="K255" s="219"/>
      <c r="L255" s="219"/>
    </row>
    <row r="256" spans="1:12" x14ac:dyDescent="0.25">
      <c r="A256" s="235"/>
      <c r="B256" s="235"/>
      <c r="C256" s="219"/>
      <c r="D256" s="219"/>
      <c r="E256" s="219"/>
      <c r="F256" s="219"/>
      <c r="G256" s="219"/>
      <c r="H256" s="219"/>
      <c r="I256" s="219"/>
      <c r="J256" s="219"/>
      <c r="K256" s="219"/>
      <c r="L256" s="219"/>
    </row>
    <row r="257" spans="1:12" x14ac:dyDescent="0.25">
      <c r="A257" s="237"/>
      <c r="B257" s="237"/>
      <c r="C257" s="219"/>
      <c r="D257" s="219"/>
      <c r="E257" s="219"/>
      <c r="F257" s="219"/>
      <c r="G257" s="219"/>
      <c r="H257" s="219"/>
      <c r="I257" s="219"/>
      <c r="J257" s="219"/>
      <c r="K257" s="219"/>
      <c r="L257" s="219"/>
    </row>
    <row r="258" spans="1:12" x14ac:dyDescent="0.25">
      <c r="A258" s="249"/>
      <c r="B258" s="249"/>
      <c r="C258" s="219"/>
      <c r="D258" s="219"/>
      <c r="E258" s="219"/>
      <c r="F258" s="219"/>
      <c r="G258" s="219"/>
      <c r="H258" s="219"/>
      <c r="I258" s="219"/>
      <c r="J258" s="219"/>
      <c r="K258" s="219"/>
      <c r="L258" s="219"/>
    </row>
    <row r="259" spans="1:12" x14ac:dyDescent="0.25">
      <c r="A259" s="235"/>
      <c r="B259" s="235"/>
      <c r="C259" s="219"/>
      <c r="D259" s="219"/>
      <c r="E259" s="219"/>
      <c r="F259" s="219"/>
      <c r="G259" s="219"/>
      <c r="H259" s="219"/>
      <c r="I259" s="219"/>
      <c r="J259" s="219"/>
      <c r="K259" s="219"/>
      <c r="L259" s="219"/>
    </row>
    <row r="260" spans="1:12" x14ac:dyDescent="0.25">
      <c r="A260" s="248"/>
      <c r="B260" s="248"/>
      <c r="C260" s="219"/>
      <c r="D260" s="219"/>
      <c r="E260" s="219"/>
      <c r="F260" s="219"/>
      <c r="G260" s="219"/>
      <c r="H260" s="219"/>
      <c r="I260" s="219"/>
      <c r="J260" s="219"/>
      <c r="K260" s="219"/>
      <c r="L260" s="219"/>
    </row>
    <row r="261" spans="1:12" x14ac:dyDescent="0.25">
      <c r="A261" s="235"/>
      <c r="B261" s="235"/>
      <c r="C261" s="219"/>
      <c r="D261" s="219"/>
      <c r="E261" s="219"/>
      <c r="F261" s="219"/>
      <c r="G261" s="219"/>
      <c r="H261" s="219"/>
      <c r="I261" s="219"/>
      <c r="J261" s="219"/>
      <c r="K261" s="219"/>
      <c r="L261" s="219"/>
    </row>
    <row r="262" spans="1:12" x14ac:dyDescent="0.25">
      <c r="A262" s="248"/>
      <c r="B262" s="248"/>
      <c r="C262" s="219"/>
      <c r="D262" s="219"/>
      <c r="E262" s="219"/>
      <c r="F262" s="219"/>
      <c r="G262" s="219"/>
      <c r="H262" s="219"/>
      <c r="I262" s="219"/>
      <c r="J262" s="219"/>
      <c r="K262" s="219"/>
      <c r="L262" s="219"/>
    </row>
    <row r="263" spans="1:12" x14ac:dyDescent="0.25">
      <c r="A263" s="237"/>
      <c r="B263" s="237"/>
      <c r="C263" s="219"/>
      <c r="D263" s="219"/>
      <c r="E263" s="219"/>
      <c r="F263" s="219"/>
      <c r="G263" s="219"/>
      <c r="H263" s="219"/>
      <c r="I263" s="219"/>
      <c r="J263" s="219"/>
      <c r="K263" s="219"/>
      <c r="L263" s="219"/>
    </row>
    <row r="264" spans="1:12" x14ac:dyDescent="0.25">
      <c r="A264" s="235"/>
      <c r="B264" s="235"/>
      <c r="C264" s="219"/>
      <c r="D264" s="219"/>
      <c r="E264" s="219"/>
      <c r="F264" s="219"/>
      <c r="G264" s="219"/>
      <c r="H264" s="219"/>
      <c r="I264" s="219"/>
      <c r="J264" s="219"/>
      <c r="K264" s="219"/>
      <c r="L264" s="219"/>
    </row>
    <row r="265" spans="1:12" x14ac:dyDescent="0.25">
      <c r="A265" s="248"/>
      <c r="B265" s="248"/>
      <c r="C265" s="219"/>
      <c r="D265" s="219"/>
      <c r="E265" s="219"/>
      <c r="F265" s="219"/>
      <c r="G265" s="219"/>
      <c r="H265" s="219"/>
      <c r="I265" s="219"/>
      <c r="J265" s="219"/>
      <c r="K265" s="219"/>
      <c r="L265" s="219"/>
    </row>
    <row r="266" spans="1:12" x14ac:dyDescent="0.25">
      <c r="A266" s="235"/>
      <c r="B266" s="235"/>
      <c r="C266" s="219"/>
      <c r="D266" s="219"/>
      <c r="E266" s="219"/>
      <c r="F266" s="219"/>
      <c r="G266" s="219"/>
      <c r="H266" s="219"/>
      <c r="I266" s="219"/>
      <c r="J266" s="219"/>
      <c r="K266" s="219"/>
      <c r="L266" s="219"/>
    </row>
    <row r="267" spans="1:12" x14ac:dyDescent="0.25">
      <c r="A267" s="250"/>
      <c r="B267" s="250"/>
      <c r="C267" s="219"/>
      <c r="D267" s="219"/>
      <c r="E267" s="219"/>
      <c r="F267" s="219"/>
      <c r="G267" s="219"/>
      <c r="H267" s="219"/>
      <c r="I267" s="219"/>
      <c r="J267" s="219"/>
      <c r="K267" s="219"/>
      <c r="L267" s="219"/>
    </row>
    <row r="268" spans="1:12" x14ac:dyDescent="0.25">
      <c r="A268" s="235"/>
      <c r="B268" s="235"/>
      <c r="C268" s="219"/>
      <c r="D268" s="219"/>
      <c r="E268" s="219"/>
      <c r="F268" s="219"/>
      <c r="G268" s="219"/>
      <c r="H268" s="219"/>
      <c r="I268" s="219"/>
      <c r="J268" s="219"/>
      <c r="K268" s="219"/>
      <c r="L268" s="219"/>
    </row>
    <row r="269" spans="1:12" x14ac:dyDescent="0.25">
      <c r="A269" s="248"/>
      <c r="B269" s="248"/>
      <c r="C269" s="219"/>
      <c r="D269" s="219"/>
      <c r="E269" s="219"/>
      <c r="F269" s="219"/>
      <c r="G269" s="219"/>
      <c r="H269" s="219"/>
      <c r="I269" s="219"/>
      <c r="J269" s="219"/>
      <c r="K269" s="219"/>
      <c r="L269" s="219"/>
    </row>
    <row r="270" spans="1:12" x14ac:dyDescent="0.25">
      <c r="A270" s="237"/>
      <c r="B270" s="237"/>
      <c r="C270" s="219"/>
      <c r="D270" s="219"/>
      <c r="E270" s="219"/>
      <c r="F270" s="219"/>
      <c r="G270" s="219"/>
      <c r="H270" s="219"/>
      <c r="I270" s="219"/>
      <c r="J270" s="219"/>
      <c r="K270" s="219"/>
      <c r="L270" s="219"/>
    </row>
    <row r="271" spans="1:12" x14ac:dyDescent="0.25">
      <c r="A271" s="237"/>
      <c r="B271" s="237"/>
      <c r="C271" s="219"/>
      <c r="D271" s="219"/>
      <c r="E271" s="219"/>
      <c r="F271" s="219"/>
      <c r="G271" s="219"/>
      <c r="H271" s="219"/>
      <c r="I271" s="219"/>
      <c r="J271" s="219"/>
      <c r="K271" s="219"/>
      <c r="L271" s="219"/>
    </row>
    <row r="272" spans="1:12" x14ac:dyDescent="0.25">
      <c r="A272" s="235"/>
      <c r="B272" s="235"/>
      <c r="C272" s="219"/>
      <c r="D272" s="219"/>
      <c r="E272" s="219"/>
      <c r="F272" s="219"/>
      <c r="G272" s="219"/>
      <c r="H272" s="219"/>
      <c r="I272" s="219"/>
      <c r="J272" s="219"/>
      <c r="K272" s="219"/>
      <c r="L272" s="219"/>
    </row>
    <row r="273" spans="1:12" x14ac:dyDescent="0.25">
      <c r="A273" s="235"/>
      <c r="B273" s="235"/>
      <c r="C273" s="219"/>
      <c r="D273" s="219"/>
      <c r="E273" s="219"/>
      <c r="F273" s="219"/>
      <c r="G273" s="219"/>
      <c r="H273" s="219"/>
      <c r="I273" s="219"/>
      <c r="J273" s="219"/>
      <c r="K273" s="219"/>
      <c r="L273" s="219"/>
    </row>
    <row r="274" spans="1:12" x14ac:dyDescent="0.25">
      <c r="A274" s="235"/>
      <c r="B274" s="235"/>
      <c r="C274" s="219"/>
      <c r="D274" s="219"/>
      <c r="E274" s="219"/>
      <c r="F274" s="219"/>
      <c r="G274" s="219"/>
      <c r="H274" s="219"/>
      <c r="I274" s="219"/>
      <c r="J274" s="219"/>
      <c r="K274" s="219"/>
      <c r="L274" s="219"/>
    </row>
    <row r="275" spans="1:12" x14ac:dyDescent="0.25">
      <c r="A275" s="251"/>
      <c r="B275" s="251"/>
      <c r="C275" s="219"/>
      <c r="D275" s="219"/>
      <c r="E275" s="219"/>
      <c r="F275" s="219"/>
      <c r="G275" s="219"/>
      <c r="H275" s="219"/>
      <c r="I275" s="219"/>
      <c r="J275" s="219"/>
      <c r="K275" s="219"/>
      <c r="L275" s="219"/>
    </row>
    <row r="276" spans="1:12" x14ac:dyDescent="0.25">
      <c r="A276" s="235"/>
      <c r="B276" s="235"/>
      <c r="C276" s="219"/>
      <c r="D276" s="219"/>
      <c r="E276" s="219"/>
      <c r="F276" s="219"/>
      <c r="G276" s="219"/>
      <c r="H276" s="219"/>
      <c r="I276" s="219"/>
      <c r="J276" s="219"/>
      <c r="K276" s="219"/>
      <c r="L276" s="219"/>
    </row>
    <row r="277" spans="1:12" x14ac:dyDescent="0.25">
      <c r="A277" s="235"/>
      <c r="B277" s="235"/>
      <c r="C277" s="219"/>
      <c r="D277" s="219"/>
      <c r="E277" s="219"/>
      <c r="F277" s="219"/>
      <c r="G277" s="219"/>
      <c r="H277" s="219"/>
      <c r="I277" s="219"/>
      <c r="J277" s="219"/>
      <c r="K277" s="219"/>
      <c r="L277" s="219"/>
    </row>
    <row r="278" spans="1:12" x14ac:dyDescent="0.25">
      <c r="A278" s="235"/>
      <c r="B278" s="235"/>
      <c r="C278" s="219"/>
      <c r="D278" s="219"/>
      <c r="E278" s="219"/>
      <c r="F278" s="219"/>
      <c r="G278" s="219"/>
      <c r="H278" s="219"/>
      <c r="I278" s="219"/>
      <c r="J278" s="219"/>
      <c r="K278" s="219"/>
      <c r="L278" s="219"/>
    </row>
    <row r="279" spans="1:12" x14ac:dyDescent="0.25">
      <c r="A279" s="252"/>
      <c r="B279" s="252"/>
      <c r="C279" s="219"/>
      <c r="D279" s="219"/>
      <c r="E279" s="219"/>
      <c r="F279" s="219"/>
      <c r="G279" s="219"/>
      <c r="H279" s="219"/>
      <c r="I279" s="219"/>
      <c r="J279" s="219"/>
      <c r="K279" s="219"/>
      <c r="L279" s="219"/>
    </row>
    <row r="280" spans="1:12" x14ac:dyDescent="0.25">
      <c r="A280" s="235"/>
      <c r="B280" s="235"/>
      <c r="C280" s="219"/>
      <c r="D280" s="219"/>
      <c r="E280" s="219"/>
      <c r="F280" s="219"/>
      <c r="G280" s="219"/>
      <c r="H280" s="219"/>
      <c r="I280" s="219"/>
      <c r="J280" s="219"/>
      <c r="K280" s="219"/>
      <c r="L280" s="219"/>
    </row>
    <row r="281" spans="1:12" x14ac:dyDescent="0.25">
      <c r="A281" s="219"/>
      <c r="B281" s="219"/>
      <c r="C281" s="219"/>
      <c r="D281" s="219"/>
      <c r="E281" s="219"/>
      <c r="F281" s="219"/>
      <c r="G281" s="219"/>
      <c r="H281" s="219"/>
      <c r="I281" s="219"/>
      <c r="J281" s="219"/>
      <c r="K281" s="219"/>
      <c r="L281" s="219"/>
    </row>
    <row r="282" spans="1:12" x14ac:dyDescent="0.25">
      <c r="A282" s="235"/>
      <c r="B282" s="235"/>
      <c r="C282" s="219"/>
      <c r="D282" s="219"/>
      <c r="E282" s="219"/>
      <c r="F282" s="219"/>
      <c r="G282" s="219"/>
      <c r="H282" s="219"/>
      <c r="I282" s="219"/>
      <c r="J282" s="219"/>
      <c r="K282" s="219"/>
      <c r="L282" s="219"/>
    </row>
    <row r="283" spans="1:12" x14ac:dyDescent="0.25">
      <c r="A283" s="235"/>
      <c r="B283" s="235"/>
      <c r="C283" s="219"/>
      <c r="D283" s="219"/>
      <c r="E283" s="219"/>
      <c r="F283" s="219"/>
      <c r="G283" s="219"/>
      <c r="H283" s="219"/>
      <c r="I283" s="219"/>
      <c r="J283" s="219"/>
      <c r="K283" s="219"/>
      <c r="L283" s="219"/>
    </row>
    <row r="284" spans="1:12" x14ac:dyDescent="0.25">
      <c r="A284" s="235"/>
      <c r="B284" s="235"/>
      <c r="C284" s="219"/>
      <c r="D284" s="219"/>
      <c r="E284" s="219"/>
      <c r="F284" s="219"/>
      <c r="G284" s="219"/>
      <c r="H284" s="219"/>
      <c r="I284" s="219"/>
      <c r="J284" s="219"/>
      <c r="K284" s="219"/>
      <c r="L284" s="219"/>
    </row>
    <row r="285" spans="1:12" x14ac:dyDescent="0.25">
      <c r="A285" s="235"/>
      <c r="B285" s="235"/>
      <c r="C285" s="219"/>
      <c r="D285" s="219"/>
      <c r="E285" s="219"/>
      <c r="F285" s="219"/>
      <c r="G285" s="219"/>
      <c r="H285" s="219"/>
      <c r="I285" s="219"/>
      <c r="J285" s="219"/>
      <c r="K285" s="219"/>
      <c r="L285" s="219"/>
    </row>
    <row r="286" spans="1:12" x14ac:dyDescent="0.25">
      <c r="A286" s="235"/>
      <c r="B286" s="235"/>
      <c r="C286" s="219"/>
      <c r="D286" s="219"/>
      <c r="E286" s="219"/>
      <c r="F286" s="219"/>
      <c r="G286" s="219"/>
      <c r="H286" s="219"/>
      <c r="I286" s="219"/>
      <c r="J286" s="219"/>
      <c r="K286" s="219"/>
      <c r="L286" s="219"/>
    </row>
    <row r="287" spans="1:12" ht="17.25" x14ac:dyDescent="0.25">
      <c r="A287" s="253"/>
      <c r="B287" s="253"/>
      <c r="C287" s="219"/>
      <c r="D287" s="219"/>
      <c r="E287" s="219"/>
      <c r="F287" s="219"/>
      <c r="G287" s="219"/>
      <c r="H287" s="219"/>
      <c r="I287" s="219"/>
      <c r="J287" s="219"/>
      <c r="K287" s="219"/>
      <c r="L287" s="219"/>
    </row>
    <row r="288" spans="1:12" ht="17.25" x14ac:dyDescent="0.25">
      <c r="A288" s="253"/>
      <c r="B288" s="253"/>
      <c r="C288" s="219"/>
      <c r="D288" s="219"/>
      <c r="E288" s="219"/>
      <c r="F288" s="219"/>
      <c r="G288" s="219"/>
      <c r="H288" s="219"/>
      <c r="I288" s="219"/>
      <c r="J288" s="219"/>
      <c r="K288" s="219"/>
      <c r="L288" s="219"/>
    </row>
    <row r="289" spans="1:12" ht="17.25" x14ac:dyDescent="0.25">
      <c r="A289" s="253"/>
      <c r="B289" s="253"/>
      <c r="C289" s="219"/>
      <c r="D289" s="219"/>
      <c r="E289" s="219"/>
      <c r="F289" s="219"/>
      <c r="G289" s="219"/>
      <c r="H289" s="219"/>
      <c r="I289" s="219"/>
      <c r="J289" s="219"/>
      <c r="K289" s="219"/>
      <c r="L289" s="219"/>
    </row>
    <row r="290" spans="1:12" ht="17.25" x14ac:dyDescent="0.25">
      <c r="A290" s="253"/>
      <c r="B290" s="253"/>
      <c r="C290" s="219"/>
      <c r="D290" s="219"/>
      <c r="E290" s="219"/>
      <c r="F290" s="219"/>
      <c r="G290" s="219"/>
      <c r="H290" s="219"/>
      <c r="I290" s="219"/>
      <c r="J290" s="219"/>
      <c r="K290" s="219"/>
      <c r="L290" s="219"/>
    </row>
    <row r="291" spans="1:12" ht="17.25" x14ac:dyDescent="0.25">
      <c r="A291" s="253"/>
      <c r="B291" s="253"/>
      <c r="C291" s="219"/>
      <c r="D291" s="219"/>
      <c r="E291" s="219"/>
      <c r="F291" s="219"/>
      <c r="G291" s="219"/>
      <c r="H291" s="219"/>
      <c r="I291" s="219"/>
      <c r="J291" s="219"/>
      <c r="K291" s="219"/>
      <c r="L291" s="219"/>
    </row>
    <row r="292" spans="1:12" ht="17.25" x14ac:dyDescent="0.25">
      <c r="A292" s="253"/>
      <c r="B292" s="253"/>
      <c r="C292" s="219"/>
      <c r="D292" s="219"/>
      <c r="E292" s="219"/>
      <c r="F292" s="219"/>
      <c r="G292" s="219"/>
      <c r="H292" s="219"/>
      <c r="I292" s="219"/>
      <c r="J292" s="219"/>
      <c r="K292" s="219"/>
      <c r="L292" s="219"/>
    </row>
    <row r="293" spans="1:12" x14ac:dyDescent="0.25">
      <c r="A293" s="235"/>
      <c r="B293" s="235"/>
      <c r="C293" s="219"/>
      <c r="D293" s="219"/>
      <c r="E293" s="219"/>
      <c r="F293" s="219"/>
      <c r="G293" s="219"/>
      <c r="H293" s="219"/>
      <c r="I293" s="219"/>
      <c r="J293" s="219"/>
      <c r="K293" s="219"/>
      <c r="L293" s="219"/>
    </row>
    <row r="294" spans="1:12" ht="17.25" x14ac:dyDescent="0.25">
      <c r="A294" s="254"/>
      <c r="B294" s="254"/>
      <c r="C294" s="219"/>
      <c r="D294" s="219"/>
      <c r="E294" s="219"/>
      <c r="F294" s="219"/>
      <c r="G294" s="219"/>
      <c r="H294" s="219"/>
      <c r="I294" s="219"/>
      <c r="J294" s="219"/>
      <c r="K294" s="219"/>
      <c r="L294" s="219"/>
    </row>
    <row r="295" spans="1:12" ht="17.25" x14ac:dyDescent="0.25">
      <c r="A295" s="254"/>
      <c r="B295" s="254"/>
      <c r="C295" s="219"/>
      <c r="D295" s="219"/>
      <c r="E295" s="219"/>
      <c r="F295" s="219"/>
      <c r="G295" s="219"/>
      <c r="H295" s="219"/>
      <c r="I295" s="219"/>
      <c r="J295" s="219"/>
      <c r="K295" s="219"/>
      <c r="L295" s="219"/>
    </row>
    <row r="296" spans="1:12" ht="17.25" x14ac:dyDescent="0.25">
      <c r="A296" s="254"/>
      <c r="B296" s="254"/>
      <c r="C296" s="219"/>
      <c r="D296" s="219"/>
      <c r="E296" s="219"/>
      <c r="F296" s="219"/>
      <c r="G296" s="219"/>
      <c r="H296" s="219"/>
      <c r="I296" s="219"/>
      <c r="J296" s="219"/>
      <c r="K296" s="219"/>
      <c r="L296" s="219"/>
    </row>
    <row r="297" spans="1:12" ht="17.25" x14ac:dyDescent="0.25">
      <c r="A297" s="254"/>
      <c r="B297" s="254"/>
      <c r="C297" s="219"/>
      <c r="D297" s="219"/>
      <c r="E297" s="219"/>
      <c r="F297" s="219"/>
      <c r="G297" s="219"/>
      <c r="H297" s="219"/>
      <c r="I297" s="219"/>
      <c r="J297" s="219"/>
      <c r="K297" s="219"/>
      <c r="L297" s="219"/>
    </row>
    <row r="298" spans="1:12" ht="17.25" x14ac:dyDescent="0.25">
      <c r="A298" s="254"/>
      <c r="B298" s="254"/>
      <c r="C298" s="219"/>
      <c r="D298" s="219"/>
      <c r="E298" s="219"/>
      <c r="F298" s="219"/>
      <c r="G298" s="219"/>
      <c r="H298" s="219"/>
      <c r="I298" s="219"/>
      <c r="J298" s="219"/>
      <c r="K298" s="219"/>
      <c r="L298" s="219"/>
    </row>
    <row r="299" spans="1:12" ht="17.25" x14ac:dyDescent="0.25">
      <c r="A299" s="254"/>
      <c r="B299" s="254"/>
      <c r="C299" s="219"/>
      <c r="D299" s="219"/>
      <c r="E299" s="219"/>
      <c r="F299" s="219"/>
      <c r="G299" s="219"/>
      <c r="H299" s="219"/>
      <c r="I299" s="219"/>
      <c r="J299" s="219"/>
      <c r="K299" s="219"/>
      <c r="L299" s="219"/>
    </row>
    <row r="300" spans="1:12" ht="17.25" x14ac:dyDescent="0.25">
      <c r="A300" s="254"/>
      <c r="B300" s="254"/>
      <c r="C300" s="219"/>
      <c r="D300" s="219"/>
      <c r="E300" s="219"/>
      <c r="F300" s="219"/>
      <c r="G300" s="219"/>
      <c r="H300" s="219"/>
      <c r="I300" s="219"/>
      <c r="J300" s="219"/>
      <c r="K300" s="219"/>
      <c r="L300" s="219"/>
    </row>
    <row r="301" spans="1:12" ht="17.25" x14ac:dyDescent="0.25">
      <c r="A301" s="254"/>
      <c r="B301" s="254"/>
      <c r="C301" s="219"/>
      <c r="D301" s="219"/>
      <c r="E301" s="219"/>
      <c r="F301" s="219"/>
      <c r="G301" s="219"/>
      <c r="H301" s="219"/>
      <c r="I301" s="219"/>
      <c r="J301" s="219"/>
      <c r="K301" s="219"/>
      <c r="L301" s="219"/>
    </row>
    <row r="302" spans="1:12" ht="17.25" x14ac:dyDescent="0.25">
      <c r="A302" s="254"/>
      <c r="B302" s="254"/>
      <c r="C302" s="219"/>
      <c r="D302" s="219"/>
      <c r="E302" s="219"/>
      <c r="F302" s="219"/>
      <c r="G302" s="219"/>
      <c r="H302" s="219"/>
      <c r="I302" s="219"/>
      <c r="J302" s="219"/>
      <c r="K302" s="219"/>
      <c r="L302" s="219"/>
    </row>
    <row r="303" spans="1:12" ht="17.25" x14ac:dyDescent="0.25">
      <c r="A303" s="254"/>
      <c r="B303" s="254"/>
      <c r="C303" s="219"/>
      <c r="D303" s="219"/>
      <c r="E303" s="219"/>
      <c r="F303" s="219"/>
      <c r="G303" s="219"/>
      <c r="H303" s="219"/>
      <c r="I303" s="219"/>
      <c r="J303" s="219"/>
      <c r="K303" s="219"/>
      <c r="L303" s="219"/>
    </row>
    <row r="304" spans="1:12" x14ac:dyDescent="0.25">
      <c r="A304" s="235"/>
      <c r="B304" s="235"/>
      <c r="C304" s="219"/>
      <c r="D304" s="219"/>
      <c r="E304" s="219"/>
      <c r="F304" s="219"/>
      <c r="G304" s="219"/>
      <c r="H304" s="219"/>
      <c r="I304" s="219"/>
      <c r="J304" s="219"/>
      <c r="K304" s="219"/>
      <c r="L304" s="219"/>
    </row>
    <row r="305" spans="1:12" ht="17.25" x14ac:dyDescent="0.25">
      <c r="A305" s="254"/>
      <c r="B305" s="254"/>
      <c r="C305" s="219"/>
      <c r="D305" s="219"/>
      <c r="E305" s="219"/>
      <c r="F305" s="219"/>
      <c r="G305" s="219"/>
      <c r="H305" s="219"/>
      <c r="I305" s="219"/>
      <c r="J305" s="219"/>
      <c r="K305" s="219"/>
      <c r="L305" s="219"/>
    </row>
    <row r="306" spans="1:12" ht="17.25" x14ac:dyDescent="0.25">
      <c r="A306" s="254"/>
      <c r="B306" s="254"/>
      <c r="C306" s="219"/>
      <c r="D306" s="219"/>
      <c r="E306" s="219"/>
      <c r="F306" s="219"/>
      <c r="G306" s="219"/>
      <c r="H306" s="219"/>
      <c r="I306" s="219"/>
      <c r="J306" s="219"/>
      <c r="K306" s="219"/>
      <c r="L306" s="219"/>
    </row>
    <row r="307" spans="1:12" x14ac:dyDescent="0.25">
      <c r="A307" s="235"/>
      <c r="B307" s="235"/>
      <c r="C307" s="219"/>
      <c r="D307" s="219"/>
      <c r="E307" s="219"/>
      <c r="F307" s="219"/>
      <c r="G307" s="219"/>
      <c r="H307" s="219"/>
      <c r="I307" s="219"/>
      <c r="J307" s="219"/>
      <c r="K307" s="219"/>
      <c r="L307" s="219"/>
    </row>
    <row r="308" spans="1:12" ht="17.25" x14ac:dyDescent="0.25">
      <c r="A308" s="254"/>
      <c r="B308" s="254"/>
      <c r="C308" s="219"/>
      <c r="D308" s="219"/>
      <c r="E308" s="219"/>
      <c r="F308" s="219"/>
      <c r="G308" s="219"/>
      <c r="H308" s="219"/>
      <c r="I308" s="219"/>
      <c r="J308" s="219"/>
      <c r="K308" s="219"/>
      <c r="L308" s="219"/>
    </row>
    <row r="309" spans="1:12" ht="17.25" x14ac:dyDescent="0.25">
      <c r="A309" s="254"/>
      <c r="B309" s="254"/>
      <c r="C309" s="219"/>
      <c r="D309" s="219"/>
      <c r="E309" s="219"/>
      <c r="F309" s="219"/>
      <c r="G309" s="219"/>
      <c r="H309" s="219"/>
      <c r="I309" s="219"/>
      <c r="J309" s="219"/>
      <c r="K309" s="219"/>
      <c r="L309" s="219"/>
    </row>
    <row r="310" spans="1:12" ht="17.25" x14ac:dyDescent="0.25">
      <c r="A310" s="254"/>
      <c r="B310" s="254"/>
      <c r="C310" s="219"/>
      <c r="D310" s="219"/>
      <c r="E310" s="219"/>
      <c r="F310" s="219"/>
      <c r="G310" s="219"/>
      <c r="H310" s="219"/>
      <c r="I310" s="219"/>
      <c r="J310" s="219"/>
      <c r="K310" s="219"/>
      <c r="L310" s="219"/>
    </row>
    <row r="311" spans="1:12" ht="17.25" x14ac:dyDescent="0.25">
      <c r="A311" s="254"/>
      <c r="B311" s="254"/>
      <c r="C311" s="219"/>
      <c r="D311" s="219"/>
      <c r="E311" s="219"/>
      <c r="F311" s="219"/>
      <c r="G311" s="219"/>
      <c r="H311" s="219"/>
      <c r="I311" s="219"/>
      <c r="J311" s="219"/>
      <c r="K311" s="219"/>
      <c r="L311" s="219"/>
    </row>
    <row r="312" spans="1:12" ht="17.25" x14ac:dyDescent="0.25">
      <c r="A312" s="254"/>
      <c r="B312" s="254"/>
      <c r="C312" s="219"/>
      <c r="D312" s="219"/>
      <c r="E312" s="219"/>
      <c r="F312" s="219"/>
      <c r="G312" s="219"/>
      <c r="H312" s="219"/>
      <c r="I312" s="219"/>
      <c r="J312" s="219"/>
      <c r="K312" s="219"/>
      <c r="L312" s="219"/>
    </row>
    <row r="313" spans="1:12" ht="17.25" x14ac:dyDescent="0.25">
      <c r="A313" s="254"/>
      <c r="B313" s="254"/>
      <c r="C313" s="219"/>
      <c r="D313" s="219"/>
      <c r="E313" s="219"/>
      <c r="F313" s="219"/>
      <c r="G313" s="219"/>
      <c r="H313" s="219"/>
      <c r="I313" s="219"/>
      <c r="J313" s="219"/>
      <c r="K313" s="219"/>
      <c r="L313" s="219"/>
    </row>
    <row r="314" spans="1:12" ht="17.25" x14ac:dyDescent="0.25">
      <c r="A314" s="254"/>
      <c r="B314" s="254"/>
      <c r="C314" s="219"/>
      <c r="D314" s="219"/>
      <c r="E314" s="219"/>
      <c r="F314" s="219"/>
      <c r="G314" s="219"/>
      <c r="H314" s="219"/>
      <c r="I314" s="219"/>
      <c r="J314" s="219"/>
      <c r="K314" s="219"/>
      <c r="L314" s="219"/>
    </row>
    <row r="315" spans="1:12" x14ac:dyDescent="0.25">
      <c r="A315" s="235"/>
      <c r="B315" s="235"/>
      <c r="C315" s="219"/>
      <c r="D315" s="219"/>
      <c r="E315" s="219"/>
      <c r="F315" s="219"/>
      <c r="G315" s="219"/>
      <c r="H315" s="219"/>
      <c r="I315" s="219"/>
      <c r="J315" s="219"/>
      <c r="K315" s="219"/>
      <c r="L315" s="219"/>
    </row>
    <row r="316" spans="1:12" x14ac:dyDescent="0.25">
      <c r="A316" s="235"/>
      <c r="B316" s="235"/>
      <c r="C316" s="219"/>
      <c r="D316" s="219"/>
      <c r="E316" s="219"/>
      <c r="F316" s="219"/>
      <c r="G316" s="219"/>
      <c r="H316" s="219"/>
      <c r="I316" s="219"/>
      <c r="J316" s="219"/>
      <c r="K316" s="219"/>
      <c r="L316" s="219"/>
    </row>
    <row r="317" spans="1:12" x14ac:dyDescent="0.25">
      <c r="A317" s="235"/>
      <c r="B317" s="235"/>
      <c r="C317" s="219"/>
      <c r="D317" s="219"/>
      <c r="E317" s="219"/>
      <c r="F317" s="219"/>
      <c r="G317" s="219"/>
      <c r="H317" s="219"/>
      <c r="I317" s="219"/>
      <c r="J317" s="219"/>
      <c r="K317" s="219"/>
      <c r="L317" s="219"/>
    </row>
    <row r="318" spans="1:12" x14ac:dyDescent="0.25">
      <c r="A318" s="235"/>
      <c r="B318" s="235"/>
      <c r="C318" s="219"/>
      <c r="D318" s="219"/>
      <c r="E318" s="219"/>
      <c r="F318" s="219"/>
      <c r="G318" s="219"/>
      <c r="H318" s="219"/>
      <c r="I318" s="219"/>
      <c r="J318" s="219"/>
      <c r="K318" s="219"/>
      <c r="L318" s="219"/>
    </row>
    <row r="319" spans="1:12" x14ac:dyDescent="0.25">
      <c r="A319" s="235"/>
      <c r="B319" s="235"/>
      <c r="C319" s="219"/>
      <c r="D319" s="219"/>
      <c r="E319" s="219"/>
      <c r="F319" s="219"/>
      <c r="G319" s="219"/>
      <c r="H319" s="219"/>
      <c r="I319" s="219"/>
      <c r="J319" s="219"/>
      <c r="K319" s="219"/>
      <c r="L319" s="219"/>
    </row>
    <row r="320" spans="1:12" x14ac:dyDescent="0.25">
      <c r="A320" s="235"/>
      <c r="B320" s="235"/>
      <c r="C320" s="219"/>
      <c r="D320" s="219"/>
      <c r="E320" s="219"/>
      <c r="F320" s="219"/>
      <c r="G320" s="219"/>
      <c r="H320" s="219"/>
      <c r="I320" s="219"/>
      <c r="J320" s="219"/>
      <c r="K320" s="219"/>
      <c r="L320" s="219"/>
    </row>
    <row r="321" spans="1:12" x14ac:dyDescent="0.25">
      <c r="A321" s="239"/>
      <c r="B321" s="239"/>
      <c r="C321" s="219"/>
      <c r="D321" s="219"/>
      <c r="E321" s="219"/>
      <c r="F321" s="219"/>
      <c r="G321" s="219"/>
      <c r="H321" s="219"/>
      <c r="I321" s="219"/>
      <c r="J321" s="219"/>
      <c r="K321" s="219"/>
      <c r="L321" s="219"/>
    </row>
    <row r="322" spans="1:12" x14ac:dyDescent="0.25">
      <c r="A322" s="236"/>
      <c r="B322" s="236"/>
      <c r="C322" s="219"/>
      <c r="D322" s="219"/>
      <c r="E322" s="219"/>
      <c r="F322" s="219"/>
      <c r="G322" s="219"/>
      <c r="H322" s="219"/>
      <c r="I322" s="219"/>
      <c r="J322" s="219"/>
      <c r="K322" s="219"/>
      <c r="L322" s="219"/>
    </row>
    <row r="323" spans="1:12" x14ac:dyDescent="0.25">
      <c r="A323" s="255"/>
      <c r="B323" s="255"/>
      <c r="C323" s="219"/>
      <c r="D323" s="219"/>
      <c r="E323" s="219"/>
      <c r="F323" s="219"/>
      <c r="G323" s="219"/>
      <c r="H323" s="219"/>
      <c r="I323" s="219"/>
      <c r="J323" s="219"/>
      <c r="K323" s="219"/>
      <c r="L323" s="219"/>
    </row>
    <row r="324" spans="1:12" x14ac:dyDescent="0.25">
      <c r="A324" s="235"/>
      <c r="B324" s="235"/>
      <c r="C324" s="219"/>
      <c r="D324" s="219"/>
      <c r="E324" s="219"/>
      <c r="F324" s="219"/>
      <c r="G324" s="219"/>
      <c r="H324" s="219"/>
      <c r="I324" s="219"/>
      <c r="J324" s="219"/>
      <c r="K324" s="219"/>
      <c r="L324" s="219"/>
    </row>
    <row r="325" spans="1:12" ht="23.25" x14ac:dyDescent="0.25">
      <c r="A325" s="256"/>
      <c r="B325" s="256"/>
      <c r="C325" s="219"/>
      <c r="D325" s="219"/>
      <c r="E325" s="219"/>
      <c r="F325" s="219"/>
      <c r="G325" s="219"/>
      <c r="H325" s="219"/>
      <c r="I325" s="219"/>
      <c r="J325" s="219"/>
      <c r="K325" s="219"/>
      <c r="L325" s="219"/>
    </row>
    <row r="326" spans="1:12" x14ac:dyDescent="0.25">
      <c r="A326" s="257"/>
      <c r="B326" s="257"/>
      <c r="C326" s="219"/>
      <c r="D326" s="219"/>
      <c r="E326" s="219"/>
      <c r="F326" s="219"/>
      <c r="G326" s="219"/>
      <c r="H326" s="219"/>
      <c r="I326" s="219"/>
      <c r="J326" s="219"/>
      <c r="K326" s="219"/>
      <c r="L326" s="219"/>
    </row>
    <row r="327" spans="1:12" x14ac:dyDescent="0.25">
      <c r="A327" s="258"/>
      <c r="B327" s="258"/>
      <c r="C327" s="219"/>
      <c r="D327" s="219"/>
      <c r="E327" s="219"/>
      <c r="F327" s="219"/>
      <c r="G327" s="219"/>
      <c r="H327" s="219"/>
      <c r="I327" s="219"/>
      <c r="J327" s="219"/>
      <c r="K327" s="219"/>
      <c r="L327" s="219"/>
    </row>
    <row r="328" spans="1:12" x14ac:dyDescent="0.25">
      <c r="A328" s="257"/>
      <c r="B328" s="257"/>
      <c r="C328" s="219"/>
      <c r="D328" s="219"/>
      <c r="E328" s="219"/>
      <c r="F328" s="219"/>
      <c r="G328" s="219"/>
      <c r="H328" s="219"/>
      <c r="I328" s="219"/>
      <c r="J328" s="219"/>
      <c r="K328" s="219"/>
      <c r="L328" s="219"/>
    </row>
    <row r="329" spans="1:12" x14ac:dyDescent="0.25">
      <c r="A329" s="257"/>
      <c r="B329" s="257"/>
      <c r="C329" s="219"/>
      <c r="D329" s="219"/>
      <c r="E329" s="219"/>
      <c r="F329" s="219"/>
      <c r="G329" s="219"/>
      <c r="H329" s="219"/>
      <c r="I329" s="219"/>
      <c r="J329" s="219"/>
      <c r="K329" s="219"/>
      <c r="L329" s="219"/>
    </row>
    <row r="330" spans="1:12" ht="18.75" x14ac:dyDescent="0.25">
      <c r="A330" s="259"/>
      <c r="B330" s="259"/>
      <c r="C330" s="219"/>
      <c r="D330" s="219"/>
      <c r="E330" s="219"/>
      <c r="F330" s="219"/>
      <c r="G330" s="219"/>
      <c r="H330" s="219"/>
      <c r="I330" s="219"/>
      <c r="J330" s="219"/>
      <c r="K330" s="219"/>
      <c r="L330" s="219"/>
    </row>
    <row r="331" spans="1:12" x14ac:dyDescent="0.25">
      <c r="A331" s="260"/>
      <c r="B331" s="260"/>
      <c r="C331" s="219"/>
      <c r="D331" s="219"/>
      <c r="E331" s="219"/>
      <c r="F331" s="219"/>
      <c r="G331" s="219"/>
      <c r="H331" s="219"/>
      <c r="I331" s="219"/>
      <c r="J331" s="219"/>
      <c r="K331" s="219"/>
      <c r="L331" s="219"/>
    </row>
    <row r="332" spans="1:12" x14ac:dyDescent="0.25">
      <c r="A332" s="257"/>
      <c r="B332" s="257"/>
      <c r="C332" s="219"/>
      <c r="D332" s="219"/>
      <c r="E332" s="219"/>
      <c r="F332" s="219"/>
      <c r="G332" s="219"/>
      <c r="H332" s="219"/>
      <c r="I332" s="219"/>
      <c r="J332" s="219"/>
      <c r="K332" s="219"/>
      <c r="L332" s="219"/>
    </row>
    <row r="333" spans="1:12" x14ac:dyDescent="0.25">
      <c r="A333" s="235"/>
      <c r="B333" s="235"/>
      <c r="C333" s="219"/>
      <c r="D333" s="219"/>
      <c r="E333" s="219"/>
      <c r="F333" s="219"/>
      <c r="G333" s="219"/>
      <c r="H333" s="219"/>
      <c r="I333" s="219"/>
      <c r="J333" s="219"/>
      <c r="K333" s="219"/>
      <c r="L333" s="219"/>
    </row>
    <row r="334" spans="1:12" x14ac:dyDescent="0.25">
      <c r="A334" s="257"/>
      <c r="B334" s="257"/>
      <c r="C334" s="219"/>
      <c r="D334" s="219"/>
      <c r="E334" s="219"/>
      <c r="F334" s="219"/>
      <c r="G334" s="219"/>
      <c r="H334" s="219"/>
      <c r="I334" s="219"/>
      <c r="J334" s="219"/>
      <c r="K334" s="219"/>
      <c r="L334" s="219"/>
    </row>
    <row r="335" spans="1:12" x14ac:dyDescent="0.25">
      <c r="A335" s="235"/>
      <c r="B335" s="235"/>
      <c r="C335" s="219"/>
      <c r="D335" s="219"/>
      <c r="E335" s="219"/>
      <c r="F335" s="219"/>
      <c r="G335" s="219"/>
      <c r="H335" s="219"/>
      <c r="I335" s="219"/>
      <c r="J335" s="219"/>
      <c r="K335" s="219"/>
      <c r="L335" s="219"/>
    </row>
    <row r="336" spans="1:12" x14ac:dyDescent="0.25">
      <c r="A336" s="257"/>
      <c r="B336" s="257"/>
      <c r="C336" s="219"/>
      <c r="D336" s="219"/>
      <c r="E336" s="219"/>
      <c r="F336" s="219"/>
      <c r="G336" s="219"/>
      <c r="H336" s="219"/>
      <c r="I336" s="219"/>
      <c r="J336" s="219"/>
      <c r="K336" s="219"/>
      <c r="L336" s="219"/>
    </row>
    <row r="337" spans="1:12" x14ac:dyDescent="0.25">
      <c r="A337" s="235"/>
      <c r="B337" s="235"/>
      <c r="C337" s="219"/>
      <c r="D337" s="219"/>
      <c r="E337" s="219"/>
      <c r="F337" s="219"/>
      <c r="G337" s="219"/>
      <c r="H337" s="219"/>
      <c r="I337" s="219"/>
      <c r="J337" s="219"/>
      <c r="K337" s="219"/>
      <c r="L337" s="219"/>
    </row>
    <row r="338" spans="1:12" ht="18.75" x14ac:dyDescent="0.25">
      <c r="A338" s="261"/>
      <c r="B338" s="261"/>
      <c r="C338" s="219"/>
      <c r="D338" s="219"/>
      <c r="E338" s="219"/>
      <c r="F338" s="219"/>
      <c r="G338" s="219"/>
      <c r="H338" s="219"/>
      <c r="I338" s="219"/>
      <c r="J338" s="219"/>
      <c r="K338" s="219"/>
      <c r="L338" s="219"/>
    </row>
    <row r="339" spans="1:12" ht="18.75" x14ac:dyDescent="0.25">
      <c r="A339" s="259"/>
      <c r="B339" s="259"/>
      <c r="C339" s="219"/>
      <c r="D339" s="219"/>
      <c r="E339" s="219"/>
      <c r="F339" s="219"/>
      <c r="G339" s="219"/>
      <c r="H339" s="219"/>
      <c r="I339" s="219"/>
      <c r="J339" s="219"/>
      <c r="K339" s="219"/>
      <c r="L339" s="219"/>
    </row>
    <row r="340" spans="1:12" x14ac:dyDescent="0.25">
      <c r="A340" s="257"/>
      <c r="B340" s="257"/>
      <c r="C340" s="219"/>
      <c r="D340" s="219"/>
      <c r="E340" s="219"/>
      <c r="F340" s="219"/>
      <c r="G340" s="219"/>
      <c r="H340" s="219"/>
      <c r="I340" s="219"/>
      <c r="J340" s="219"/>
      <c r="K340" s="219"/>
      <c r="L340" s="219"/>
    </row>
    <row r="341" spans="1:12" x14ac:dyDescent="0.25">
      <c r="A341" s="262"/>
      <c r="B341" s="262"/>
      <c r="C341" s="219"/>
      <c r="D341" s="219"/>
      <c r="E341" s="219"/>
      <c r="F341" s="219"/>
      <c r="G341" s="219"/>
      <c r="H341" s="219"/>
      <c r="I341" s="219"/>
      <c r="J341" s="219"/>
      <c r="K341" s="219"/>
      <c r="L341" s="219"/>
    </row>
    <row r="342" spans="1:12" x14ac:dyDescent="0.25">
      <c r="A342" s="235"/>
      <c r="B342" s="235"/>
      <c r="C342" s="219"/>
      <c r="D342" s="219"/>
      <c r="E342" s="219"/>
      <c r="F342" s="219"/>
      <c r="G342" s="219"/>
      <c r="H342" s="219"/>
      <c r="I342" s="219"/>
      <c r="J342" s="219"/>
      <c r="K342" s="219"/>
      <c r="L342" s="219"/>
    </row>
    <row r="343" spans="1:12" x14ac:dyDescent="0.25">
      <c r="A343" s="260"/>
      <c r="B343" s="260"/>
      <c r="C343" s="219"/>
      <c r="D343" s="219"/>
      <c r="E343" s="219"/>
      <c r="F343" s="219"/>
      <c r="G343" s="219"/>
      <c r="H343" s="219"/>
      <c r="I343" s="219"/>
      <c r="J343" s="219"/>
      <c r="K343" s="219"/>
      <c r="L343" s="219"/>
    </row>
    <row r="344" spans="1:12" x14ac:dyDescent="0.25">
      <c r="A344" s="235"/>
      <c r="B344" s="235"/>
      <c r="C344" s="219"/>
      <c r="D344" s="219"/>
      <c r="E344" s="219"/>
      <c r="F344" s="219"/>
      <c r="G344" s="219"/>
      <c r="H344" s="219"/>
      <c r="I344" s="219"/>
      <c r="J344" s="219"/>
      <c r="K344" s="219"/>
      <c r="L344" s="219"/>
    </row>
    <row r="345" spans="1:12" x14ac:dyDescent="0.25">
      <c r="A345" s="235"/>
      <c r="B345" s="235"/>
      <c r="C345" s="219"/>
      <c r="D345" s="219"/>
      <c r="E345" s="219"/>
      <c r="F345" s="219"/>
      <c r="G345" s="219"/>
      <c r="H345" s="219"/>
      <c r="I345" s="219"/>
      <c r="J345" s="219"/>
      <c r="K345" s="219"/>
      <c r="L345" s="219"/>
    </row>
    <row r="346" spans="1:12" x14ac:dyDescent="0.25">
      <c r="A346" s="263"/>
      <c r="B346" s="263"/>
      <c r="C346" s="219"/>
      <c r="D346" s="219"/>
      <c r="E346" s="219"/>
      <c r="F346" s="219"/>
      <c r="G346" s="219"/>
      <c r="H346" s="219"/>
      <c r="I346" s="219"/>
      <c r="J346" s="219"/>
      <c r="K346" s="219"/>
      <c r="L346" s="219"/>
    </row>
    <row r="347" spans="1:12" x14ac:dyDescent="0.25">
      <c r="A347" s="263"/>
      <c r="B347" s="263"/>
      <c r="C347" s="219"/>
      <c r="D347" s="219"/>
      <c r="E347" s="219"/>
      <c r="F347" s="219"/>
      <c r="G347" s="219"/>
      <c r="H347" s="219"/>
      <c r="I347" s="219"/>
      <c r="J347" s="219"/>
      <c r="K347" s="219"/>
      <c r="L347" s="219"/>
    </row>
    <row r="348" spans="1:12" x14ac:dyDescent="0.25">
      <c r="A348" s="263"/>
      <c r="B348" s="263"/>
      <c r="C348" s="219"/>
      <c r="D348" s="219"/>
      <c r="E348" s="219"/>
      <c r="F348" s="219"/>
      <c r="G348" s="219"/>
      <c r="H348" s="219"/>
      <c r="I348" s="219"/>
      <c r="J348" s="219"/>
      <c r="K348" s="219"/>
      <c r="L348" s="219"/>
    </row>
    <row r="349" spans="1:12" ht="17.25" x14ac:dyDescent="0.25">
      <c r="A349" s="264"/>
      <c r="B349" s="264"/>
      <c r="C349" s="219"/>
      <c r="D349" s="219"/>
      <c r="E349" s="219"/>
      <c r="F349" s="219"/>
      <c r="G349" s="219"/>
      <c r="H349" s="219"/>
      <c r="I349" s="219"/>
      <c r="J349" s="219"/>
      <c r="K349" s="219"/>
      <c r="L349" s="219"/>
    </row>
    <row r="350" spans="1:12" x14ac:dyDescent="0.25">
      <c r="A350" s="236"/>
      <c r="B350" s="236"/>
      <c r="C350" s="219"/>
      <c r="D350" s="219"/>
      <c r="E350" s="219"/>
      <c r="F350" s="219"/>
      <c r="G350" s="219"/>
      <c r="H350" s="219"/>
      <c r="I350" s="219"/>
      <c r="J350" s="219"/>
      <c r="K350" s="219"/>
      <c r="L350" s="219"/>
    </row>
    <row r="351" spans="1:12" x14ac:dyDescent="0.25">
      <c r="A351" s="255"/>
      <c r="B351" s="255"/>
      <c r="C351" s="219"/>
      <c r="D351" s="219"/>
      <c r="E351" s="219"/>
      <c r="F351" s="219"/>
      <c r="G351" s="219"/>
      <c r="H351" s="219"/>
      <c r="I351" s="219"/>
      <c r="J351" s="219"/>
      <c r="K351" s="219"/>
      <c r="L351" s="219"/>
    </row>
    <row r="352" spans="1:12" x14ac:dyDescent="0.25">
      <c r="A352" s="255"/>
      <c r="B352" s="255"/>
      <c r="C352" s="219"/>
      <c r="D352" s="219"/>
      <c r="E352" s="219"/>
      <c r="F352" s="219"/>
      <c r="G352" s="219"/>
      <c r="H352" s="219"/>
      <c r="I352" s="219"/>
      <c r="J352" s="219"/>
      <c r="K352" s="219"/>
      <c r="L352" s="219"/>
    </row>
    <row r="353" spans="1:12" x14ac:dyDescent="0.25">
      <c r="A353" s="255"/>
      <c r="B353" s="255"/>
      <c r="C353" s="219"/>
      <c r="D353" s="219"/>
      <c r="E353" s="219"/>
      <c r="F353" s="219"/>
      <c r="G353" s="219"/>
      <c r="H353" s="219"/>
      <c r="I353" s="219"/>
      <c r="J353" s="219"/>
      <c r="K353" s="219"/>
      <c r="L353" s="219"/>
    </row>
    <row r="354" spans="1:12" x14ac:dyDescent="0.25">
      <c r="A354" s="255"/>
      <c r="B354" s="255"/>
      <c r="C354" s="219"/>
      <c r="D354" s="219"/>
      <c r="E354" s="219"/>
      <c r="F354" s="219"/>
      <c r="G354" s="219"/>
      <c r="H354" s="219"/>
      <c r="I354" s="219"/>
      <c r="J354" s="219"/>
      <c r="K354" s="219"/>
      <c r="L354" s="219"/>
    </row>
    <row r="355" spans="1:12" x14ac:dyDescent="0.25">
      <c r="A355" s="235"/>
      <c r="B355" s="235"/>
      <c r="C355" s="219"/>
      <c r="D355" s="219"/>
      <c r="E355" s="219"/>
      <c r="F355" s="219"/>
      <c r="G355" s="219"/>
      <c r="H355" s="219"/>
      <c r="I355" s="219"/>
      <c r="J355" s="219"/>
      <c r="K355" s="219"/>
      <c r="L355" s="219"/>
    </row>
    <row r="356" spans="1:12" ht="17.25" x14ac:dyDescent="0.25">
      <c r="A356" s="264"/>
      <c r="B356" s="264"/>
      <c r="C356" s="219"/>
      <c r="D356" s="219"/>
      <c r="E356" s="219"/>
      <c r="F356" s="219"/>
      <c r="G356" s="219"/>
      <c r="H356" s="219"/>
      <c r="I356" s="219"/>
      <c r="J356" s="219"/>
      <c r="K356" s="219"/>
      <c r="L356" s="219"/>
    </row>
    <row r="357" spans="1:12" x14ac:dyDescent="0.25">
      <c r="A357" s="239"/>
      <c r="B357" s="239"/>
      <c r="C357" s="219"/>
      <c r="D357" s="219"/>
      <c r="E357" s="219"/>
      <c r="F357" s="219"/>
      <c r="G357" s="219"/>
      <c r="H357" s="219"/>
      <c r="I357" s="219"/>
      <c r="J357" s="219"/>
      <c r="K357" s="219"/>
      <c r="L357" s="219"/>
    </row>
    <row r="358" spans="1:12" x14ac:dyDescent="0.25">
      <c r="A358" s="237"/>
      <c r="B358" s="237"/>
      <c r="C358" s="219"/>
      <c r="D358" s="219"/>
      <c r="E358" s="219"/>
      <c r="F358" s="219"/>
      <c r="G358" s="219"/>
      <c r="H358" s="219"/>
      <c r="I358" s="219"/>
      <c r="J358" s="219"/>
      <c r="K358" s="219"/>
      <c r="L358" s="219"/>
    </row>
    <row r="359" spans="1:12" x14ac:dyDescent="0.25">
      <c r="A359" s="247"/>
      <c r="B359" s="247"/>
      <c r="C359" s="219"/>
      <c r="D359" s="219"/>
      <c r="E359" s="219"/>
      <c r="F359" s="219"/>
      <c r="G359" s="219"/>
      <c r="H359" s="219"/>
      <c r="I359" s="219"/>
      <c r="J359" s="219"/>
      <c r="K359" s="219"/>
      <c r="L359" s="219"/>
    </row>
    <row r="360" spans="1:12" x14ac:dyDescent="0.25">
      <c r="A360" s="247"/>
      <c r="B360" s="247"/>
      <c r="C360" s="219"/>
      <c r="D360" s="219"/>
      <c r="E360" s="219"/>
      <c r="F360" s="219"/>
      <c r="G360" s="219"/>
      <c r="H360" s="219"/>
      <c r="I360" s="219"/>
      <c r="J360" s="219"/>
      <c r="K360" s="219"/>
      <c r="L360" s="219"/>
    </row>
    <row r="361" spans="1:12" x14ac:dyDescent="0.25">
      <c r="A361" s="247"/>
      <c r="B361" s="247"/>
      <c r="C361" s="219"/>
      <c r="D361" s="219"/>
      <c r="E361" s="219"/>
      <c r="F361" s="219"/>
      <c r="G361" s="219"/>
      <c r="H361" s="219"/>
      <c r="I361" s="219"/>
      <c r="J361" s="219"/>
      <c r="K361" s="219"/>
      <c r="L361" s="219"/>
    </row>
    <row r="362" spans="1:12" x14ac:dyDescent="0.25">
      <c r="A362" s="247"/>
      <c r="B362" s="247"/>
      <c r="C362" s="219"/>
      <c r="D362" s="219"/>
      <c r="E362" s="219"/>
      <c r="F362" s="219"/>
      <c r="G362" s="219"/>
      <c r="H362" s="219"/>
      <c r="I362" s="219"/>
      <c r="J362" s="219"/>
      <c r="K362" s="219"/>
      <c r="L362" s="219"/>
    </row>
    <row r="363" spans="1:12" x14ac:dyDescent="0.25">
      <c r="A363" s="247"/>
      <c r="B363" s="247"/>
      <c r="C363" s="219"/>
      <c r="D363" s="219"/>
      <c r="E363" s="219"/>
      <c r="F363" s="219"/>
      <c r="G363" s="219"/>
      <c r="H363" s="219"/>
      <c r="I363" s="219"/>
      <c r="J363" s="219"/>
      <c r="K363" s="219"/>
      <c r="L363" s="219"/>
    </row>
    <row r="364" spans="1:12" x14ac:dyDescent="0.25">
      <c r="A364" s="247"/>
      <c r="B364" s="247"/>
      <c r="C364" s="219"/>
      <c r="D364" s="219"/>
      <c r="E364" s="219"/>
      <c r="F364" s="219"/>
      <c r="G364" s="219"/>
      <c r="H364" s="219"/>
      <c r="I364" s="219"/>
      <c r="J364" s="219"/>
      <c r="K364" s="219"/>
      <c r="L364" s="219"/>
    </row>
    <row r="365" spans="1:12" x14ac:dyDescent="0.25">
      <c r="A365" s="247"/>
      <c r="B365" s="247"/>
      <c r="C365" s="219"/>
      <c r="D365" s="219"/>
      <c r="E365" s="219"/>
      <c r="F365" s="219"/>
      <c r="G365" s="219"/>
      <c r="H365" s="219"/>
      <c r="I365" s="219"/>
      <c r="J365" s="219"/>
      <c r="K365" s="219"/>
      <c r="L365" s="219"/>
    </row>
    <row r="366" spans="1:12" x14ac:dyDescent="0.25">
      <c r="A366" s="247"/>
      <c r="B366" s="247"/>
      <c r="C366" s="219"/>
      <c r="D366" s="219"/>
      <c r="E366" s="219"/>
      <c r="F366" s="219"/>
      <c r="G366" s="219"/>
      <c r="H366" s="219"/>
      <c r="I366" s="219"/>
      <c r="J366" s="219"/>
      <c r="K366" s="219"/>
      <c r="L366" s="219"/>
    </row>
    <row r="367" spans="1:12" x14ac:dyDescent="0.25">
      <c r="A367" s="247"/>
      <c r="B367" s="247"/>
      <c r="C367" s="219"/>
      <c r="D367" s="219"/>
      <c r="E367" s="219"/>
      <c r="F367" s="219"/>
      <c r="G367" s="219"/>
      <c r="H367" s="219"/>
      <c r="I367" s="219"/>
      <c r="J367" s="219"/>
      <c r="K367" s="219"/>
      <c r="L367" s="219"/>
    </row>
    <row r="368" spans="1:12" x14ac:dyDescent="0.25">
      <c r="A368" s="247"/>
      <c r="B368" s="247"/>
      <c r="C368" s="219"/>
      <c r="D368" s="219"/>
      <c r="E368" s="219"/>
      <c r="F368" s="219"/>
      <c r="G368" s="219"/>
      <c r="H368" s="219"/>
      <c r="I368" s="219"/>
      <c r="J368" s="219"/>
      <c r="K368" s="219"/>
      <c r="L368" s="219"/>
    </row>
    <row r="369" spans="1:12" x14ac:dyDescent="0.25">
      <c r="A369" s="247"/>
      <c r="B369" s="247"/>
      <c r="C369" s="219"/>
      <c r="D369" s="219"/>
      <c r="E369" s="219"/>
      <c r="F369" s="219"/>
      <c r="G369" s="219"/>
      <c r="H369" s="219"/>
      <c r="I369" s="219"/>
      <c r="J369" s="219"/>
      <c r="K369" s="219"/>
      <c r="L369" s="219"/>
    </row>
    <row r="370" spans="1:12" x14ac:dyDescent="0.25">
      <c r="A370" s="247"/>
      <c r="B370" s="247"/>
      <c r="C370" s="219"/>
      <c r="D370" s="219"/>
      <c r="E370" s="219"/>
      <c r="F370" s="219"/>
      <c r="G370" s="219"/>
      <c r="H370" s="219"/>
      <c r="I370" s="219"/>
      <c r="J370" s="219"/>
      <c r="K370" s="219"/>
      <c r="L370" s="219"/>
    </row>
    <row r="371" spans="1:12" x14ac:dyDescent="0.25">
      <c r="A371" s="247"/>
      <c r="B371" s="247"/>
      <c r="C371" s="219"/>
      <c r="D371" s="219"/>
      <c r="E371" s="219"/>
      <c r="F371" s="219"/>
      <c r="G371" s="219"/>
      <c r="H371" s="219"/>
      <c r="I371" s="219"/>
      <c r="J371" s="219"/>
      <c r="K371" s="219"/>
      <c r="L371" s="219"/>
    </row>
    <row r="372" spans="1:12" x14ac:dyDescent="0.25">
      <c r="A372" s="247"/>
      <c r="B372" s="247"/>
      <c r="C372" s="219"/>
      <c r="D372" s="219"/>
      <c r="E372" s="219"/>
      <c r="F372" s="219"/>
      <c r="G372" s="219"/>
      <c r="H372" s="219"/>
      <c r="I372" s="219"/>
      <c r="J372" s="219"/>
      <c r="K372" s="219"/>
      <c r="L372" s="219"/>
    </row>
    <row r="373" spans="1:12" x14ac:dyDescent="0.25">
      <c r="A373" s="247"/>
      <c r="B373" s="247"/>
      <c r="C373" s="219"/>
      <c r="D373" s="219"/>
      <c r="E373" s="219"/>
      <c r="F373" s="219"/>
      <c r="G373" s="219"/>
      <c r="H373" s="219"/>
      <c r="I373" s="219"/>
      <c r="J373" s="219"/>
      <c r="K373" s="219"/>
      <c r="L373" s="219"/>
    </row>
    <row r="374" spans="1:12" x14ac:dyDescent="0.25">
      <c r="A374" s="247"/>
      <c r="B374" s="247"/>
      <c r="C374" s="219"/>
      <c r="D374" s="219"/>
      <c r="E374" s="219"/>
      <c r="F374" s="219"/>
      <c r="G374" s="219"/>
      <c r="H374" s="219"/>
      <c r="I374" s="219"/>
      <c r="J374" s="219"/>
      <c r="K374" s="219"/>
      <c r="L374" s="219"/>
    </row>
    <row r="375" spans="1:12" x14ac:dyDescent="0.25">
      <c r="A375" s="247"/>
      <c r="B375" s="247"/>
      <c r="C375" s="219"/>
      <c r="D375" s="219"/>
      <c r="E375" s="219"/>
      <c r="F375" s="219"/>
      <c r="G375" s="219"/>
      <c r="H375" s="219"/>
      <c r="I375" s="219"/>
      <c r="J375" s="219"/>
      <c r="K375" s="219"/>
      <c r="L375" s="219"/>
    </row>
    <row r="376" spans="1:12" x14ac:dyDescent="0.25">
      <c r="A376" s="247"/>
      <c r="B376" s="247"/>
      <c r="C376" s="219"/>
      <c r="D376" s="219"/>
      <c r="E376" s="219"/>
      <c r="F376" s="219"/>
      <c r="G376" s="219"/>
      <c r="H376" s="219"/>
      <c r="I376" s="219"/>
      <c r="J376" s="219"/>
      <c r="K376" s="219"/>
      <c r="L376" s="219"/>
    </row>
    <row r="377" spans="1:12" x14ac:dyDescent="0.25">
      <c r="A377" s="247"/>
      <c r="B377" s="247"/>
      <c r="C377" s="219"/>
      <c r="D377" s="219"/>
      <c r="E377" s="219"/>
      <c r="F377" s="219"/>
      <c r="G377" s="219"/>
      <c r="H377" s="219"/>
      <c r="I377" s="219"/>
      <c r="J377" s="219"/>
      <c r="K377" s="219"/>
      <c r="L377" s="219"/>
    </row>
    <row r="378" spans="1:12" x14ac:dyDescent="0.25">
      <c r="A378" s="247"/>
      <c r="B378" s="247"/>
      <c r="C378" s="219"/>
      <c r="D378" s="219"/>
      <c r="E378" s="219"/>
      <c r="F378" s="219"/>
      <c r="G378" s="219"/>
      <c r="H378" s="219"/>
      <c r="I378" s="219"/>
      <c r="J378" s="219"/>
      <c r="K378" s="219"/>
      <c r="L378" s="219"/>
    </row>
    <row r="379" spans="1:12" x14ac:dyDescent="0.25">
      <c r="A379" s="247"/>
      <c r="B379" s="247"/>
      <c r="C379" s="219"/>
      <c r="D379" s="219"/>
      <c r="E379" s="219"/>
      <c r="F379" s="219"/>
      <c r="G379" s="219"/>
      <c r="H379" s="219"/>
      <c r="I379" s="219"/>
      <c r="J379" s="219"/>
      <c r="K379" s="219"/>
      <c r="L379" s="219"/>
    </row>
    <row r="380" spans="1:12" x14ac:dyDescent="0.25">
      <c r="A380" s="247"/>
      <c r="B380" s="247"/>
      <c r="C380" s="219"/>
      <c r="D380" s="219"/>
      <c r="E380" s="219"/>
      <c r="F380" s="219"/>
      <c r="G380" s="219"/>
      <c r="H380" s="219"/>
      <c r="I380" s="219"/>
      <c r="J380" s="219"/>
      <c r="K380" s="219"/>
      <c r="L380" s="219"/>
    </row>
    <row r="381" spans="1:12" x14ac:dyDescent="0.25">
      <c r="A381" s="247"/>
      <c r="B381" s="247"/>
      <c r="C381" s="219"/>
      <c r="D381" s="219"/>
      <c r="E381" s="219"/>
      <c r="F381" s="219"/>
      <c r="G381" s="219"/>
      <c r="H381" s="219"/>
      <c r="I381" s="219"/>
      <c r="J381" s="219"/>
      <c r="K381" s="219"/>
      <c r="L381" s="219"/>
    </row>
    <row r="382" spans="1:12" x14ac:dyDescent="0.25">
      <c r="A382" s="247"/>
      <c r="B382" s="247"/>
      <c r="C382" s="219"/>
      <c r="D382" s="219"/>
      <c r="E382" s="219"/>
      <c r="F382" s="219"/>
      <c r="G382" s="219"/>
      <c r="H382" s="219"/>
      <c r="I382" s="219"/>
      <c r="J382" s="219"/>
      <c r="K382" s="219"/>
      <c r="L382" s="219"/>
    </row>
    <row r="383" spans="1:12" x14ac:dyDescent="0.25">
      <c r="A383" s="247"/>
      <c r="B383" s="247"/>
      <c r="C383" s="219"/>
      <c r="D383" s="219"/>
      <c r="E383" s="219"/>
      <c r="F383" s="219"/>
      <c r="G383" s="219"/>
      <c r="H383" s="219"/>
      <c r="I383" s="219"/>
      <c r="J383" s="219"/>
      <c r="K383" s="219"/>
      <c r="L383" s="219"/>
    </row>
    <row r="384" spans="1:12" x14ac:dyDescent="0.25">
      <c r="A384" s="247"/>
      <c r="B384" s="247"/>
      <c r="C384" s="219"/>
      <c r="D384" s="219"/>
      <c r="E384" s="219"/>
      <c r="F384" s="219"/>
      <c r="G384" s="219"/>
      <c r="H384" s="219"/>
      <c r="I384" s="219"/>
      <c r="J384" s="219"/>
      <c r="K384" s="219"/>
      <c r="L384" s="219"/>
    </row>
    <row r="385" spans="1:12" x14ac:dyDescent="0.25">
      <c r="A385" s="247"/>
      <c r="B385" s="247"/>
      <c r="C385" s="219"/>
      <c r="D385" s="219"/>
      <c r="E385" s="219"/>
      <c r="F385" s="219"/>
      <c r="G385" s="219"/>
      <c r="H385" s="219"/>
      <c r="I385" s="219"/>
      <c r="J385" s="219"/>
      <c r="K385" s="219"/>
      <c r="L385" s="219"/>
    </row>
    <row r="386" spans="1:12" x14ac:dyDescent="0.25">
      <c r="A386" s="247"/>
      <c r="B386" s="247"/>
      <c r="C386" s="219"/>
      <c r="D386" s="219"/>
      <c r="E386" s="219"/>
      <c r="F386" s="219"/>
      <c r="G386" s="219"/>
      <c r="H386" s="219"/>
      <c r="I386" s="219"/>
      <c r="J386" s="219"/>
      <c r="K386" s="219"/>
      <c r="L386" s="219"/>
    </row>
    <row r="387" spans="1:12" x14ac:dyDescent="0.25">
      <c r="A387" s="247"/>
      <c r="B387" s="247"/>
      <c r="C387" s="219"/>
      <c r="D387" s="219"/>
      <c r="E387" s="219"/>
      <c r="F387" s="219"/>
      <c r="G387" s="219"/>
      <c r="H387" s="219"/>
      <c r="I387" s="219"/>
      <c r="J387" s="219"/>
      <c r="K387" s="219"/>
      <c r="L387" s="219"/>
    </row>
    <row r="388" spans="1:12" x14ac:dyDescent="0.25">
      <c r="A388" s="247"/>
      <c r="B388" s="247"/>
      <c r="C388" s="219"/>
      <c r="D388" s="219"/>
      <c r="E388" s="219"/>
      <c r="F388" s="219"/>
      <c r="G388" s="219"/>
      <c r="H388" s="219"/>
      <c r="I388" s="219"/>
      <c r="J388" s="219"/>
      <c r="K388" s="219"/>
      <c r="L388" s="219"/>
    </row>
    <row r="389" spans="1:12" x14ac:dyDescent="0.25">
      <c r="A389" s="247"/>
      <c r="B389" s="247"/>
      <c r="C389" s="219"/>
      <c r="D389" s="219"/>
      <c r="E389" s="219"/>
      <c r="F389" s="219"/>
      <c r="G389" s="219"/>
      <c r="H389" s="219"/>
      <c r="I389" s="219"/>
      <c r="J389" s="219"/>
      <c r="K389" s="219"/>
      <c r="L389" s="219"/>
    </row>
    <row r="390" spans="1:12" x14ac:dyDescent="0.25">
      <c r="A390" s="247"/>
      <c r="B390" s="247"/>
      <c r="C390" s="219"/>
      <c r="D390" s="219"/>
      <c r="E390" s="219"/>
      <c r="F390" s="219"/>
      <c r="G390" s="219"/>
      <c r="H390" s="219"/>
      <c r="I390" s="219"/>
      <c r="J390" s="219"/>
      <c r="K390" s="219"/>
      <c r="L390" s="219"/>
    </row>
    <row r="391" spans="1:12" x14ac:dyDescent="0.25">
      <c r="A391" s="247"/>
      <c r="B391" s="247"/>
      <c r="C391" s="219"/>
      <c r="D391" s="219"/>
      <c r="E391" s="219"/>
      <c r="F391" s="219"/>
      <c r="G391" s="219"/>
      <c r="H391" s="219"/>
      <c r="I391" s="219"/>
      <c r="J391" s="219"/>
      <c r="K391" s="219"/>
      <c r="L391" s="219"/>
    </row>
    <row r="392" spans="1:12" x14ac:dyDescent="0.25">
      <c r="A392" s="247"/>
      <c r="B392" s="247"/>
      <c r="C392" s="219"/>
      <c r="D392" s="219"/>
      <c r="E392" s="219"/>
      <c r="F392" s="219"/>
      <c r="G392" s="219"/>
      <c r="H392" s="219"/>
      <c r="I392" s="219"/>
      <c r="J392" s="219"/>
      <c r="K392" s="219"/>
      <c r="L392" s="219"/>
    </row>
    <row r="393" spans="1:12" x14ac:dyDescent="0.25">
      <c r="A393" s="247"/>
      <c r="B393" s="247"/>
      <c r="C393" s="219"/>
      <c r="D393" s="219"/>
      <c r="E393" s="219"/>
      <c r="F393" s="219"/>
      <c r="G393" s="219"/>
      <c r="H393" s="219"/>
      <c r="I393" s="219"/>
      <c r="J393" s="219"/>
      <c r="K393" s="219"/>
      <c r="L393" s="219"/>
    </row>
    <row r="394" spans="1:12" x14ac:dyDescent="0.25">
      <c r="A394" s="247"/>
      <c r="B394" s="247"/>
      <c r="C394" s="219"/>
      <c r="D394" s="219"/>
      <c r="E394" s="219"/>
      <c r="F394" s="219"/>
      <c r="G394" s="219"/>
      <c r="H394" s="219"/>
      <c r="I394" s="219"/>
      <c r="J394" s="219"/>
      <c r="K394" s="219"/>
      <c r="L394" s="219"/>
    </row>
    <row r="395" spans="1:12" x14ac:dyDescent="0.25">
      <c r="A395" s="247"/>
      <c r="B395" s="247"/>
      <c r="C395" s="219"/>
      <c r="D395" s="219"/>
      <c r="E395" s="219"/>
      <c r="F395" s="219"/>
      <c r="G395" s="219"/>
      <c r="H395" s="219"/>
      <c r="I395" s="219"/>
      <c r="J395" s="219"/>
      <c r="K395" s="219"/>
      <c r="L395" s="219"/>
    </row>
    <row r="396" spans="1:12" x14ac:dyDescent="0.25">
      <c r="A396" s="247"/>
      <c r="B396" s="247"/>
      <c r="C396" s="219"/>
      <c r="D396" s="219"/>
      <c r="E396" s="219"/>
      <c r="F396" s="219"/>
      <c r="G396" s="219"/>
      <c r="H396" s="219"/>
      <c r="I396" s="219"/>
      <c r="J396" s="219"/>
      <c r="K396" s="219"/>
      <c r="L396" s="219"/>
    </row>
    <row r="397" spans="1:12" x14ac:dyDescent="0.25">
      <c r="A397" s="247"/>
      <c r="B397" s="247"/>
      <c r="C397" s="219"/>
      <c r="D397" s="219"/>
      <c r="E397" s="219"/>
      <c r="F397" s="219"/>
      <c r="G397" s="219"/>
      <c r="H397" s="219"/>
      <c r="I397" s="219"/>
      <c r="J397" s="219"/>
      <c r="K397" s="219"/>
      <c r="L397" s="219"/>
    </row>
    <row r="398" spans="1:12" x14ac:dyDescent="0.25">
      <c r="A398" s="247"/>
      <c r="B398" s="247"/>
      <c r="C398" s="219"/>
      <c r="D398" s="219"/>
      <c r="E398" s="219"/>
      <c r="F398" s="219"/>
      <c r="G398" s="219"/>
      <c r="H398" s="219"/>
      <c r="I398" s="219"/>
      <c r="J398" s="219"/>
      <c r="K398" s="219"/>
      <c r="L398" s="219"/>
    </row>
    <row r="399" spans="1:12" x14ac:dyDescent="0.25">
      <c r="A399" s="247"/>
      <c r="B399" s="247"/>
      <c r="C399" s="219"/>
      <c r="D399" s="219"/>
      <c r="E399" s="219"/>
      <c r="F399" s="219"/>
      <c r="G399" s="219"/>
      <c r="H399" s="219"/>
      <c r="I399" s="219"/>
      <c r="J399" s="219"/>
      <c r="K399" s="219"/>
      <c r="L399" s="219"/>
    </row>
    <row r="400" spans="1:12" x14ac:dyDescent="0.25">
      <c r="A400" s="247"/>
      <c r="B400" s="247"/>
      <c r="C400" s="219"/>
      <c r="D400" s="219"/>
      <c r="E400" s="219"/>
      <c r="F400" s="219"/>
      <c r="G400" s="219"/>
      <c r="H400" s="219"/>
      <c r="I400" s="219"/>
      <c r="J400" s="219"/>
      <c r="K400" s="219"/>
      <c r="L400" s="219"/>
    </row>
    <row r="401" spans="1:12" x14ac:dyDescent="0.25">
      <c r="A401" s="247"/>
      <c r="B401" s="247"/>
      <c r="C401" s="219"/>
      <c r="D401" s="219"/>
      <c r="E401" s="219"/>
      <c r="F401" s="219"/>
      <c r="G401" s="219"/>
      <c r="H401" s="219"/>
      <c r="I401" s="219"/>
      <c r="J401" s="219"/>
      <c r="K401" s="219"/>
      <c r="L401" s="219"/>
    </row>
    <row r="402" spans="1:12" x14ac:dyDescent="0.25">
      <c r="A402" s="247"/>
      <c r="B402" s="247"/>
      <c r="C402" s="219"/>
      <c r="D402" s="219"/>
      <c r="E402" s="219"/>
      <c r="F402" s="219"/>
      <c r="G402" s="219"/>
      <c r="H402" s="219"/>
      <c r="I402" s="219"/>
      <c r="J402" s="219"/>
      <c r="K402" s="219"/>
      <c r="L402" s="219"/>
    </row>
    <row r="403" spans="1:12" x14ac:dyDescent="0.25">
      <c r="A403" s="247"/>
      <c r="B403" s="247"/>
      <c r="C403" s="219"/>
      <c r="D403" s="219"/>
      <c r="E403" s="219"/>
      <c r="F403" s="219"/>
      <c r="G403" s="219"/>
      <c r="H403" s="219"/>
      <c r="I403" s="219"/>
      <c r="J403" s="219"/>
      <c r="K403" s="219"/>
      <c r="L403" s="219"/>
    </row>
    <row r="404" spans="1:12" x14ac:dyDescent="0.25">
      <c r="A404" s="247"/>
      <c r="B404" s="247"/>
      <c r="C404" s="219"/>
      <c r="D404" s="219"/>
      <c r="E404" s="219"/>
      <c r="F404" s="219"/>
      <c r="G404" s="219"/>
      <c r="H404" s="219"/>
      <c r="I404" s="219"/>
      <c r="J404" s="219"/>
      <c r="K404" s="219"/>
      <c r="L404" s="219"/>
    </row>
    <row r="405" spans="1:12" x14ac:dyDescent="0.25">
      <c r="A405" s="247"/>
      <c r="B405" s="247"/>
      <c r="C405" s="219"/>
      <c r="D405" s="219"/>
      <c r="E405" s="219"/>
      <c r="F405" s="219"/>
      <c r="G405" s="219"/>
      <c r="H405" s="219"/>
      <c r="I405" s="219"/>
      <c r="J405" s="219"/>
      <c r="K405" s="219"/>
      <c r="L405" s="219"/>
    </row>
    <row r="406" spans="1:12" x14ac:dyDescent="0.25">
      <c r="A406" s="247"/>
      <c r="B406" s="247"/>
      <c r="C406" s="219"/>
      <c r="D406" s="219"/>
      <c r="E406" s="219"/>
      <c r="F406" s="219"/>
      <c r="G406" s="219"/>
      <c r="H406" s="219"/>
      <c r="I406" s="219"/>
      <c r="J406" s="219"/>
      <c r="K406" s="219"/>
      <c r="L406" s="219"/>
    </row>
    <row r="407" spans="1:12" x14ac:dyDescent="0.25">
      <c r="A407" s="247"/>
      <c r="B407" s="247"/>
      <c r="C407" s="219"/>
      <c r="D407" s="219"/>
      <c r="E407" s="219"/>
      <c r="F407" s="219"/>
      <c r="G407" s="219"/>
      <c r="H407" s="219"/>
      <c r="I407" s="219"/>
      <c r="J407" s="219"/>
      <c r="K407" s="219"/>
      <c r="L407" s="219"/>
    </row>
    <row r="408" spans="1:12" x14ac:dyDescent="0.25">
      <c r="A408" s="247"/>
      <c r="B408" s="247"/>
      <c r="C408" s="219"/>
      <c r="D408" s="219"/>
      <c r="E408" s="219"/>
      <c r="F408" s="219"/>
      <c r="G408" s="219"/>
      <c r="H408" s="219"/>
      <c r="I408" s="219"/>
      <c r="J408" s="219"/>
      <c r="K408" s="219"/>
      <c r="L408" s="219"/>
    </row>
    <row r="409" spans="1:12" x14ac:dyDescent="0.25">
      <c r="A409" s="247"/>
      <c r="B409" s="247"/>
      <c r="C409" s="219"/>
      <c r="D409" s="219"/>
      <c r="E409" s="219"/>
      <c r="F409" s="219"/>
      <c r="G409" s="219"/>
      <c r="H409" s="219"/>
      <c r="I409" s="219"/>
      <c r="J409" s="219"/>
      <c r="K409" s="219"/>
      <c r="L409" s="219"/>
    </row>
    <row r="410" spans="1:12" x14ac:dyDescent="0.25">
      <c r="A410" s="247"/>
      <c r="B410" s="247"/>
      <c r="C410" s="219"/>
      <c r="D410" s="219"/>
      <c r="E410" s="219"/>
      <c r="F410" s="219"/>
      <c r="G410" s="219"/>
      <c r="H410" s="219"/>
      <c r="I410" s="219"/>
      <c r="J410" s="219"/>
      <c r="K410" s="219"/>
      <c r="L410" s="219"/>
    </row>
    <row r="411" spans="1:12" x14ac:dyDescent="0.25">
      <c r="A411" s="247"/>
      <c r="B411" s="247"/>
      <c r="C411" s="219"/>
      <c r="D411" s="219"/>
      <c r="E411" s="219"/>
      <c r="F411" s="219"/>
      <c r="G411" s="219"/>
      <c r="H411" s="219"/>
      <c r="I411" s="219"/>
      <c r="J411" s="219"/>
      <c r="K411" s="219"/>
      <c r="L411" s="219"/>
    </row>
    <row r="412" spans="1:12" x14ac:dyDescent="0.25">
      <c r="A412" s="247"/>
      <c r="B412" s="247"/>
      <c r="C412" s="219"/>
      <c r="D412" s="219"/>
      <c r="E412" s="219"/>
      <c r="F412" s="219"/>
      <c r="G412" s="219"/>
      <c r="H412" s="219"/>
      <c r="I412" s="219"/>
      <c r="J412" s="219"/>
      <c r="K412" s="219"/>
      <c r="L412" s="219"/>
    </row>
    <row r="413" spans="1:12" x14ac:dyDescent="0.25">
      <c r="A413" s="247"/>
      <c r="B413" s="247"/>
      <c r="C413" s="219"/>
      <c r="D413" s="219"/>
      <c r="E413" s="219"/>
      <c r="F413" s="219"/>
      <c r="G413" s="219"/>
      <c r="H413" s="219"/>
      <c r="I413" s="219"/>
      <c r="J413" s="219"/>
      <c r="K413" s="219"/>
      <c r="L413" s="219"/>
    </row>
    <row r="414" spans="1:12" x14ac:dyDescent="0.25">
      <c r="A414" s="247"/>
      <c r="B414" s="247"/>
      <c r="C414" s="219"/>
      <c r="D414" s="219"/>
      <c r="E414" s="219"/>
      <c r="F414" s="219"/>
      <c r="G414" s="219"/>
      <c r="H414" s="219"/>
      <c r="I414" s="219"/>
      <c r="J414" s="219"/>
      <c r="K414" s="219"/>
      <c r="L414" s="219"/>
    </row>
    <row r="415" spans="1:12" x14ac:dyDescent="0.25">
      <c r="A415" s="247"/>
      <c r="B415" s="247"/>
      <c r="C415" s="219"/>
      <c r="D415" s="219"/>
      <c r="E415" s="219"/>
      <c r="F415" s="219"/>
      <c r="G415" s="219"/>
      <c r="H415" s="219"/>
      <c r="I415" s="219"/>
      <c r="J415" s="219"/>
      <c r="K415" s="219"/>
      <c r="L415" s="219"/>
    </row>
    <row r="416" spans="1:12" x14ac:dyDescent="0.25">
      <c r="A416" s="247"/>
      <c r="B416" s="247"/>
      <c r="C416" s="219"/>
      <c r="D416" s="219"/>
      <c r="E416" s="219"/>
      <c r="F416" s="219"/>
      <c r="G416" s="219"/>
      <c r="H416" s="219"/>
      <c r="I416" s="219"/>
      <c r="J416" s="219"/>
      <c r="K416" s="219"/>
      <c r="L416" s="219"/>
    </row>
    <row r="417" spans="1:12" x14ac:dyDescent="0.25">
      <c r="A417" s="247"/>
      <c r="B417" s="247"/>
      <c r="C417" s="219"/>
      <c r="D417" s="219"/>
      <c r="E417" s="219"/>
      <c r="F417" s="219"/>
      <c r="G417" s="219"/>
      <c r="H417" s="219"/>
      <c r="I417" s="219"/>
      <c r="J417" s="219"/>
      <c r="K417" s="219"/>
      <c r="L417" s="219"/>
    </row>
    <row r="418" spans="1:12" x14ac:dyDescent="0.25">
      <c r="A418" s="247"/>
      <c r="B418" s="247"/>
      <c r="C418" s="219"/>
      <c r="D418" s="219"/>
      <c r="E418" s="219"/>
      <c r="F418" s="219"/>
      <c r="G418" s="219"/>
      <c r="H418" s="219"/>
      <c r="I418" s="219"/>
      <c r="J418" s="219"/>
      <c r="K418" s="219"/>
      <c r="L418" s="219"/>
    </row>
    <row r="419" spans="1:12" x14ac:dyDescent="0.25">
      <c r="A419" s="247"/>
      <c r="B419" s="247"/>
      <c r="C419" s="219"/>
      <c r="D419" s="219"/>
      <c r="E419" s="219"/>
      <c r="F419" s="219"/>
      <c r="G419" s="219"/>
      <c r="H419" s="219"/>
      <c r="I419" s="219"/>
      <c r="J419" s="219"/>
      <c r="K419" s="219"/>
      <c r="L419" s="219"/>
    </row>
    <row r="420" spans="1:12" x14ac:dyDescent="0.25">
      <c r="A420" s="247"/>
      <c r="B420" s="247"/>
      <c r="C420" s="219"/>
      <c r="D420" s="219"/>
      <c r="E420" s="219"/>
      <c r="F420" s="219"/>
      <c r="G420" s="219"/>
      <c r="H420" s="219"/>
      <c r="I420" s="219"/>
      <c r="J420" s="219"/>
      <c r="K420" s="219"/>
      <c r="L420" s="219"/>
    </row>
    <row r="421" spans="1:12" x14ac:dyDescent="0.25">
      <c r="A421" s="247"/>
      <c r="B421" s="247"/>
      <c r="C421" s="219"/>
      <c r="D421" s="219"/>
      <c r="E421" s="219"/>
      <c r="F421" s="219"/>
      <c r="G421" s="219"/>
      <c r="H421" s="219"/>
      <c r="I421" s="219"/>
      <c r="J421" s="219"/>
      <c r="K421" s="219"/>
      <c r="L421" s="219"/>
    </row>
    <row r="422" spans="1:12" x14ac:dyDescent="0.25">
      <c r="A422" s="247"/>
      <c r="B422" s="247"/>
      <c r="C422" s="219"/>
      <c r="D422" s="219"/>
      <c r="E422" s="219"/>
      <c r="F422" s="219"/>
      <c r="G422" s="219"/>
      <c r="H422" s="219"/>
      <c r="I422" s="219"/>
      <c r="J422" s="219"/>
      <c r="K422" s="219"/>
      <c r="L422" s="219"/>
    </row>
    <row r="423" spans="1:12" x14ac:dyDescent="0.25">
      <c r="A423" s="247"/>
      <c r="B423" s="247"/>
      <c r="C423" s="219"/>
      <c r="D423" s="219"/>
      <c r="E423" s="219"/>
      <c r="F423" s="219"/>
      <c r="G423" s="219"/>
      <c r="H423" s="219"/>
      <c r="I423" s="219"/>
      <c r="J423" s="219"/>
      <c r="K423" s="219"/>
      <c r="L423" s="219"/>
    </row>
    <row r="424" spans="1:12" x14ac:dyDescent="0.25">
      <c r="A424" s="247"/>
      <c r="B424" s="247"/>
      <c r="C424" s="219"/>
      <c r="D424" s="219"/>
      <c r="E424" s="219"/>
      <c r="F424" s="219"/>
      <c r="G424" s="219"/>
      <c r="H424" s="219"/>
      <c r="I424" s="219"/>
      <c r="J424" s="219"/>
      <c r="K424" s="219"/>
      <c r="L424" s="219"/>
    </row>
    <row r="425" spans="1:12" x14ac:dyDescent="0.25">
      <c r="A425" s="247"/>
      <c r="B425" s="247"/>
      <c r="C425" s="219"/>
      <c r="D425" s="219"/>
      <c r="E425" s="219"/>
      <c r="F425" s="219"/>
      <c r="G425" s="219"/>
      <c r="H425" s="219"/>
      <c r="I425" s="219"/>
      <c r="J425" s="219"/>
      <c r="K425" s="219"/>
      <c r="L425" s="219"/>
    </row>
    <row r="426" spans="1:12" x14ac:dyDescent="0.25">
      <c r="A426" s="247"/>
      <c r="B426" s="247"/>
      <c r="C426" s="219"/>
      <c r="D426" s="219"/>
      <c r="E426" s="219"/>
      <c r="F426" s="219"/>
      <c r="G426" s="219"/>
      <c r="H426" s="219"/>
      <c r="I426" s="219"/>
      <c r="J426" s="219"/>
      <c r="K426" s="219"/>
      <c r="L426" s="219"/>
    </row>
    <row r="427" spans="1:12" x14ac:dyDescent="0.25">
      <c r="A427" s="247"/>
      <c r="B427" s="247"/>
      <c r="C427" s="219"/>
      <c r="D427" s="219"/>
      <c r="E427" s="219"/>
      <c r="F427" s="219"/>
      <c r="G427" s="219"/>
      <c r="H427" s="219"/>
      <c r="I427" s="219"/>
      <c r="J427" s="219"/>
      <c r="K427" s="219"/>
      <c r="L427" s="219"/>
    </row>
    <row r="428" spans="1:12" x14ac:dyDescent="0.25">
      <c r="A428" s="247"/>
      <c r="B428" s="247"/>
      <c r="C428" s="219"/>
      <c r="D428" s="219"/>
      <c r="E428" s="219"/>
      <c r="F428" s="219"/>
      <c r="G428" s="219"/>
      <c r="H428" s="219"/>
      <c r="I428" s="219"/>
      <c r="J428" s="219"/>
      <c r="K428" s="219"/>
      <c r="L428" s="219"/>
    </row>
    <row r="429" spans="1:12" x14ac:dyDescent="0.25">
      <c r="A429" s="247"/>
      <c r="B429" s="247"/>
      <c r="C429" s="219"/>
      <c r="D429" s="219"/>
      <c r="E429" s="219"/>
      <c r="F429" s="219"/>
      <c r="G429" s="219"/>
      <c r="H429" s="219"/>
      <c r="I429" s="219"/>
      <c r="J429" s="219"/>
      <c r="K429" s="219"/>
      <c r="L429" s="219"/>
    </row>
    <row r="430" spans="1:12" x14ac:dyDescent="0.25">
      <c r="A430" s="247"/>
      <c r="B430" s="247"/>
      <c r="C430" s="219"/>
      <c r="D430" s="219"/>
      <c r="E430" s="219"/>
      <c r="F430" s="219"/>
      <c r="G430" s="219"/>
      <c r="H430" s="219"/>
      <c r="I430" s="219"/>
      <c r="J430" s="219"/>
      <c r="K430" s="219"/>
      <c r="L430" s="219"/>
    </row>
    <row r="431" spans="1:12" x14ac:dyDescent="0.25">
      <c r="A431" s="247"/>
      <c r="B431" s="247"/>
      <c r="C431" s="219"/>
      <c r="D431" s="219"/>
      <c r="E431" s="219"/>
      <c r="F431" s="219"/>
      <c r="G431" s="219"/>
      <c r="H431" s="219"/>
      <c r="I431" s="219"/>
      <c r="J431" s="219"/>
      <c r="K431" s="219"/>
      <c r="L431" s="219"/>
    </row>
    <row r="432" spans="1:12" x14ac:dyDescent="0.25">
      <c r="A432" s="247"/>
      <c r="B432" s="247"/>
      <c r="C432" s="219"/>
      <c r="D432" s="219"/>
      <c r="E432" s="219"/>
      <c r="F432" s="219"/>
      <c r="G432" s="219"/>
      <c r="H432" s="219"/>
      <c r="I432" s="219"/>
      <c r="J432" s="219"/>
      <c r="K432" s="219"/>
      <c r="L432" s="219"/>
    </row>
    <row r="433" spans="1:12" x14ac:dyDescent="0.25">
      <c r="A433" s="247"/>
      <c r="B433" s="247"/>
      <c r="C433" s="219"/>
      <c r="D433" s="219"/>
      <c r="E433" s="219"/>
      <c r="F433" s="219"/>
      <c r="G433" s="219"/>
      <c r="H433" s="219"/>
      <c r="I433" s="219"/>
      <c r="J433" s="219"/>
      <c r="K433" s="219"/>
      <c r="L433" s="219"/>
    </row>
    <row r="434" spans="1:12" x14ac:dyDescent="0.25">
      <c r="A434" s="247"/>
      <c r="B434" s="247"/>
      <c r="C434" s="219"/>
      <c r="D434" s="219"/>
      <c r="E434" s="219"/>
      <c r="F434" s="219"/>
      <c r="G434" s="219"/>
      <c r="H434" s="219"/>
      <c r="I434" s="219"/>
      <c r="J434" s="219"/>
      <c r="K434" s="219"/>
      <c r="L434" s="219"/>
    </row>
    <row r="435" spans="1:12" x14ac:dyDescent="0.25">
      <c r="A435" s="247"/>
      <c r="B435" s="247"/>
      <c r="C435" s="219"/>
      <c r="D435" s="219"/>
      <c r="E435" s="219"/>
      <c r="F435" s="219"/>
      <c r="G435" s="219"/>
      <c r="H435" s="219"/>
      <c r="I435" s="219"/>
      <c r="J435" s="219"/>
      <c r="K435" s="219"/>
      <c r="L435" s="219"/>
    </row>
    <row r="436" spans="1:12" x14ac:dyDescent="0.25">
      <c r="A436" s="247"/>
      <c r="B436" s="247"/>
      <c r="C436" s="219"/>
      <c r="D436" s="219"/>
      <c r="E436" s="219"/>
      <c r="F436" s="219"/>
      <c r="G436" s="219"/>
      <c r="H436" s="219"/>
      <c r="I436" s="219"/>
      <c r="J436" s="219"/>
      <c r="K436" s="219"/>
      <c r="L436" s="219"/>
    </row>
    <row r="437" spans="1:12" x14ac:dyDescent="0.25">
      <c r="A437" s="247"/>
      <c r="B437" s="247"/>
      <c r="C437" s="219"/>
      <c r="D437" s="219"/>
      <c r="E437" s="219"/>
      <c r="F437" s="219"/>
      <c r="G437" s="219"/>
      <c r="H437" s="219"/>
      <c r="I437" s="219"/>
      <c r="J437" s="219"/>
      <c r="K437" s="219"/>
      <c r="L437" s="219"/>
    </row>
    <row r="438" spans="1:12" x14ac:dyDescent="0.25">
      <c r="A438" s="247"/>
      <c r="B438" s="247"/>
      <c r="C438" s="219"/>
      <c r="D438" s="219"/>
      <c r="E438" s="219"/>
      <c r="F438" s="219"/>
      <c r="G438" s="219"/>
      <c r="H438" s="219"/>
      <c r="I438" s="219"/>
      <c r="J438" s="219"/>
      <c r="K438" s="219"/>
      <c r="L438" s="219"/>
    </row>
    <row r="439" spans="1:12" x14ac:dyDescent="0.25">
      <c r="A439" s="247"/>
      <c r="B439" s="247"/>
      <c r="C439" s="219"/>
      <c r="D439" s="219"/>
      <c r="E439" s="219"/>
      <c r="F439" s="219"/>
      <c r="G439" s="219"/>
      <c r="H439" s="219"/>
      <c r="I439" s="219"/>
      <c r="J439" s="219"/>
      <c r="K439" s="219"/>
      <c r="L439" s="219"/>
    </row>
    <row r="440" spans="1:12" x14ac:dyDescent="0.25">
      <c r="A440" s="247"/>
      <c r="B440" s="247"/>
      <c r="C440" s="219"/>
      <c r="D440" s="219"/>
      <c r="E440" s="219"/>
      <c r="F440" s="219"/>
      <c r="G440" s="219"/>
      <c r="H440" s="219"/>
      <c r="I440" s="219"/>
      <c r="J440" s="219"/>
      <c r="K440" s="219"/>
      <c r="L440" s="219"/>
    </row>
    <row r="441" spans="1:12" x14ac:dyDescent="0.25">
      <c r="A441" s="247"/>
      <c r="B441" s="247"/>
      <c r="C441" s="219"/>
      <c r="D441" s="219"/>
      <c r="E441" s="219"/>
      <c r="F441" s="219"/>
      <c r="G441" s="219"/>
      <c r="H441" s="219"/>
      <c r="I441" s="219"/>
      <c r="J441" s="219"/>
      <c r="K441" s="219"/>
      <c r="L441" s="219"/>
    </row>
    <row r="442" spans="1:12" x14ac:dyDescent="0.25">
      <c r="A442" s="247"/>
      <c r="B442" s="247"/>
      <c r="C442" s="219"/>
      <c r="D442" s="219"/>
      <c r="E442" s="219"/>
      <c r="F442" s="219"/>
      <c r="G442" s="219"/>
      <c r="H442" s="219"/>
      <c r="I442" s="219"/>
      <c r="J442" s="219"/>
      <c r="K442" s="219"/>
      <c r="L442" s="219"/>
    </row>
    <row r="443" spans="1:12" x14ac:dyDescent="0.25">
      <c r="A443" s="247"/>
      <c r="B443" s="247"/>
      <c r="C443" s="219"/>
      <c r="D443" s="219"/>
      <c r="E443" s="219"/>
      <c r="F443" s="219"/>
      <c r="G443" s="219"/>
      <c r="H443" s="219"/>
      <c r="I443" s="219"/>
      <c r="J443" s="219"/>
      <c r="K443" s="219"/>
      <c r="L443" s="219"/>
    </row>
    <row r="444" spans="1:12" x14ac:dyDescent="0.25">
      <c r="A444" s="247"/>
      <c r="B444" s="247"/>
      <c r="C444" s="219"/>
      <c r="D444" s="219"/>
      <c r="E444" s="219"/>
      <c r="F444" s="219"/>
      <c r="G444" s="219"/>
      <c r="H444" s="219"/>
      <c r="I444" s="219"/>
      <c r="J444" s="219"/>
      <c r="K444" s="219"/>
      <c r="L444" s="219"/>
    </row>
    <row r="445" spans="1:12" x14ac:dyDescent="0.25">
      <c r="A445" s="247"/>
      <c r="B445" s="247"/>
      <c r="C445" s="219"/>
      <c r="D445" s="219"/>
      <c r="E445" s="219"/>
      <c r="F445" s="219"/>
      <c r="G445" s="219"/>
      <c r="H445" s="219"/>
      <c r="I445" s="219"/>
      <c r="J445" s="219"/>
      <c r="K445" s="219"/>
      <c r="L445" s="219"/>
    </row>
    <row r="446" spans="1:12" x14ac:dyDescent="0.25">
      <c r="A446" s="247"/>
      <c r="B446" s="247"/>
      <c r="C446" s="219"/>
      <c r="D446" s="219"/>
      <c r="E446" s="219"/>
      <c r="F446" s="219"/>
      <c r="G446" s="219"/>
      <c r="H446" s="219"/>
      <c r="I446" s="219"/>
      <c r="J446" s="219"/>
      <c r="K446" s="219"/>
      <c r="L446" s="219"/>
    </row>
    <row r="447" spans="1:12" x14ac:dyDescent="0.25">
      <c r="A447" s="247"/>
      <c r="B447" s="247"/>
      <c r="C447" s="219"/>
      <c r="D447" s="219"/>
      <c r="E447" s="219"/>
      <c r="F447" s="219"/>
      <c r="G447" s="219"/>
      <c r="H447" s="219"/>
      <c r="I447" s="219"/>
      <c r="J447" s="219"/>
      <c r="K447" s="219"/>
      <c r="L447" s="219"/>
    </row>
    <row r="448" spans="1:12" x14ac:dyDescent="0.25">
      <c r="A448" s="247"/>
      <c r="B448" s="247"/>
      <c r="C448" s="219"/>
      <c r="D448" s="219"/>
      <c r="E448" s="219"/>
      <c r="F448" s="219"/>
      <c r="G448" s="219"/>
      <c r="H448" s="219"/>
      <c r="I448" s="219"/>
      <c r="J448" s="219"/>
      <c r="K448" s="219"/>
      <c r="L448" s="219"/>
    </row>
    <row r="449" spans="1:12" x14ac:dyDescent="0.25">
      <c r="A449" s="247"/>
      <c r="B449" s="247"/>
      <c r="C449" s="219"/>
      <c r="D449" s="219"/>
      <c r="E449" s="219"/>
      <c r="F449" s="219"/>
      <c r="G449" s="219"/>
      <c r="H449" s="219"/>
      <c r="I449" s="219"/>
      <c r="J449" s="219"/>
      <c r="K449" s="219"/>
      <c r="L449" s="219"/>
    </row>
    <row r="450" spans="1:12" x14ac:dyDescent="0.25">
      <c r="A450" s="247"/>
      <c r="B450" s="247"/>
      <c r="C450" s="219"/>
      <c r="D450" s="219"/>
      <c r="E450" s="219"/>
      <c r="F450" s="219"/>
      <c r="G450" s="219"/>
      <c r="H450" s="219"/>
      <c r="I450" s="219"/>
      <c r="J450" s="219"/>
      <c r="K450" s="219"/>
      <c r="L450" s="219"/>
    </row>
    <row r="451" spans="1:12" x14ac:dyDescent="0.25">
      <c r="A451" s="247"/>
      <c r="B451" s="247"/>
      <c r="C451" s="219"/>
      <c r="D451" s="219"/>
      <c r="E451" s="219"/>
      <c r="F451" s="219"/>
      <c r="G451" s="219"/>
      <c r="H451" s="219"/>
      <c r="I451" s="219"/>
      <c r="J451" s="219"/>
      <c r="K451" s="219"/>
      <c r="L451" s="219"/>
    </row>
    <row r="452" spans="1:12" x14ac:dyDescent="0.25">
      <c r="A452" s="247"/>
      <c r="B452" s="247"/>
      <c r="C452" s="219"/>
      <c r="D452" s="219"/>
      <c r="E452" s="219"/>
      <c r="F452" s="219"/>
      <c r="G452" s="219"/>
      <c r="H452" s="219"/>
      <c r="I452" s="219"/>
      <c r="J452" s="219"/>
      <c r="K452" s="219"/>
      <c r="L452" s="219"/>
    </row>
    <row r="453" spans="1:12" x14ac:dyDescent="0.25">
      <c r="A453" s="247"/>
      <c r="B453" s="247"/>
      <c r="C453" s="219"/>
      <c r="D453" s="219"/>
      <c r="E453" s="219"/>
      <c r="F453" s="219"/>
      <c r="G453" s="219"/>
      <c r="H453" s="219"/>
      <c r="I453" s="219"/>
      <c r="J453" s="219"/>
      <c r="K453" s="219"/>
      <c r="L453" s="219"/>
    </row>
    <row r="454" spans="1:12" x14ac:dyDescent="0.25">
      <c r="A454" s="247"/>
      <c r="B454" s="247"/>
      <c r="C454" s="219"/>
      <c r="D454" s="219"/>
      <c r="E454" s="219"/>
      <c r="F454" s="219"/>
      <c r="G454" s="219"/>
      <c r="H454" s="219"/>
      <c r="I454" s="219"/>
      <c r="J454" s="219"/>
      <c r="K454" s="219"/>
      <c r="L454" s="219"/>
    </row>
    <row r="455" spans="1:12" x14ac:dyDescent="0.25">
      <c r="A455" s="247"/>
      <c r="B455" s="247"/>
      <c r="C455" s="219"/>
      <c r="D455" s="219"/>
      <c r="E455" s="219"/>
      <c r="F455" s="219"/>
      <c r="G455" s="219"/>
      <c r="H455" s="219"/>
      <c r="I455" s="219"/>
      <c r="J455" s="219"/>
      <c r="K455" s="219"/>
      <c r="L455" s="219"/>
    </row>
    <row r="456" spans="1:12" x14ac:dyDescent="0.25">
      <c r="A456" s="247"/>
      <c r="B456" s="247"/>
      <c r="C456" s="219"/>
      <c r="D456" s="219"/>
      <c r="E456" s="219"/>
      <c r="F456" s="219"/>
      <c r="G456" s="219"/>
      <c r="H456" s="219"/>
      <c r="I456" s="219"/>
      <c r="J456" s="219"/>
      <c r="K456" s="219"/>
      <c r="L456" s="219"/>
    </row>
    <row r="457" spans="1:12" x14ac:dyDescent="0.25">
      <c r="A457" s="247"/>
      <c r="B457" s="247"/>
      <c r="C457" s="219"/>
      <c r="D457" s="219"/>
      <c r="E457" s="219"/>
      <c r="F457" s="219"/>
      <c r="G457" s="219"/>
      <c r="H457" s="219"/>
      <c r="I457" s="219"/>
      <c r="J457" s="219"/>
      <c r="K457" s="219"/>
      <c r="L457" s="219"/>
    </row>
    <row r="458" spans="1:12" x14ac:dyDescent="0.25">
      <c r="A458" s="247"/>
      <c r="B458" s="247"/>
      <c r="C458" s="219"/>
      <c r="D458" s="219"/>
      <c r="E458" s="219"/>
      <c r="F458" s="219"/>
      <c r="G458" s="219"/>
      <c r="H458" s="219"/>
      <c r="I458" s="219"/>
      <c r="J458" s="219"/>
      <c r="K458" s="219"/>
      <c r="L458" s="219"/>
    </row>
    <row r="459" spans="1:12" x14ac:dyDescent="0.25">
      <c r="A459" s="247"/>
      <c r="B459" s="247"/>
      <c r="C459" s="219"/>
      <c r="D459" s="219"/>
      <c r="E459" s="219"/>
      <c r="F459" s="219"/>
      <c r="G459" s="219"/>
      <c r="H459" s="219"/>
      <c r="I459" s="219"/>
      <c r="J459" s="219"/>
      <c r="K459" s="219"/>
      <c r="L459" s="219"/>
    </row>
    <row r="460" spans="1:12" x14ac:dyDescent="0.25">
      <c r="A460" s="247"/>
      <c r="B460" s="247"/>
      <c r="C460" s="219"/>
      <c r="D460" s="219"/>
      <c r="E460" s="219"/>
      <c r="F460" s="219"/>
      <c r="G460" s="219"/>
      <c r="H460" s="219"/>
      <c r="I460" s="219"/>
      <c r="J460" s="219"/>
      <c r="K460" s="219"/>
      <c r="L460" s="219"/>
    </row>
    <row r="461" spans="1:12" x14ac:dyDescent="0.25">
      <c r="A461" s="247"/>
      <c r="B461" s="247"/>
      <c r="C461" s="219"/>
      <c r="D461" s="219"/>
      <c r="E461" s="219"/>
      <c r="F461" s="219"/>
      <c r="G461" s="219"/>
      <c r="H461" s="219"/>
      <c r="I461" s="219"/>
      <c r="J461" s="219"/>
      <c r="K461" s="219"/>
      <c r="L461" s="219"/>
    </row>
    <row r="462" spans="1:12" x14ac:dyDescent="0.25">
      <c r="A462" s="247"/>
      <c r="B462" s="247"/>
      <c r="C462" s="219"/>
      <c r="D462" s="219"/>
      <c r="E462" s="219"/>
      <c r="F462" s="219"/>
      <c r="G462" s="219"/>
      <c r="H462" s="219"/>
      <c r="I462" s="219"/>
      <c r="J462" s="219"/>
      <c r="K462" s="219"/>
      <c r="L462" s="219"/>
    </row>
    <row r="463" spans="1:12" x14ac:dyDescent="0.25">
      <c r="A463" s="247"/>
      <c r="B463" s="247"/>
      <c r="C463" s="219"/>
      <c r="D463" s="219"/>
      <c r="E463" s="219"/>
      <c r="F463" s="219"/>
      <c r="G463" s="219"/>
      <c r="H463" s="219"/>
      <c r="I463" s="219"/>
      <c r="J463" s="219"/>
      <c r="K463" s="219"/>
      <c r="L463" s="219"/>
    </row>
    <row r="464" spans="1:12" x14ac:dyDescent="0.25">
      <c r="A464" s="247"/>
      <c r="B464" s="247"/>
      <c r="C464" s="219"/>
      <c r="D464" s="219"/>
      <c r="E464" s="219"/>
      <c r="F464" s="219"/>
      <c r="G464" s="219"/>
      <c r="H464" s="219"/>
      <c r="I464" s="219"/>
      <c r="J464" s="219"/>
      <c r="K464" s="219"/>
      <c r="L464" s="219"/>
    </row>
    <row r="465" spans="1:12" x14ac:dyDescent="0.25">
      <c r="A465" s="247"/>
      <c r="B465" s="247"/>
      <c r="C465" s="219"/>
      <c r="D465" s="219"/>
      <c r="E465" s="219"/>
      <c r="F465" s="219"/>
      <c r="G465" s="219"/>
      <c r="H465" s="219"/>
      <c r="I465" s="219"/>
      <c r="J465" s="219"/>
      <c r="K465" s="219"/>
      <c r="L465" s="219"/>
    </row>
    <row r="466" spans="1:12" x14ac:dyDescent="0.25">
      <c r="A466" s="247"/>
      <c r="B466" s="247"/>
      <c r="C466" s="219"/>
      <c r="D466" s="219"/>
      <c r="E466" s="219"/>
      <c r="F466" s="219"/>
      <c r="G466" s="219"/>
      <c r="H466" s="219"/>
      <c r="I466" s="219"/>
      <c r="J466" s="219"/>
      <c r="K466" s="219"/>
      <c r="L466" s="219"/>
    </row>
    <row r="467" spans="1:12" x14ac:dyDescent="0.25">
      <c r="A467" s="247"/>
      <c r="B467" s="247"/>
      <c r="C467" s="219"/>
      <c r="D467" s="219"/>
      <c r="E467" s="219"/>
      <c r="F467" s="219"/>
      <c r="G467" s="219"/>
      <c r="H467" s="219"/>
      <c r="I467" s="219"/>
      <c r="J467" s="219"/>
      <c r="K467" s="219"/>
      <c r="L467" s="219"/>
    </row>
    <row r="468" spans="1:12" x14ac:dyDescent="0.25">
      <c r="A468" s="247"/>
      <c r="B468" s="247"/>
      <c r="C468" s="219"/>
      <c r="D468" s="219"/>
      <c r="E468" s="219"/>
      <c r="F468" s="219"/>
      <c r="G468" s="219"/>
      <c r="H468" s="219"/>
      <c r="I468" s="219"/>
      <c r="J468" s="219"/>
      <c r="K468" s="219"/>
      <c r="L468" s="219"/>
    </row>
    <row r="469" spans="1:12" x14ac:dyDescent="0.25">
      <c r="A469" s="247"/>
      <c r="B469" s="247"/>
      <c r="C469" s="219"/>
      <c r="D469" s="219"/>
      <c r="E469" s="219"/>
      <c r="F469" s="219"/>
      <c r="G469" s="219"/>
      <c r="H469" s="219"/>
      <c r="I469" s="219"/>
      <c r="J469" s="219"/>
      <c r="K469" s="219"/>
      <c r="L469" s="219"/>
    </row>
    <row r="470" spans="1:12" x14ac:dyDescent="0.25">
      <c r="A470" s="247"/>
      <c r="B470" s="247"/>
      <c r="C470" s="219"/>
      <c r="D470" s="219"/>
      <c r="E470" s="219"/>
      <c r="F470" s="219"/>
      <c r="G470" s="219"/>
      <c r="H470" s="219"/>
      <c r="I470" s="219"/>
      <c r="J470" s="219"/>
      <c r="K470" s="219"/>
      <c r="L470" s="219"/>
    </row>
    <row r="471" spans="1:12" x14ac:dyDescent="0.25">
      <c r="A471" s="247"/>
      <c r="B471" s="247"/>
      <c r="C471" s="219"/>
      <c r="D471" s="219"/>
      <c r="E471" s="219"/>
      <c r="F471" s="219"/>
      <c r="G471" s="219"/>
      <c r="H471" s="219"/>
      <c r="I471" s="219"/>
      <c r="J471" s="219"/>
      <c r="K471" s="219"/>
      <c r="L471" s="219"/>
    </row>
    <row r="472" spans="1:12" x14ac:dyDescent="0.25">
      <c r="A472" s="247"/>
      <c r="B472" s="247"/>
      <c r="C472" s="219"/>
      <c r="D472" s="219"/>
      <c r="E472" s="219"/>
      <c r="F472" s="219"/>
      <c r="G472" s="219"/>
      <c r="H472" s="219"/>
      <c r="I472" s="219"/>
      <c r="J472" s="219"/>
      <c r="K472" s="219"/>
      <c r="L472" s="219"/>
    </row>
    <row r="473" spans="1:12" x14ac:dyDescent="0.25">
      <c r="A473" s="247"/>
      <c r="B473" s="247"/>
      <c r="C473" s="219"/>
      <c r="D473" s="219"/>
      <c r="E473" s="219"/>
      <c r="F473" s="219"/>
      <c r="G473" s="219"/>
      <c r="H473" s="219"/>
      <c r="I473" s="219"/>
      <c r="J473" s="219"/>
      <c r="K473" s="219"/>
      <c r="L473" s="219"/>
    </row>
    <row r="474" spans="1:12" x14ac:dyDescent="0.25">
      <c r="A474" s="247"/>
      <c r="B474" s="247"/>
      <c r="C474" s="219"/>
      <c r="D474" s="219"/>
      <c r="E474" s="219"/>
      <c r="F474" s="219"/>
      <c r="G474" s="219"/>
      <c r="H474" s="219"/>
      <c r="I474" s="219"/>
      <c r="J474" s="219"/>
      <c r="K474" s="219"/>
      <c r="L474" s="219"/>
    </row>
    <row r="475" spans="1:12" x14ac:dyDescent="0.25">
      <c r="A475" s="247"/>
      <c r="B475" s="247"/>
      <c r="C475" s="219"/>
      <c r="D475" s="219"/>
      <c r="E475" s="219"/>
      <c r="F475" s="219"/>
      <c r="G475" s="219"/>
      <c r="H475" s="219"/>
      <c r="I475" s="219"/>
      <c r="J475" s="219"/>
      <c r="K475" s="219"/>
      <c r="L475" s="219"/>
    </row>
    <row r="476" spans="1:12" x14ac:dyDescent="0.25">
      <c r="A476" s="247"/>
      <c r="B476" s="247"/>
      <c r="C476" s="219"/>
      <c r="D476" s="219"/>
      <c r="E476" s="219"/>
      <c r="F476" s="219"/>
      <c r="G476" s="219"/>
      <c r="H476" s="219"/>
      <c r="I476" s="219"/>
      <c r="J476" s="219"/>
      <c r="K476" s="219"/>
      <c r="L476" s="219"/>
    </row>
    <row r="477" spans="1:12" x14ac:dyDescent="0.25">
      <c r="A477" s="247"/>
      <c r="B477" s="247"/>
      <c r="C477" s="219"/>
      <c r="D477" s="219"/>
      <c r="E477" s="219"/>
      <c r="F477" s="219"/>
      <c r="G477" s="219"/>
      <c r="H477" s="219"/>
      <c r="I477" s="219"/>
      <c r="J477" s="219"/>
      <c r="K477" s="219"/>
      <c r="L477" s="219"/>
    </row>
    <row r="478" spans="1:12" x14ac:dyDescent="0.25">
      <c r="A478" s="247"/>
      <c r="B478" s="247"/>
      <c r="C478" s="219"/>
      <c r="D478" s="219"/>
      <c r="E478" s="219"/>
      <c r="F478" s="219"/>
      <c r="G478" s="219"/>
      <c r="H478" s="219"/>
      <c r="I478" s="219"/>
      <c r="J478" s="219"/>
      <c r="K478" s="219"/>
      <c r="L478" s="219"/>
    </row>
    <row r="479" spans="1:12" x14ac:dyDescent="0.25">
      <c r="A479" s="247"/>
      <c r="B479" s="247"/>
      <c r="C479" s="219"/>
      <c r="D479" s="219"/>
      <c r="E479" s="219"/>
      <c r="F479" s="219"/>
      <c r="G479" s="219"/>
      <c r="H479" s="219"/>
      <c r="I479" s="219"/>
      <c r="J479" s="219"/>
      <c r="K479" s="219"/>
      <c r="L479" s="219"/>
    </row>
    <row r="480" spans="1:12" x14ac:dyDescent="0.25">
      <c r="A480" s="247"/>
      <c r="B480" s="247"/>
      <c r="C480" s="219"/>
      <c r="D480" s="219"/>
      <c r="E480" s="219"/>
      <c r="F480" s="219"/>
      <c r="G480" s="219"/>
      <c r="H480" s="219"/>
      <c r="I480" s="219"/>
      <c r="J480" s="219"/>
      <c r="K480" s="219"/>
      <c r="L480" s="219"/>
    </row>
    <row r="481" spans="1:12" x14ac:dyDescent="0.25">
      <c r="A481" s="247"/>
      <c r="B481" s="247"/>
      <c r="C481" s="219"/>
      <c r="D481" s="219"/>
      <c r="E481" s="219"/>
      <c r="F481" s="219"/>
      <c r="G481" s="219"/>
      <c r="H481" s="219"/>
      <c r="I481" s="219"/>
      <c r="J481" s="219"/>
      <c r="K481" s="219"/>
      <c r="L481" s="219"/>
    </row>
    <row r="482" spans="1:12" x14ac:dyDescent="0.25">
      <c r="A482" s="247"/>
      <c r="B482" s="247"/>
      <c r="C482" s="219"/>
      <c r="D482" s="219"/>
      <c r="E482" s="219"/>
      <c r="F482" s="219"/>
      <c r="G482" s="219"/>
      <c r="H482" s="219"/>
      <c r="I482" s="219"/>
      <c r="J482" s="219"/>
      <c r="K482" s="219"/>
      <c r="L482" s="219"/>
    </row>
    <row r="483" spans="1:12" x14ac:dyDescent="0.25">
      <c r="A483" s="247"/>
      <c r="B483" s="247"/>
      <c r="C483" s="219"/>
      <c r="D483" s="219"/>
      <c r="E483" s="219"/>
      <c r="F483" s="219"/>
      <c r="G483" s="219"/>
      <c r="H483" s="219"/>
      <c r="I483" s="219"/>
      <c r="J483" s="219"/>
      <c r="K483" s="219"/>
      <c r="L483" s="219"/>
    </row>
    <row r="484" spans="1:12" x14ac:dyDescent="0.25">
      <c r="A484" s="247"/>
      <c r="B484" s="247"/>
      <c r="C484" s="219"/>
      <c r="D484" s="219"/>
      <c r="E484" s="219"/>
      <c r="F484" s="219"/>
      <c r="G484" s="219"/>
      <c r="H484" s="219"/>
      <c r="I484" s="219"/>
      <c r="J484" s="219"/>
      <c r="K484" s="219"/>
      <c r="L484" s="219"/>
    </row>
    <row r="485" spans="1:12" x14ac:dyDescent="0.25">
      <c r="A485" s="247"/>
      <c r="B485" s="247"/>
      <c r="C485" s="219"/>
      <c r="D485" s="219"/>
      <c r="E485" s="219"/>
      <c r="F485" s="219"/>
      <c r="G485" s="219"/>
      <c r="H485" s="219"/>
      <c r="I485" s="219"/>
      <c r="J485" s="219"/>
      <c r="K485" s="219"/>
      <c r="L485" s="219"/>
    </row>
    <row r="486" spans="1:12" x14ac:dyDescent="0.25">
      <c r="A486" s="247"/>
      <c r="B486" s="247"/>
      <c r="C486" s="219"/>
      <c r="D486" s="219"/>
      <c r="E486" s="219"/>
      <c r="F486" s="219"/>
      <c r="G486" s="219"/>
      <c r="H486" s="219"/>
      <c r="I486" s="219"/>
      <c r="J486" s="219"/>
      <c r="K486" s="219"/>
      <c r="L486" s="219"/>
    </row>
    <row r="487" spans="1:12" x14ac:dyDescent="0.25">
      <c r="A487" s="247"/>
      <c r="B487" s="247"/>
      <c r="C487" s="219"/>
      <c r="D487" s="219"/>
      <c r="E487" s="219"/>
      <c r="F487" s="219"/>
      <c r="G487" s="219"/>
      <c r="H487" s="219"/>
      <c r="I487" s="219"/>
      <c r="J487" s="219"/>
      <c r="K487" s="219"/>
      <c r="L487" s="219"/>
    </row>
    <row r="488" spans="1:12" x14ac:dyDescent="0.25">
      <c r="A488" s="247"/>
      <c r="B488" s="247"/>
      <c r="C488" s="219"/>
      <c r="D488" s="219"/>
      <c r="E488" s="219"/>
      <c r="F488" s="219"/>
      <c r="G488" s="219"/>
      <c r="H488" s="219"/>
      <c r="I488" s="219"/>
      <c r="J488" s="219"/>
      <c r="K488" s="219"/>
      <c r="L488" s="219"/>
    </row>
    <row r="489" spans="1:12" x14ac:dyDescent="0.25">
      <c r="A489" s="247"/>
      <c r="B489" s="247"/>
      <c r="C489" s="219"/>
      <c r="D489" s="219"/>
      <c r="E489" s="219"/>
      <c r="F489" s="219"/>
      <c r="G489" s="219"/>
      <c r="H489" s="219"/>
      <c r="I489" s="219"/>
      <c r="J489" s="219"/>
      <c r="K489" s="219"/>
      <c r="L489" s="219"/>
    </row>
    <row r="490" spans="1:12" x14ac:dyDescent="0.25">
      <c r="A490" s="247"/>
      <c r="B490" s="247"/>
      <c r="C490" s="219"/>
      <c r="D490" s="219"/>
      <c r="E490" s="219"/>
      <c r="F490" s="219"/>
      <c r="G490" s="219"/>
      <c r="H490" s="219"/>
      <c r="I490" s="219"/>
      <c r="J490" s="219"/>
      <c r="K490" s="219"/>
      <c r="L490" s="219"/>
    </row>
    <row r="491" spans="1:12" x14ac:dyDescent="0.25">
      <c r="A491" s="247"/>
      <c r="B491" s="247"/>
      <c r="C491" s="219"/>
      <c r="D491" s="219"/>
      <c r="E491" s="219"/>
      <c r="F491" s="219"/>
      <c r="G491" s="219"/>
      <c r="H491" s="219"/>
      <c r="I491" s="219"/>
      <c r="J491" s="219"/>
      <c r="K491" s="219"/>
      <c r="L491" s="219"/>
    </row>
    <row r="492" spans="1:12" x14ac:dyDescent="0.25">
      <c r="A492" s="247"/>
      <c r="B492" s="247"/>
      <c r="C492" s="219"/>
      <c r="D492" s="219"/>
      <c r="E492" s="219"/>
      <c r="F492" s="219"/>
      <c r="G492" s="219"/>
      <c r="H492" s="219"/>
      <c r="I492" s="219"/>
      <c r="J492" s="219"/>
      <c r="K492" s="219"/>
      <c r="L492" s="219"/>
    </row>
    <row r="493" spans="1:12" x14ac:dyDescent="0.25">
      <c r="A493" s="247"/>
      <c r="B493" s="247"/>
      <c r="C493" s="219"/>
      <c r="D493" s="219"/>
      <c r="E493" s="219"/>
      <c r="F493" s="219"/>
      <c r="G493" s="219"/>
      <c r="H493" s="219"/>
      <c r="I493" s="219"/>
      <c r="J493" s="219"/>
      <c r="K493" s="219"/>
      <c r="L493" s="219"/>
    </row>
    <row r="494" spans="1:12" x14ac:dyDescent="0.25">
      <c r="A494" s="247"/>
      <c r="B494" s="247"/>
      <c r="C494" s="219"/>
      <c r="D494" s="219"/>
      <c r="E494" s="219"/>
      <c r="F494" s="219"/>
      <c r="G494" s="219"/>
      <c r="H494" s="219"/>
      <c r="I494" s="219"/>
      <c r="J494" s="219"/>
      <c r="K494" s="219"/>
      <c r="L494" s="219"/>
    </row>
    <row r="495" spans="1:12" x14ac:dyDescent="0.25">
      <c r="A495" s="247"/>
      <c r="B495" s="247"/>
      <c r="C495" s="219"/>
      <c r="D495" s="219"/>
      <c r="E495" s="219"/>
      <c r="F495" s="219"/>
      <c r="G495" s="219"/>
      <c r="H495" s="219"/>
      <c r="I495" s="219"/>
      <c r="J495" s="219"/>
      <c r="K495" s="219"/>
      <c r="L495" s="219"/>
    </row>
    <row r="496" spans="1:12" x14ac:dyDescent="0.25">
      <c r="A496" s="247"/>
      <c r="B496" s="247"/>
      <c r="C496" s="219"/>
      <c r="D496" s="219"/>
      <c r="E496" s="219"/>
      <c r="F496" s="219"/>
      <c r="G496" s="219"/>
      <c r="H496" s="219"/>
      <c r="I496" s="219"/>
      <c r="J496" s="219"/>
      <c r="K496" s="219"/>
      <c r="L496" s="219"/>
    </row>
    <row r="497" spans="1:12" x14ac:dyDescent="0.25">
      <c r="A497" s="247"/>
      <c r="B497" s="247"/>
      <c r="C497" s="219"/>
      <c r="D497" s="219"/>
      <c r="E497" s="219"/>
      <c r="F497" s="219"/>
      <c r="G497" s="219"/>
      <c r="H497" s="219"/>
      <c r="I497" s="219"/>
      <c r="J497" s="219"/>
      <c r="K497" s="219"/>
      <c r="L497" s="219"/>
    </row>
    <row r="498" spans="1:12" x14ac:dyDescent="0.25">
      <c r="A498" s="247"/>
      <c r="B498" s="247"/>
      <c r="C498" s="219"/>
      <c r="D498" s="219"/>
      <c r="E498" s="219"/>
      <c r="F498" s="219"/>
      <c r="G498" s="219"/>
      <c r="H498" s="219"/>
      <c r="I498" s="219"/>
      <c r="J498" s="219"/>
      <c r="K498" s="219"/>
      <c r="L498" s="219"/>
    </row>
    <row r="499" spans="1:12" x14ac:dyDescent="0.25">
      <c r="A499" s="247"/>
      <c r="B499" s="247"/>
      <c r="C499" s="219"/>
      <c r="D499" s="219"/>
      <c r="E499" s="219"/>
      <c r="F499" s="219"/>
      <c r="G499" s="219"/>
      <c r="H499" s="219"/>
      <c r="I499" s="219"/>
      <c r="J499" s="219"/>
      <c r="K499" s="219"/>
      <c r="L499" s="219"/>
    </row>
    <row r="500" spans="1:12" x14ac:dyDescent="0.25">
      <c r="A500" s="247"/>
      <c r="B500" s="247"/>
      <c r="C500" s="219"/>
      <c r="D500" s="219"/>
      <c r="E500" s="219"/>
      <c r="F500" s="219"/>
      <c r="G500" s="219"/>
      <c r="H500" s="219"/>
      <c r="I500" s="219"/>
      <c r="J500" s="219"/>
      <c r="K500" s="219"/>
      <c r="L500" s="219"/>
    </row>
    <row r="501" spans="1:12" x14ac:dyDescent="0.25">
      <c r="A501" s="247"/>
      <c r="B501" s="247"/>
      <c r="C501" s="219"/>
      <c r="D501" s="219"/>
      <c r="E501" s="219"/>
      <c r="F501" s="219"/>
      <c r="G501" s="219"/>
      <c r="H501" s="219"/>
      <c r="I501" s="219"/>
      <c r="J501" s="219"/>
      <c r="K501" s="219"/>
      <c r="L501" s="219"/>
    </row>
    <row r="502" spans="1:12" x14ac:dyDescent="0.25">
      <c r="A502" s="247"/>
      <c r="B502" s="247"/>
      <c r="C502" s="219"/>
      <c r="D502" s="219"/>
      <c r="E502" s="219"/>
      <c r="F502" s="219"/>
      <c r="G502" s="219"/>
      <c r="H502" s="219"/>
      <c r="I502" s="219"/>
      <c r="J502" s="219"/>
      <c r="K502" s="219"/>
      <c r="L502" s="219"/>
    </row>
    <row r="503" spans="1:12" x14ac:dyDescent="0.25">
      <c r="A503" s="247"/>
      <c r="B503" s="247"/>
      <c r="C503" s="219"/>
      <c r="D503" s="219"/>
      <c r="E503" s="219"/>
      <c r="F503" s="219"/>
      <c r="G503" s="219"/>
      <c r="H503" s="219"/>
      <c r="I503" s="219"/>
      <c r="J503" s="219"/>
      <c r="K503" s="219"/>
      <c r="L503" s="219"/>
    </row>
    <row r="504" spans="1:12" x14ac:dyDescent="0.25">
      <c r="A504" s="247"/>
      <c r="B504" s="247"/>
      <c r="C504" s="219"/>
      <c r="D504" s="219"/>
      <c r="E504" s="219"/>
      <c r="F504" s="219"/>
      <c r="G504" s="219"/>
      <c r="H504" s="219"/>
      <c r="I504" s="219"/>
      <c r="J504" s="219"/>
      <c r="K504" s="219"/>
      <c r="L504" s="219"/>
    </row>
    <row r="505" spans="1:12" x14ac:dyDescent="0.25">
      <c r="A505" s="247"/>
      <c r="B505" s="247"/>
      <c r="C505" s="219"/>
      <c r="D505" s="219"/>
      <c r="E505" s="219"/>
      <c r="F505" s="219"/>
      <c r="G505" s="219"/>
      <c r="H505" s="219"/>
      <c r="I505" s="219"/>
      <c r="J505" s="219"/>
      <c r="K505" s="219"/>
      <c r="L505" s="219"/>
    </row>
    <row r="506" spans="1:12" x14ac:dyDescent="0.25">
      <c r="A506" s="247"/>
      <c r="B506" s="247"/>
      <c r="C506" s="219"/>
      <c r="D506" s="219"/>
      <c r="E506" s="219"/>
      <c r="F506" s="219"/>
      <c r="G506" s="219"/>
      <c r="H506" s="219"/>
      <c r="I506" s="219"/>
      <c r="J506" s="219"/>
      <c r="K506" s="219"/>
      <c r="L506" s="219"/>
    </row>
    <row r="507" spans="1:12" x14ac:dyDescent="0.25">
      <c r="A507" s="247"/>
      <c r="B507" s="247"/>
      <c r="C507" s="219"/>
      <c r="D507" s="219"/>
      <c r="E507" s="219"/>
      <c r="F507" s="219"/>
      <c r="G507" s="219"/>
      <c r="H507" s="219"/>
      <c r="I507" s="219"/>
      <c r="J507" s="219"/>
      <c r="K507" s="219"/>
      <c r="L507" s="219"/>
    </row>
    <row r="508" spans="1:12" x14ac:dyDescent="0.25">
      <c r="A508" s="247"/>
      <c r="B508" s="247"/>
      <c r="C508" s="219"/>
      <c r="D508" s="219"/>
      <c r="E508" s="219"/>
      <c r="F508" s="219"/>
      <c r="G508" s="219"/>
      <c r="H508" s="219"/>
      <c r="I508" s="219"/>
      <c r="J508" s="219"/>
      <c r="K508" s="219"/>
      <c r="L508" s="219"/>
    </row>
    <row r="509" spans="1:12" x14ac:dyDescent="0.25">
      <c r="A509" s="247"/>
      <c r="B509" s="247"/>
      <c r="C509" s="219"/>
      <c r="D509" s="219"/>
      <c r="E509" s="219"/>
      <c r="F509" s="219"/>
      <c r="G509" s="219"/>
      <c r="H509" s="219"/>
      <c r="I509" s="219"/>
      <c r="J509" s="219"/>
      <c r="K509" s="219"/>
      <c r="L509" s="219"/>
    </row>
    <row r="510" spans="1:12" x14ac:dyDescent="0.25">
      <c r="A510" s="247"/>
      <c r="B510" s="247"/>
      <c r="C510" s="219"/>
      <c r="D510" s="219"/>
      <c r="E510" s="219"/>
      <c r="F510" s="219"/>
      <c r="G510" s="219"/>
      <c r="H510" s="219"/>
      <c r="I510" s="219"/>
      <c r="J510" s="219"/>
      <c r="K510" s="219"/>
      <c r="L510" s="219"/>
    </row>
    <row r="511" spans="1:12" x14ac:dyDescent="0.25">
      <c r="A511" s="247"/>
      <c r="B511" s="247"/>
      <c r="C511" s="219"/>
      <c r="D511" s="219"/>
      <c r="E511" s="219"/>
      <c r="F511" s="219"/>
      <c r="G511" s="219"/>
      <c r="H511" s="219"/>
      <c r="I511" s="219"/>
      <c r="J511" s="219"/>
      <c r="K511" s="219"/>
      <c r="L511" s="219"/>
    </row>
    <row r="512" spans="1:12" x14ac:dyDescent="0.25">
      <c r="A512" s="247"/>
      <c r="B512" s="247"/>
      <c r="C512" s="219"/>
      <c r="D512" s="219"/>
      <c r="E512" s="219"/>
      <c r="F512" s="219"/>
      <c r="G512" s="219"/>
      <c r="H512" s="219"/>
      <c r="I512" s="219"/>
      <c r="J512" s="219"/>
      <c r="K512" s="219"/>
      <c r="L512" s="219"/>
    </row>
    <row r="513" spans="1:12" x14ac:dyDescent="0.25">
      <c r="A513" s="247"/>
      <c r="B513" s="247"/>
      <c r="C513" s="219"/>
      <c r="D513" s="219"/>
      <c r="E513" s="219"/>
      <c r="F513" s="219"/>
      <c r="G513" s="219"/>
      <c r="H513" s="219"/>
      <c r="I513" s="219"/>
      <c r="J513" s="219"/>
      <c r="K513" s="219"/>
      <c r="L513" s="219"/>
    </row>
    <row r="514" spans="1:12" x14ac:dyDescent="0.25">
      <c r="A514" s="247"/>
      <c r="B514" s="247"/>
      <c r="C514" s="219"/>
      <c r="D514" s="219"/>
      <c r="E514" s="219"/>
      <c r="F514" s="219"/>
      <c r="G514" s="219"/>
      <c r="H514" s="219"/>
      <c r="I514" s="219"/>
      <c r="J514" s="219"/>
      <c r="K514" s="219"/>
      <c r="L514" s="219"/>
    </row>
    <row r="515" spans="1:12" x14ac:dyDescent="0.25">
      <c r="A515" s="247"/>
      <c r="B515" s="247"/>
      <c r="C515" s="219"/>
      <c r="D515" s="219"/>
      <c r="E515" s="219"/>
      <c r="F515" s="219"/>
      <c r="G515" s="219"/>
      <c r="H515" s="219"/>
      <c r="I515" s="219"/>
      <c r="J515" s="219"/>
      <c r="K515" s="219"/>
      <c r="L515" s="219"/>
    </row>
    <row r="516" spans="1:12" x14ac:dyDescent="0.25">
      <c r="A516" s="247"/>
      <c r="B516" s="247"/>
      <c r="C516" s="219"/>
      <c r="D516" s="219"/>
      <c r="E516" s="219"/>
      <c r="F516" s="219"/>
      <c r="G516" s="219"/>
      <c r="H516" s="219"/>
      <c r="I516" s="219"/>
      <c r="J516" s="219"/>
      <c r="K516" s="219"/>
      <c r="L516" s="219"/>
    </row>
    <row r="517" spans="1:12" x14ac:dyDescent="0.25">
      <c r="A517" s="247"/>
      <c r="B517" s="247"/>
      <c r="C517" s="219"/>
      <c r="D517" s="219"/>
      <c r="E517" s="219"/>
      <c r="F517" s="219"/>
      <c r="G517" s="219"/>
      <c r="H517" s="219"/>
      <c r="I517" s="219"/>
      <c r="J517" s="219"/>
      <c r="K517" s="219"/>
      <c r="L517" s="219"/>
    </row>
    <row r="518" spans="1:12" x14ac:dyDescent="0.25">
      <c r="A518" s="247"/>
      <c r="B518" s="247"/>
      <c r="C518" s="219"/>
      <c r="D518" s="219"/>
      <c r="E518" s="219"/>
      <c r="F518" s="219"/>
      <c r="G518" s="219"/>
      <c r="H518" s="219"/>
      <c r="I518" s="219"/>
      <c r="J518" s="219"/>
      <c r="K518" s="219"/>
      <c r="L518" s="219"/>
    </row>
    <row r="519" spans="1:12" x14ac:dyDescent="0.25">
      <c r="A519" s="247"/>
      <c r="B519" s="247"/>
      <c r="C519" s="219"/>
      <c r="D519" s="219"/>
      <c r="E519" s="219"/>
      <c r="F519" s="219"/>
      <c r="G519" s="219"/>
      <c r="H519" s="219"/>
      <c r="I519" s="219"/>
      <c r="J519" s="219"/>
      <c r="K519" s="219"/>
      <c r="L519" s="219"/>
    </row>
    <row r="520" spans="1:12" x14ac:dyDescent="0.25">
      <c r="A520" s="247"/>
      <c r="B520" s="247"/>
      <c r="C520" s="219"/>
      <c r="D520" s="219"/>
      <c r="E520" s="219"/>
      <c r="F520" s="219"/>
      <c r="G520" s="219"/>
      <c r="H520" s="219"/>
      <c r="I520" s="219"/>
      <c r="J520" s="219"/>
      <c r="K520" s="219"/>
      <c r="L520" s="219"/>
    </row>
    <row r="521" spans="1:12" x14ac:dyDescent="0.25">
      <c r="A521" s="247"/>
      <c r="B521" s="247"/>
      <c r="C521" s="219"/>
      <c r="D521" s="219"/>
      <c r="E521" s="219"/>
      <c r="F521" s="219"/>
      <c r="G521" s="219"/>
      <c r="H521" s="219"/>
      <c r="I521" s="219"/>
      <c r="J521" s="219"/>
      <c r="K521" s="219"/>
      <c r="L521" s="219"/>
    </row>
    <row r="522" spans="1:12" x14ac:dyDescent="0.25">
      <c r="A522" s="247"/>
      <c r="B522" s="247"/>
      <c r="C522" s="219"/>
      <c r="D522" s="219"/>
      <c r="E522" s="219"/>
      <c r="F522" s="219"/>
      <c r="G522" s="219"/>
      <c r="H522" s="219"/>
      <c r="I522" s="219"/>
      <c r="J522" s="219"/>
      <c r="K522" s="219"/>
      <c r="L522" s="219"/>
    </row>
    <row r="523" spans="1:12" x14ac:dyDescent="0.25">
      <c r="A523" s="247"/>
      <c r="B523" s="247"/>
      <c r="C523" s="219"/>
      <c r="D523" s="219"/>
      <c r="E523" s="219"/>
      <c r="F523" s="219"/>
      <c r="G523" s="219"/>
      <c r="H523" s="219"/>
      <c r="I523" s="219"/>
      <c r="J523" s="219"/>
      <c r="K523" s="219"/>
      <c r="L523" s="219"/>
    </row>
    <row r="524" spans="1:12" x14ac:dyDescent="0.25">
      <c r="A524" s="247"/>
      <c r="B524" s="247"/>
      <c r="C524" s="219"/>
      <c r="D524" s="219"/>
      <c r="E524" s="219"/>
      <c r="F524" s="219"/>
      <c r="G524" s="219"/>
      <c r="H524" s="219"/>
      <c r="I524" s="219"/>
      <c r="J524" s="219"/>
      <c r="K524" s="219"/>
      <c r="L524" s="219"/>
    </row>
    <row r="525" spans="1:12" x14ac:dyDescent="0.25">
      <c r="A525" s="247"/>
      <c r="B525" s="247"/>
      <c r="C525" s="219"/>
      <c r="D525" s="219"/>
      <c r="E525" s="219"/>
      <c r="F525" s="219"/>
      <c r="G525" s="219"/>
      <c r="H525" s="219"/>
      <c r="I525" s="219"/>
      <c r="J525" s="219"/>
      <c r="K525" s="219"/>
      <c r="L525" s="219"/>
    </row>
    <row r="526" spans="1:12" x14ac:dyDescent="0.25">
      <c r="A526" s="247"/>
      <c r="B526" s="247"/>
      <c r="C526" s="219"/>
      <c r="D526" s="219"/>
      <c r="E526" s="219"/>
      <c r="F526" s="219"/>
      <c r="G526" s="219"/>
      <c r="H526" s="219"/>
      <c r="I526" s="219"/>
      <c r="J526" s="219"/>
      <c r="K526" s="219"/>
      <c r="L526" s="219"/>
    </row>
    <row r="527" spans="1:12" x14ac:dyDescent="0.25">
      <c r="A527" s="247"/>
      <c r="B527" s="247"/>
      <c r="C527" s="219"/>
      <c r="D527" s="219"/>
      <c r="E527" s="219"/>
      <c r="F527" s="219"/>
      <c r="G527" s="219"/>
      <c r="H527" s="219"/>
      <c r="I527" s="219"/>
      <c r="J527" s="219"/>
      <c r="K527" s="219"/>
      <c r="L527" s="219"/>
    </row>
    <row r="528" spans="1:12" x14ac:dyDescent="0.25">
      <c r="A528" s="247"/>
      <c r="B528" s="247"/>
      <c r="C528" s="219"/>
      <c r="D528" s="219"/>
      <c r="E528" s="219"/>
      <c r="F528" s="219"/>
      <c r="G528" s="219"/>
      <c r="H528" s="219"/>
      <c r="I528" s="219"/>
      <c r="J528" s="219"/>
      <c r="K528" s="219"/>
      <c r="L528" s="219"/>
    </row>
    <row r="529" spans="1:12" x14ac:dyDescent="0.25">
      <c r="A529" s="247"/>
      <c r="B529" s="247"/>
      <c r="C529" s="219"/>
      <c r="D529" s="219"/>
      <c r="E529" s="219"/>
      <c r="F529" s="219"/>
      <c r="G529" s="219"/>
      <c r="H529" s="219"/>
      <c r="I529" s="219"/>
      <c r="J529" s="219"/>
      <c r="K529" s="219"/>
      <c r="L529" s="219"/>
    </row>
    <row r="530" spans="1:12" x14ac:dyDescent="0.25">
      <c r="A530" s="247"/>
      <c r="B530" s="247"/>
      <c r="C530" s="219"/>
      <c r="D530" s="219"/>
      <c r="E530" s="219"/>
      <c r="F530" s="219"/>
      <c r="G530" s="219"/>
      <c r="H530" s="219"/>
      <c r="I530" s="219"/>
      <c r="J530" s="219"/>
      <c r="K530" s="219"/>
      <c r="L530" s="219"/>
    </row>
    <row r="531" spans="1:12" x14ac:dyDescent="0.25">
      <c r="A531" s="247"/>
      <c r="B531" s="247"/>
      <c r="C531" s="219"/>
      <c r="D531" s="219"/>
      <c r="E531" s="219"/>
      <c r="F531" s="219"/>
      <c r="G531" s="219"/>
      <c r="H531" s="219"/>
      <c r="I531" s="219"/>
      <c r="J531" s="219"/>
      <c r="K531" s="219"/>
      <c r="L531" s="219"/>
    </row>
    <row r="532" spans="1:12" x14ac:dyDescent="0.25">
      <c r="A532" s="247"/>
      <c r="B532" s="247"/>
      <c r="C532" s="219"/>
      <c r="D532" s="219"/>
      <c r="E532" s="219"/>
      <c r="F532" s="219"/>
      <c r="G532" s="219"/>
      <c r="H532" s="219"/>
      <c r="I532" s="219"/>
      <c r="J532" s="219"/>
      <c r="K532" s="219"/>
      <c r="L532" s="219"/>
    </row>
    <row r="533" spans="1:12" x14ac:dyDescent="0.25">
      <c r="A533" s="247"/>
      <c r="B533" s="247"/>
      <c r="C533" s="219"/>
      <c r="D533" s="219"/>
      <c r="E533" s="219"/>
      <c r="F533" s="219"/>
      <c r="G533" s="219"/>
      <c r="H533" s="219"/>
      <c r="I533" s="219"/>
      <c r="J533" s="219"/>
      <c r="K533" s="219"/>
      <c r="L533" s="219"/>
    </row>
    <row r="534" spans="1:12" x14ac:dyDescent="0.25">
      <c r="A534" s="247"/>
      <c r="B534" s="247"/>
      <c r="C534" s="219"/>
      <c r="D534" s="219"/>
      <c r="E534" s="219"/>
      <c r="F534" s="219"/>
      <c r="G534" s="219"/>
      <c r="H534" s="219"/>
      <c r="I534" s="219"/>
      <c r="J534" s="219"/>
      <c r="K534" s="219"/>
      <c r="L534" s="219"/>
    </row>
    <row r="535" spans="1:12" x14ac:dyDescent="0.25">
      <c r="A535" s="247"/>
      <c r="B535" s="247"/>
      <c r="C535" s="219"/>
      <c r="D535" s="219"/>
      <c r="E535" s="219"/>
      <c r="F535" s="219"/>
      <c r="G535" s="219"/>
      <c r="H535" s="219"/>
      <c r="I535" s="219"/>
      <c r="J535" s="219"/>
      <c r="K535" s="219"/>
      <c r="L535" s="219"/>
    </row>
    <row r="536" spans="1:12" x14ac:dyDescent="0.25">
      <c r="A536" s="247"/>
      <c r="B536" s="247"/>
      <c r="C536" s="219"/>
      <c r="D536" s="219"/>
      <c r="E536" s="219"/>
      <c r="F536" s="219"/>
      <c r="G536" s="219"/>
      <c r="H536" s="219"/>
      <c r="I536" s="219"/>
      <c r="J536" s="219"/>
      <c r="K536" s="219"/>
      <c r="L536" s="219"/>
    </row>
    <row r="537" spans="1:12" x14ac:dyDescent="0.25">
      <c r="A537" s="247"/>
      <c r="B537" s="247"/>
      <c r="C537" s="219"/>
      <c r="D537" s="219"/>
      <c r="E537" s="219"/>
      <c r="F537" s="219"/>
      <c r="G537" s="219"/>
      <c r="H537" s="219"/>
      <c r="I537" s="219"/>
      <c r="J537" s="219"/>
      <c r="K537" s="219"/>
      <c r="L537" s="219"/>
    </row>
    <row r="538" spans="1:12" x14ac:dyDescent="0.25">
      <c r="A538" s="247"/>
      <c r="B538" s="247"/>
      <c r="C538" s="219"/>
      <c r="D538" s="219"/>
      <c r="E538" s="219"/>
      <c r="F538" s="219"/>
      <c r="G538" s="219"/>
      <c r="H538" s="219"/>
      <c r="I538" s="219"/>
      <c r="J538" s="219"/>
      <c r="K538" s="219"/>
      <c r="L538" s="219"/>
    </row>
    <row r="539" spans="1:12" x14ac:dyDescent="0.25">
      <c r="A539" s="247"/>
      <c r="B539" s="247"/>
      <c r="C539" s="219"/>
      <c r="D539" s="219"/>
      <c r="E539" s="219"/>
      <c r="F539" s="219"/>
      <c r="G539" s="219"/>
      <c r="H539" s="219"/>
      <c r="I539" s="219"/>
      <c r="J539" s="219"/>
      <c r="K539" s="219"/>
      <c r="L539" s="219"/>
    </row>
    <row r="540" spans="1:12" x14ac:dyDescent="0.25">
      <c r="A540" s="247"/>
      <c r="B540" s="247"/>
      <c r="C540" s="219"/>
      <c r="D540" s="219"/>
      <c r="E540" s="219"/>
      <c r="F540" s="219"/>
      <c r="G540" s="219"/>
      <c r="H540" s="219"/>
      <c r="I540" s="219"/>
      <c r="J540" s="219"/>
      <c r="K540" s="219"/>
      <c r="L540" s="219"/>
    </row>
    <row r="541" spans="1:12" x14ac:dyDescent="0.25">
      <c r="A541" s="247"/>
      <c r="B541" s="247"/>
      <c r="C541" s="219"/>
      <c r="D541" s="219"/>
      <c r="E541" s="219"/>
      <c r="F541" s="219"/>
      <c r="G541" s="219"/>
      <c r="H541" s="219"/>
      <c r="I541" s="219"/>
      <c r="J541" s="219"/>
      <c r="K541" s="219"/>
      <c r="L541" s="219"/>
    </row>
    <row r="542" spans="1:12" x14ac:dyDescent="0.25">
      <c r="A542" s="247"/>
      <c r="B542" s="247"/>
      <c r="C542" s="219"/>
      <c r="D542" s="219"/>
      <c r="E542" s="219"/>
      <c r="F542" s="219"/>
      <c r="G542" s="219"/>
      <c r="H542" s="219"/>
      <c r="I542" s="219"/>
      <c r="J542" s="219"/>
      <c r="K542" s="219"/>
      <c r="L542" s="219"/>
    </row>
    <row r="543" spans="1:12" x14ac:dyDescent="0.25">
      <c r="A543" s="247"/>
      <c r="B543" s="247"/>
      <c r="C543" s="219"/>
      <c r="D543" s="219"/>
      <c r="E543" s="219"/>
      <c r="F543" s="219"/>
      <c r="G543" s="219"/>
      <c r="H543" s="219"/>
      <c r="I543" s="219"/>
      <c r="J543" s="219"/>
      <c r="K543" s="219"/>
      <c r="L543" s="219"/>
    </row>
    <row r="544" spans="1:12" x14ac:dyDescent="0.25">
      <c r="A544" s="247"/>
      <c r="B544" s="247"/>
      <c r="C544" s="219"/>
      <c r="D544" s="219"/>
      <c r="E544" s="219"/>
      <c r="F544" s="219"/>
      <c r="G544" s="219"/>
      <c r="H544" s="219"/>
      <c r="I544" s="219"/>
      <c r="J544" s="219"/>
      <c r="K544" s="219"/>
      <c r="L544" s="219"/>
    </row>
    <row r="545" spans="1:12" x14ac:dyDescent="0.25">
      <c r="A545" s="247"/>
      <c r="B545" s="247"/>
      <c r="C545" s="219"/>
      <c r="D545" s="219"/>
      <c r="E545" s="219"/>
      <c r="F545" s="219"/>
      <c r="G545" s="219"/>
      <c r="H545" s="219"/>
      <c r="I545" s="219"/>
      <c r="J545" s="219"/>
      <c r="K545" s="219"/>
      <c r="L545" s="219"/>
    </row>
    <row r="546" spans="1:12" x14ac:dyDescent="0.25">
      <c r="A546" s="247"/>
      <c r="B546" s="247"/>
      <c r="C546" s="219"/>
      <c r="D546" s="219"/>
      <c r="E546" s="219"/>
      <c r="F546" s="219"/>
      <c r="G546" s="219"/>
      <c r="H546" s="219"/>
      <c r="I546" s="219"/>
      <c r="J546" s="219"/>
      <c r="K546" s="219"/>
      <c r="L546" s="219"/>
    </row>
    <row r="547" spans="1:12" x14ac:dyDescent="0.25">
      <c r="A547" s="247"/>
      <c r="B547" s="247"/>
      <c r="C547" s="219"/>
      <c r="D547" s="219"/>
      <c r="E547" s="219"/>
      <c r="F547" s="219"/>
      <c r="G547" s="219"/>
      <c r="H547" s="219"/>
      <c r="I547" s="219"/>
      <c r="J547" s="219"/>
      <c r="K547" s="219"/>
      <c r="L547" s="219"/>
    </row>
    <row r="548" spans="1:12" x14ac:dyDescent="0.25">
      <c r="A548" s="247"/>
      <c r="B548" s="247"/>
      <c r="C548" s="219"/>
      <c r="D548" s="219"/>
      <c r="E548" s="219"/>
      <c r="F548" s="219"/>
      <c r="G548" s="219"/>
      <c r="H548" s="219"/>
      <c r="I548" s="219"/>
      <c r="J548" s="219"/>
      <c r="K548" s="219"/>
      <c r="L548" s="219"/>
    </row>
    <row r="549" spans="1:12" x14ac:dyDescent="0.25">
      <c r="A549" s="247"/>
      <c r="B549" s="247"/>
      <c r="C549" s="219"/>
      <c r="D549" s="219"/>
      <c r="E549" s="219"/>
      <c r="F549" s="219"/>
      <c r="G549" s="219"/>
      <c r="H549" s="219"/>
      <c r="I549" s="219"/>
      <c r="J549" s="219"/>
      <c r="K549" s="219"/>
      <c r="L549" s="219"/>
    </row>
    <row r="550" spans="1:12" x14ac:dyDescent="0.25">
      <c r="A550" s="247"/>
      <c r="B550" s="247"/>
      <c r="C550" s="219"/>
      <c r="D550" s="219"/>
      <c r="E550" s="219"/>
      <c r="F550" s="219"/>
      <c r="G550" s="219"/>
      <c r="H550" s="219"/>
      <c r="I550" s="219"/>
      <c r="J550" s="219"/>
      <c r="K550" s="219"/>
      <c r="L550" s="219"/>
    </row>
    <row r="551" spans="1:12" x14ac:dyDescent="0.25">
      <c r="A551" s="247"/>
      <c r="B551" s="247"/>
      <c r="C551" s="219"/>
      <c r="D551" s="219"/>
      <c r="E551" s="219"/>
      <c r="F551" s="219"/>
      <c r="G551" s="219"/>
      <c r="H551" s="219"/>
      <c r="I551" s="219"/>
      <c r="J551" s="219"/>
      <c r="K551" s="219"/>
      <c r="L551" s="219"/>
    </row>
    <row r="552" spans="1:12" x14ac:dyDescent="0.25">
      <c r="A552" s="247"/>
      <c r="B552" s="247"/>
      <c r="C552" s="219"/>
      <c r="D552" s="219"/>
      <c r="E552" s="219"/>
      <c r="F552" s="219"/>
      <c r="G552" s="219"/>
      <c r="H552" s="219"/>
      <c r="I552" s="219"/>
      <c r="J552" s="219"/>
      <c r="K552" s="219"/>
      <c r="L552" s="219"/>
    </row>
    <row r="553" spans="1:12" x14ac:dyDescent="0.25">
      <c r="A553" s="247"/>
      <c r="B553" s="247"/>
      <c r="C553" s="219"/>
      <c r="D553" s="219"/>
      <c r="E553" s="219"/>
      <c r="F553" s="219"/>
      <c r="G553" s="219"/>
      <c r="H553" s="219"/>
      <c r="I553" s="219"/>
      <c r="J553" s="219"/>
      <c r="K553" s="219"/>
      <c r="L553" s="219"/>
    </row>
    <row r="554" spans="1:12" x14ac:dyDescent="0.25">
      <c r="A554" s="247"/>
      <c r="B554" s="247"/>
      <c r="C554" s="219"/>
      <c r="D554" s="219"/>
      <c r="E554" s="219"/>
      <c r="F554" s="219"/>
      <c r="G554" s="219"/>
      <c r="H554" s="219"/>
      <c r="I554" s="219"/>
      <c r="J554" s="219"/>
      <c r="K554" s="219"/>
      <c r="L554" s="219"/>
    </row>
    <row r="555" spans="1:12" x14ac:dyDescent="0.25">
      <c r="A555" s="247"/>
      <c r="B555" s="247"/>
      <c r="C555" s="219"/>
      <c r="D555" s="219"/>
      <c r="E555" s="219"/>
      <c r="F555" s="219"/>
      <c r="G555" s="219"/>
      <c r="H555" s="219"/>
      <c r="I555" s="219"/>
      <c r="J555" s="219"/>
      <c r="K555" s="219"/>
      <c r="L555" s="219"/>
    </row>
    <row r="556" spans="1:12" x14ac:dyDescent="0.25">
      <c r="A556" s="247"/>
      <c r="B556" s="247"/>
      <c r="C556" s="219"/>
      <c r="D556" s="219"/>
      <c r="E556" s="219"/>
      <c r="F556" s="219"/>
      <c r="G556" s="219"/>
      <c r="H556" s="219"/>
      <c r="I556" s="219"/>
      <c r="J556" s="219"/>
      <c r="K556" s="219"/>
      <c r="L556" s="219"/>
    </row>
    <row r="557" spans="1:12" x14ac:dyDescent="0.25">
      <c r="A557" s="247"/>
      <c r="B557" s="247"/>
      <c r="C557" s="219"/>
      <c r="D557" s="219"/>
      <c r="E557" s="219"/>
      <c r="F557" s="219"/>
      <c r="G557" s="219"/>
      <c r="H557" s="219"/>
      <c r="I557" s="219"/>
      <c r="J557" s="219"/>
      <c r="K557" s="219"/>
      <c r="L557" s="219"/>
    </row>
    <row r="558" spans="1:12" x14ac:dyDescent="0.25">
      <c r="A558" s="247"/>
      <c r="B558" s="247"/>
      <c r="C558" s="219"/>
      <c r="D558" s="219"/>
      <c r="E558" s="219"/>
      <c r="F558" s="219"/>
      <c r="G558" s="219"/>
      <c r="H558" s="219"/>
      <c r="I558" s="219"/>
      <c r="J558" s="219"/>
      <c r="K558" s="219"/>
      <c r="L558" s="219"/>
    </row>
    <row r="559" spans="1:12" x14ac:dyDescent="0.25">
      <c r="A559" s="247"/>
      <c r="B559" s="247"/>
      <c r="C559" s="219"/>
      <c r="D559" s="219"/>
      <c r="E559" s="219"/>
      <c r="F559" s="219"/>
      <c r="G559" s="219"/>
      <c r="H559" s="219"/>
      <c r="I559" s="219"/>
      <c r="J559" s="219"/>
      <c r="K559" s="219"/>
      <c r="L559" s="219"/>
    </row>
    <row r="560" spans="1:12" x14ac:dyDescent="0.25">
      <c r="A560" s="247"/>
      <c r="B560" s="247"/>
      <c r="C560" s="219"/>
      <c r="D560" s="219"/>
      <c r="E560" s="219"/>
      <c r="F560" s="219"/>
      <c r="G560" s="219"/>
      <c r="H560" s="219"/>
      <c r="I560" s="219"/>
      <c r="J560" s="219"/>
      <c r="K560" s="219"/>
      <c r="L560" s="219"/>
    </row>
    <row r="561" spans="1:12" x14ac:dyDescent="0.25">
      <c r="A561" s="247"/>
      <c r="B561" s="247"/>
      <c r="C561" s="219"/>
      <c r="D561" s="219"/>
      <c r="E561" s="219"/>
      <c r="F561" s="219"/>
      <c r="G561" s="219"/>
      <c r="H561" s="219"/>
      <c r="I561" s="219"/>
      <c r="J561" s="219"/>
      <c r="K561" s="219"/>
      <c r="L561" s="219"/>
    </row>
    <row r="562" spans="1:12" x14ac:dyDescent="0.25">
      <c r="A562" s="247"/>
      <c r="B562" s="247"/>
      <c r="C562" s="219"/>
      <c r="D562" s="219"/>
      <c r="E562" s="219"/>
      <c r="F562" s="219"/>
      <c r="G562" s="219"/>
      <c r="H562" s="219"/>
      <c r="I562" s="219"/>
      <c r="J562" s="219"/>
      <c r="K562" s="219"/>
      <c r="L562" s="219"/>
    </row>
    <row r="563" spans="1:12" x14ac:dyDescent="0.25">
      <c r="A563" s="247"/>
      <c r="B563" s="247"/>
      <c r="C563" s="219"/>
      <c r="D563" s="219"/>
      <c r="E563" s="219"/>
      <c r="F563" s="219"/>
      <c r="G563" s="219"/>
      <c r="H563" s="219"/>
      <c r="I563" s="219"/>
      <c r="J563" s="219"/>
      <c r="K563" s="219"/>
      <c r="L563" s="219"/>
    </row>
    <row r="564" spans="1:12" x14ac:dyDescent="0.25">
      <c r="A564" s="247"/>
      <c r="B564" s="247"/>
      <c r="C564" s="219"/>
      <c r="D564" s="219"/>
      <c r="E564" s="219"/>
      <c r="F564" s="219"/>
      <c r="G564" s="219"/>
      <c r="H564" s="219"/>
      <c r="I564" s="219"/>
      <c r="J564" s="219"/>
      <c r="K564" s="219"/>
      <c r="L564" s="219"/>
    </row>
    <row r="565" spans="1:12" x14ac:dyDescent="0.25">
      <c r="A565" s="247"/>
      <c r="B565" s="247"/>
      <c r="C565" s="219"/>
      <c r="D565" s="219"/>
      <c r="E565" s="219"/>
      <c r="F565" s="219"/>
      <c r="G565" s="219"/>
      <c r="H565" s="219"/>
      <c r="I565" s="219"/>
      <c r="J565" s="219"/>
      <c r="K565" s="219"/>
      <c r="L565" s="219"/>
    </row>
    <row r="566" spans="1:12" x14ac:dyDescent="0.25">
      <c r="A566" s="247"/>
      <c r="B566" s="247"/>
      <c r="C566" s="219"/>
      <c r="D566" s="219"/>
      <c r="E566" s="219"/>
      <c r="F566" s="219"/>
      <c r="G566" s="219"/>
      <c r="H566" s="219"/>
      <c r="I566" s="219"/>
      <c r="J566" s="219"/>
      <c r="K566" s="219"/>
      <c r="L566" s="219"/>
    </row>
    <row r="567" spans="1:12" x14ac:dyDescent="0.25">
      <c r="A567" s="247"/>
      <c r="B567" s="247"/>
      <c r="C567" s="219"/>
      <c r="D567" s="219"/>
      <c r="E567" s="219"/>
      <c r="F567" s="219"/>
      <c r="G567" s="219"/>
      <c r="H567" s="219"/>
      <c r="I567" s="219"/>
      <c r="J567" s="219"/>
      <c r="K567" s="219"/>
      <c r="L567" s="219"/>
    </row>
    <row r="568" spans="1:12" x14ac:dyDescent="0.25">
      <c r="A568" s="247"/>
      <c r="B568" s="247"/>
      <c r="C568" s="219"/>
      <c r="D568" s="219"/>
      <c r="E568" s="219"/>
      <c r="F568" s="219"/>
      <c r="G568" s="219"/>
      <c r="H568" s="219"/>
      <c r="I568" s="219"/>
      <c r="J568" s="219"/>
      <c r="K568" s="219"/>
      <c r="L568" s="219"/>
    </row>
    <row r="569" spans="1:12" x14ac:dyDescent="0.25">
      <c r="A569" s="247"/>
      <c r="B569" s="247"/>
      <c r="C569" s="219"/>
      <c r="D569" s="219"/>
      <c r="E569" s="219"/>
      <c r="F569" s="219"/>
      <c r="G569" s="219"/>
      <c r="H569" s="219"/>
      <c r="I569" s="219"/>
      <c r="J569" s="219"/>
      <c r="K569" s="219"/>
      <c r="L569" s="219"/>
    </row>
    <row r="570" spans="1:12" x14ac:dyDescent="0.25">
      <c r="A570" s="247"/>
      <c r="B570" s="247"/>
      <c r="C570" s="219"/>
      <c r="D570" s="219"/>
      <c r="E570" s="219"/>
      <c r="F570" s="219"/>
      <c r="G570" s="219"/>
      <c r="H570" s="219"/>
      <c r="I570" s="219"/>
      <c r="J570" s="219"/>
      <c r="K570" s="219"/>
      <c r="L570" s="219"/>
    </row>
    <row r="571" spans="1:12" x14ac:dyDescent="0.25">
      <c r="A571" s="247"/>
      <c r="B571" s="247"/>
      <c r="C571" s="219"/>
      <c r="D571" s="219"/>
      <c r="E571" s="219"/>
      <c r="F571" s="219"/>
      <c r="G571" s="219"/>
      <c r="H571" s="219"/>
      <c r="I571" s="219"/>
      <c r="J571" s="219"/>
      <c r="K571" s="219"/>
      <c r="L571" s="219"/>
    </row>
    <row r="572" spans="1:12" x14ac:dyDescent="0.25">
      <c r="A572" s="247"/>
      <c r="B572" s="247"/>
      <c r="C572" s="219"/>
      <c r="D572" s="219"/>
      <c r="E572" s="219"/>
      <c r="F572" s="219"/>
      <c r="G572" s="219"/>
      <c r="H572" s="219"/>
      <c r="I572" s="219"/>
      <c r="J572" s="219"/>
      <c r="K572" s="219"/>
      <c r="L572" s="219"/>
    </row>
    <row r="573" spans="1:12" x14ac:dyDescent="0.25">
      <c r="A573" s="247"/>
      <c r="B573" s="247"/>
      <c r="C573" s="219"/>
      <c r="D573" s="219"/>
      <c r="E573" s="219"/>
      <c r="F573" s="219"/>
      <c r="G573" s="219"/>
      <c r="H573" s="219"/>
      <c r="I573" s="219"/>
      <c r="J573" s="219"/>
      <c r="K573" s="219"/>
      <c r="L573" s="219"/>
    </row>
    <row r="574" spans="1:12" x14ac:dyDescent="0.25">
      <c r="A574" s="247"/>
      <c r="B574" s="247"/>
      <c r="C574" s="219"/>
      <c r="D574" s="219"/>
      <c r="E574" s="219"/>
      <c r="F574" s="219"/>
      <c r="G574" s="219"/>
      <c r="H574" s="219"/>
      <c r="I574" s="219"/>
      <c r="J574" s="219"/>
      <c r="K574" s="219"/>
      <c r="L574" s="219"/>
    </row>
    <row r="575" spans="1:12" x14ac:dyDescent="0.25">
      <c r="A575" s="247"/>
      <c r="B575" s="247"/>
      <c r="C575" s="219"/>
      <c r="D575" s="219"/>
      <c r="E575" s="219"/>
      <c r="F575" s="219"/>
      <c r="G575" s="219"/>
      <c r="H575" s="219"/>
      <c r="I575" s="219"/>
      <c r="J575" s="219"/>
      <c r="K575" s="219"/>
      <c r="L575" s="219"/>
    </row>
    <row r="576" spans="1:12" x14ac:dyDescent="0.25">
      <c r="A576" s="247"/>
      <c r="B576" s="247"/>
      <c r="C576" s="219"/>
      <c r="D576" s="219"/>
      <c r="E576" s="219"/>
      <c r="F576" s="219"/>
      <c r="G576" s="219"/>
      <c r="H576" s="219"/>
      <c r="I576" s="219"/>
      <c r="J576" s="219"/>
      <c r="K576" s="219"/>
      <c r="L576" s="219"/>
    </row>
    <row r="577" spans="1:12" x14ac:dyDescent="0.25">
      <c r="A577" s="247"/>
      <c r="B577" s="247"/>
      <c r="C577" s="219"/>
      <c r="D577" s="219"/>
      <c r="E577" s="219"/>
      <c r="F577" s="219"/>
      <c r="G577" s="219"/>
      <c r="H577" s="219"/>
      <c r="I577" s="219"/>
      <c r="J577" s="219"/>
      <c r="K577" s="219"/>
      <c r="L577" s="219"/>
    </row>
    <row r="578" spans="1:12" x14ac:dyDescent="0.25">
      <c r="A578" s="247"/>
      <c r="B578" s="247"/>
      <c r="C578" s="219"/>
      <c r="D578" s="219"/>
      <c r="E578" s="219"/>
      <c r="F578" s="219"/>
      <c r="G578" s="219"/>
      <c r="H578" s="219"/>
      <c r="I578" s="219"/>
      <c r="J578" s="219"/>
      <c r="K578" s="219"/>
      <c r="L578" s="219"/>
    </row>
    <row r="579" spans="1:12" x14ac:dyDescent="0.25">
      <c r="A579" s="247"/>
      <c r="B579" s="247"/>
      <c r="C579" s="219"/>
      <c r="D579" s="219"/>
      <c r="E579" s="219"/>
      <c r="F579" s="219"/>
      <c r="G579" s="219"/>
      <c r="H579" s="219"/>
      <c r="I579" s="219"/>
      <c r="J579" s="219"/>
      <c r="K579" s="219"/>
      <c r="L579" s="219"/>
    </row>
    <row r="580" spans="1:12" x14ac:dyDescent="0.25">
      <c r="A580" s="247"/>
      <c r="B580" s="247"/>
      <c r="C580" s="219"/>
      <c r="D580" s="219"/>
      <c r="E580" s="219"/>
      <c r="F580" s="219"/>
      <c r="G580" s="219"/>
      <c r="H580" s="219"/>
      <c r="I580" s="219"/>
      <c r="J580" s="219"/>
      <c r="K580" s="219"/>
      <c r="L580" s="219"/>
    </row>
    <row r="581" spans="1:12" x14ac:dyDescent="0.25">
      <c r="A581" s="247"/>
      <c r="B581" s="247"/>
      <c r="C581" s="219"/>
      <c r="D581" s="219"/>
      <c r="E581" s="219"/>
      <c r="F581" s="219"/>
      <c r="G581" s="219"/>
      <c r="H581" s="219"/>
      <c r="I581" s="219"/>
      <c r="J581" s="219"/>
      <c r="K581" s="219"/>
      <c r="L581" s="219"/>
    </row>
    <row r="582" spans="1:12" x14ac:dyDescent="0.25">
      <c r="A582" s="247"/>
      <c r="B582" s="247"/>
      <c r="C582" s="219"/>
      <c r="D582" s="219"/>
      <c r="E582" s="219"/>
      <c r="F582" s="219"/>
      <c r="G582" s="219"/>
      <c r="H582" s="219"/>
      <c r="I582" s="219"/>
      <c r="J582" s="219"/>
      <c r="K582" s="219"/>
      <c r="L582" s="219"/>
    </row>
    <row r="583" spans="1:12" x14ac:dyDescent="0.25">
      <c r="A583" s="247"/>
      <c r="B583" s="247"/>
      <c r="C583" s="219"/>
      <c r="D583" s="219"/>
      <c r="E583" s="219"/>
      <c r="F583" s="219"/>
      <c r="G583" s="219"/>
      <c r="H583" s="219"/>
      <c r="I583" s="219"/>
      <c r="J583" s="219"/>
      <c r="K583" s="219"/>
      <c r="L583" s="219"/>
    </row>
    <row r="584" spans="1:12" x14ac:dyDescent="0.25">
      <c r="A584" s="247"/>
      <c r="B584" s="247"/>
      <c r="C584" s="219"/>
      <c r="D584" s="219"/>
      <c r="E584" s="219"/>
      <c r="F584" s="219"/>
      <c r="G584" s="219"/>
      <c r="H584" s="219"/>
      <c r="I584" s="219"/>
      <c r="J584" s="219"/>
      <c r="K584" s="219"/>
      <c r="L584" s="219"/>
    </row>
    <row r="585" spans="1:12" x14ac:dyDescent="0.25">
      <c r="A585" s="247"/>
      <c r="B585" s="247"/>
      <c r="C585" s="219"/>
      <c r="D585" s="219"/>
      <c r="E585" s="219"/>
      <c r="F585" s="219"/>
      <c r="G585" s="219"/>
      <c r="H585" s="219"/>
      <c r="I585" s="219"/>
      <c r="J585" s="219"/>
      <c r="K585" s="219"/>
      <c r="L585" s="219"/>
    </row>
    <row r="586" spans="1:12" x14ac:dyDescent="0.25">
      <c r="A586" s="247"/>
      <c r="B586" s="247"/>
      <c r="C586" s="219"/>
      <c r="D586" s="219"/>
      <c r="E586" s="219"/>
      <c r="F586" s="219"/>
      <c r="G586" s="219"/>
      <c r="H586" s="219"/>
      <c r="I586" s="219"/>
      <c r="J586" s="219"/>
      <c r="K586" s="219"/>
      <c r="L586" s="219"/>
    </row>
    <row r="587" spans="1:12" x14ac:dyDescent="0.25">
      <c r="A587" s="247"/>
      <c r="B587" s="247"/>
      <c r="C587" s="219"/>
      <c r="D587" s="219"/>
      <c r="E587" s="219"/>
      <c r="F587" s="219"/>
      <c r="G587" s="219"/>
      <c r="H587" s="219"/>
      <c r="I587" s="219"/>
      <c r="J587" s="219"/>
      <c r="K587" s="219"/>
      <c r="L587" s="219"/>
    </row>
    <row r="588" spans="1:12" x14ac:dyDescent="0.25">
      <c r="A588" s="247"/>
      <c r="B588" s="247"/>
      <c r="C588" s="219"/>
      <c r="D588" s="219"/>
      <c r="E588" s="219"/>
      <c r="F588" s="219"/>
      <c r="G588" s="219"/>
      <c r="H588" s="219"/>
      <c r="I588" s="219"/>
      <c r="J588" s="219"/>
      <c r="K588" s="219"/>
      <c r="L588" s="219"/>
    </row>
    <row r="589" spans="1:12" x14ac:dyDescent="0.25">
      <c r="A589" s="247"/>
      <c r="B589" s="247"/>
      <c r="C589" s="219"/>
      <c r="D589" s="219"/>
      <c r="E589" s="219"/>
      <c r="F589" s="219"/>
      <c r="G589" s="219"/>
      <c r="H589" s="219"/>
      <c r="I589" s="219"/>
      <c r="J589" s="219"/>
      <c r="K589" s="219"/>
      <c r="L589" s="219"/>
    </row>
    <row r="590" spans="1:12" x14ac:dyDescent="0.25">
      <c r="A590" s="247"/>
      <c r="B590" s="247"/>
      <c r="C590" s="219"/>
      <c r="D590" s="219"/>
      <c r="E590" s="219"/>
      <c r="F590" s="219"/>
      <c r="G590" s="219"/>
      <c r="H590" s="219"/>
      <c r="I590" s="219"/>
      <c r="J590" s="219"/>
      <c r="K590" s="219"/>
      <c r="L590" s="219"/>
    </row>
    <row r="591" spans="1:12" x14ac:dyDescent="0.25">
      <c r="A591" s="247"/>
      <c r="B591" s="247"/>
      <c r="C591" s="219"/>
      <c r="D591" s="219"/>
      <c r="E591" s="219"/>
      <c r="F591" s="219"/>
      <c r="G591" s="219"/>
      <c r="H591" s="219"/>
      <c r="I591" s="219"/>
      <c r="J591" s="219"/>
      <c r="K591" s="219"/>
      <c r="L591" s="219"/>
    </row>
    <row r="592" spans="1:12" x14ac:dyDescent="0.25">
      <c r="A592" s="247"/>
      <c r="B592" s="247"/>
      <c r="C592" s="219"/>
      <c r="D592" s="219"/>
      <c r="E592" s="219"/>
      <c r="F592" s="219"/>
      <c r="G592" s="219"/>
      <c r="H592" s="219"/>
      <c r="I592" s="219"/>
      <c r="J592" s="219"/>
      <c r="K592" s="219"/>
      <c r="L592" s="219"/>
    </row>
    <row r="593" spans="1:12" x14ac:dyDescent="0.25">
      <c r="A593" s="247"/>
      <c r="B593" s="247"/>
      <c r="C593" s="219"/>
      <c r="D593" s="219"/>
      <c r="E593" s="219"/>
      <c r="F593" s="219"/>
      <c r="G593" s="219"/>
      <c r="H593" s="219"/>
      <c r="I593" s="219"/>
      <c r="J593" s="219"/>
      <c r="K593" s="219"/>
      <c r="L593" s="219"/>
    </row>
  </sheetData>
  <mergeCells count="1">
    <mergeCell ref="F72:G72"/>
  </mergeCells>
  <conditionalFormatting sqref="K3:K21">
    <cfRule type="dataBar" priority="6">
      <dataBar>
        <cfvo type="min"/>
        <cfvo type="max"/>
        <color rgb="FFD6007B"/>
      </dataBar>
      <extLst>
        <ext xmlns:x14="http://schemas.microsoft.com/office/spreadsheetml/2009/9/main" uri="{B025F937-C7B1-47D3-B67F-A62EFF666E3E}">
          <x14:id>{F9A49CC0-4614-4A43-9924-39B29F4CA0DE}</x14:id>
        </ext>
      </extLst>
    </cfRule>
  </conditionalFormatting>
  <conditionalFormatting sqref="K25:K57">
    <cfRule type="dataBar" priority="2">
      <dataBar>
        <cfvo type="min"/>
        <cfvo type="max"/>
        <color rgb="FF008AEF"/>
      </dataBar>
      <extLst>
        <ext xmlns:x14="http://schemas.microsoft.com/office/spreadsheetml/2009/9/main" uri="{B025F937-C7B1-47D3-B67F-A62EFF666E3E}">
          <x14:id>{84023B1D-A1F3-4D67-A903-ACB08C74DCB0}</x14:id>
        </ext>
      </extLst>
    </cfRule>
  </conditionalFormatting>
  <conditionalFormatting sqref="K28 K25 K34 K46 K57">
    <cfRule type="dataBar" priority="1">
      <dataBar>
        <cfvo type="min"/>
        <cfvo type="max"/>
        <color rgb="FF63C384"/>
      </dataBar>
      <extLst>
        <ext xmlns:x14="http://schemas.microsoft.com/office/spreadsheetml/2009/9/main" uri="{B025F937-C7B1-47D3-B67F-A62EFF666E3E}">
          <x14:id>{739A4DEF-8FBE-46BB-8F33-F0910FF19DBD}</x14:id>
        </ext>
      </extLst>
    </cfRule>
  </conditionalFormatting>
  <pageMargins left="0.7" right="0.7" top="0.75" bottom="0.75" header="0.3" footer="0.3"/>
  <pageSetup paperSize="9" orientation="portrait" verticalDpi="0" r:id="rId1"/>
  <legacyDrawing r:id="rId2"/>
  <extLst>
    <ext xmlns:x14="http://schemas.microsoft.com/office/spreadsheetml/2009/9/main" uri="{78C0D931-6437-407d-A8EE-F0AAD7539E65}">
      <x14:conditionalFormattings>
        <x14:conditionalFormatting xmlns:xm="http://schemas.microsoft.com/office/excel/2006/main">
          <x14:cfRule type="dataBar" id="{F9A49CC0-4614-4A43-9924-39B29F4CA0DE}">
            <x14:dataBar minLength="0" maxLength="100" border="1" negativeBarBorderColorSameAsPositive="0">
              <x14:cfvo type="autoMin"/>
              <x14:cfvo type="autoMax"/>
              <x14:borderColor rgb="FFD6007B"/>
              <x14:negativeFillColor rgb="FFFF0000"/>
              <x14:negativeBorderColor rgb="FFFF0000"/>
              <x14:axisColor rgb="FF000000"/>
            </x14:dataBar>
          </x14:cfRule>
          <xm:sqref>K3:K21</xm:sqref>
        </x14:conditionalFormatting>
        <x14:conditionalFormatting xmlns:xm="http://schemas.microsoft.com/office/excel/2006/main">
          <x14:cfRule type="dataBar" id="{84023B1D-A1F3-4D67-A903-ACB08C74DCB0}">
            <x14:dataBar minLength="0" maxLength="100" border="1" negativeBarBorderColorSameAsPositive="0">
              <x14:cfvo type="autoMin"/>
              <x14:cfvo type="autoMax"/>
              <x14:borderColor rgb="FF008AEF"/>
              <x14:negativeFillColor rgb="FFFF0000"/>
              <x14:negativeBorderColor rgb="FFFF0000"/>
              <x14:axisColor rgb="FF000000"/>
            </x14:dataBar>
          </x14:cfRule>
          <xm:sqref>K25:K57</xm:sqref>
        </x14:conditionalFormatting>
        <x14:conditionalFormatting xmlns:xm="http://schemas.microsoft.com/office/excel/2006/main">
          <x14:cfRule type="dataBar" id="{739A4DEF-8FBE-46BB-8F33-F0910FF19DBD}">
            <x14:dataBar minLength="0" maxLength="100" border="1" negativeBarBorderColorSameAsPositive="0">
              <x14:cfvo type="autoMin"/>
              <x14:cfvo type="autoMax"/>
              <x14:borderColor rgb="FF63C384"/>
              <x14:negativeFillColor rgb="FFFF0000"/>
              <x14:negativeBorderColor rgb="FFFF0000"/>
              <x14:axisColor rgb="FF000000"/>
            </x14:dataBar>
          </x14:cfRule>
          <xm:sqref>K28 K25 K34 K46 K57</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7"/>
  <sheetViews>
    <sheetView tabSelected="1" zoomScale="90" zoomScaleNormal="90" workbookViewId="0">
      <selection activeCell="F36" sqref="F36"/>
    </sheetView>
  </sheetViews>
  <sheetFormatPr defaultRowHeight="15" x14ac:dyDescent="0.25"/>
  <cols>
    <col min="1" max="1" width="39.42578125" customWidth="1"/>
    <col min="3" max="5" width="12" bestFit="1" customWidth="1"/>
    <col min="6" max="6" width="10.7109375" customWidth="1"/>
  </cols>
  <sheetData>
    <row r="1" spans="1:20" ht="18.75" x14ac:dyDescent="0.3">
      <c r="A1" s="201" t="s">
        <v>385</v>
      </c>
    </row>
    <row r="2" spans="1:20" ht="15.75" thickBot="1" x14ac:dyDescent="0.3">
      <c r="K2" s="4"/>
      <c r="L2" s="4"/>
    </row>
    <row r="3" spans="1:20" ht="15.75" x14ac:dyDescent="0.25">
      <c r="A3" s="729" t="s">
        <v>555</v>
      </c>
      <c r="B3" s="699">
        <f>CFS!B1</f>
        <v>2015</v>
      </c>
      <c r="C3" s="699">
        <f>CFS!C1</f>
        <v>2016</v>
      </c>
      <c r="D3" s="699">
        <f>CFS!D1</f>
        <v>2017</v>
      </c>
      <c r="E3" s="699">
        <f>CFS!E1</f>
        <v>2018</v>
      </c>
      <c r="F3" s="693" t="str">
        <f>CFS!F1</f>
        <v>2019 E</v>
      </c>
      <c r="G3" s="693" t="str">
        <f>CFS!G1</f>
        <v>2020 E</v>
      </c>
      <c r="H3" s="693" t="str">
        <f>CFS!H1</f>
        <v>2021 E</v>
      </c>
      <c r="I3" s="693" t="str">
        <f>CFS!I1</f>
        <v>2022 E</v>
      </c>
      <c r="J3" s="731" t="str">
        <f>CFS!J1</f>
        <v>2023 E</v>
      </c>
      <c r="K3" s="287"/>
      <c r="L3" s="4"/>
    </row>
    <row r="4" spans="1:20" hidden="1" x14ac:dyDescent="0.25">
      <c r="A4" s="593" t="s">
        <v>335</v>
      </c>
      <c r="B4" s="14">
        <v>2197</v>
      </c>
      <c r="C4" s="14">
        <v>2133</v>
      </c>
      <c r="D4" s="14">
        <v>1932</v>
      </c>
      <c r="E4" s="14">
        <v>1226</v>
      </c>
      <c r="F4" s="479"/>
      <c r="G4" s="479"/>
      <c r="H4" s="479"/>
      <c r="I4" s="479"/>
      <c r="J4" s="599"/>
      <c r="K4" s="4"/>
      <c r="L4" s="4"/>
    </row>
    <row r="5" spans="1:20" ht="15.75" hidden="1" x14ac:dyDescent="0.25">
      <c r="A5" s="711" t="s">
        <v>438</v>
      </c>
      <c r="B5" s="598"/>
      <c r="C5" s="704">
        <f>C4/B4-1</f>
        <v>-2.9130632680928525E-2</v>
      </c>
      <c r="D5" s="704">
        <f>D4/C4-1</f>
        <v>-9.4233473980309457E-2</v>
      </c>
      <c r="E5" s="704">
        <f>E4/D4-1</f>
        <v>-0.36542443064182195</v>
      </c>
      <c r="F5" s="694"/>
      <c r="G5" s="694"/>
      <c r="H5" s="694"/>
      <c r="I5" s="694"/>
      <c r="J5" s="732"/>
      <c r="K5" s="4"/>
      <c r="L5" s="4"/>
    </row>
    <row r="6" spans="1:20" hidden="1" x14ac:dyDescent="0.25">
      <c r="A6" s="712" t="s">
        <v>336</v>
      </c>
      <c r="B6" s="14">
        <v>-94</v>
      </c>
      <c r="C6" s="14">
        <v>-95</v>
      </c>
      <c r="D6" s="14">
        <v>-93</v>
      </c>
      <c r="E6" s="14">
        <v>-78</v>
      </c>
      <c r="F6" s="479"/>
      <c r="G6" s="479"/>
      <c r="H6" s="479"/>
      <c r="I6" s="479"/>
      <c r="J6" s="599"/>
      <c r="K6" s="4"/>
      <c r="L6" s="4"/>
    </row>
    <row r="7" spans="1:20" s="3" customFormat="1" hidden="1" x14ac:dyDescent="0.25">
      <c r="A7" s="713" t="s">
        <v>337</v>
      </c>
      <c r="B7" s="474">
        <f>B4+B6</f>
        <v>2103</v>
      </c>
      <c r="C7" s="474">
        <f>C4+C6</f>
        <v>2038</v>
      </c>
      <c r="D7" s="474">
        <f>D4+D6</f>
        <v>1839</v>
      </c>
      <c r="E7" s="474">
        <f>E4+E6</f>
        <v>1148</v>
      </c>
      <c r="F7" s="478"/>
      <c r="G7" s="478"/>
      <c r="H7" s="478"/>
      <c r="I7" s="478"/>
      <c r="J7" s="733"/>
      <c r="K7" s="4"/>
      <c r="L7" s="4"/>
    </row>
    <row r="8" spans="1:20" hidden="1" x14ac:dyDescent="0.25">
      <c r="A8" s="593" t="s">
        <v>334</v>
      </c>
      <c r="B8" s="14">
        <v>5652</v>
      </c>
      <c r="C8" s="14">
        <v>5085</v>
      </c>
      <c r="D8" s="14">
        <v>4479</v>
      </c>
      <c r="E8" s="14">
        <v>3757</v>
      </c>
      <c r="F8" s="479"/>
      <c r="G8" s="479"/>
      <c r="H8" s="479"/>
      <c r="I8" s="479"/>
      <c r="J8" s="599"/>
      <c r="K8" s="360"/>
      <c r="L8" s="4"/>
    </row>
    <row r="9" spans="1:20" hidden="1" x14ac:dyDescent="0.25">
      <c r="A9" s="711" t="s">
        <v>438</v>
      </c>
      <c r="B9" s="14"/>
      <c r="C9" s="704">
        <f>C8/B8-1</f>
        <v>-0.10031847133757965</v>
      </c>
      <c r="D9" s="704">
        <f>D8/C8-1</f>
        <v>-0.11917404129793507</v>
      </c>
      <c r="E9" s="704">
        <f>E8/D8-1</f>
        <v>-0.16119669569100248</v>
      </c>
      <c r="F9" s="479"/>
      <c r="G9" s="479"/>
      <c r="H9" s="479"/>
      <c r="I9" s="479"/>
      <c r="J9" s="599"/>
      <c r="K9" s="692">
        <f>F16-E16</f>
        <v>-220.20637780064408</v>
      </c>
      <c r="L9" s="692">
        <f>G16-F16</f>
        <v>-208.67669780776123</v>
      </c>
      <c r="M9" s="691">
        <f>H16-G16</f>
        <v>-208.92216837578871</v>
      </c>
      <c r="N9" s="691">
        <f>I16-H16</f>
        <v>-204.65859441797602</v>
      </c>
      <c r="O9" s="691">
        <f>J16-I16</f>
        <v>-203.22316312574912</v>
      </c>
    </row>
    <row r="10" spans="1:20" hidden="1" x14ac:dyDescent="0.25">
      <c r="A10" s="712" t="s">
        <v>336</v>
      </c>
      <c r="B10" s="14">
        <v>-2105</v>
      </c>
      <c r="C10" s="14">
        <v>-1851</v>
      </c>
      <c r="D10" s="14">
        <v>-1686</v>
      </c>
      <c r="E10" s="14">
        <v>-1468</v>
      </c>
      <c r="F10" s="479"/>
      <c r="G10" s="479"/>
      <c r="H10" s="479"/>
      <c r="I10" s="479"/>
      <c r="J10" s="599"/>
      <c r="K10" s="294"/>
      <c r="L10" s="4"/>
    </row>
    <row r="11" spans="1:20" s="3" customFormat="1" hidden="1" x14ac:dyDescent="0.25">
      <c r="A11" s="713" t="s">
        <v>337</v>
      </c>
      <c r="B11" s="474">
        <f t="shared" ref="B11:D11" si="0">B10+B8</f>
        <v>3547</v>
      </c>
      <c r="C11" s="474">
        <f t="shared" si="0"/>
        <v>3234</v>
      </c>
      <c r="D11" s="474">
        <f t="shared" si="0"/>
        <v>2793</v>
      </c>
      <c r="E11" s="474">
        <f>E10+E8</f>
        <v>2289</v>
      </c>
      <c r="F11" s="478"/>
      <c r="G11" s="478"/>
      <c r="H11" s="478"/>
      <c r="I11" s="478"/>
      <c r="J11" s="733"/>
      <c r="K11" s="360"/>
      <c r="L11" s="4"/>
      <c r="M11"/>
      <c r="N11"/>
      <c r="O11"/>
    </row>
    <row r="12" spans="1:20" hidden="1" x14ac:dyDescent="0.25">
      <c r="A12" s="593" t="s">
        <v>333</v>
      </c>
      <c r="B12" s="705">
        <v>8152</v>
      </c>
      <c r="C12" s="705">
        <v>7599</v>
      </c>
      <c r="D12" s="705">
        <v>7407</v>
      </c>
      <c r="E12" s="705">
        <v>6989</v>
      </c>
      <c r="F12" s="479"/>
      <c r="G12" s="479"/>
      <c r="H12" s="479"/>
      <c r="I12" s="479"/>
      <c r="J12" s="599"/>
      <c r="K12" s="4"/>
      <c r="L12" s="4"/>
    </row>
    <row r="13" spans="1:20" hidden="1" x14ac:dyDescent="0.25">
      <c r="A13" s="712" t="s">
        <v>399</v>
      </c>
      <c r="B13" s="14">
        <v>-5033</v>
      </c>
      <c r="C13" s="14">
        <v>-4748</v>
      </c>
      <c r="D13" s="14">
        <v>-4750</v>
      </c>
      <c r="E13" s="14">
        <v>-4548</v>
      </c>
      <c r="F13" s="479"/>
      <c r="G13" s="479"/>
      <c r="H13" s="479"/>
      <c r="I13" s="479"/>
      <c r="J13" s="599"/>
      <c r="K13" s="4"/>
      <c r="L13" s="4"/>
    </row>
    <row r="14" spans="1:20" s="3" customFormat="1" hidden="1" x14ac:dyDescent="0.25">
      <c r="A14" s="592" t="str">
        <f>A11</f>
        <v>Net PPE</v>
      </c>
      <c r="B14" s="475">
        <f t="shared" ref="B14:D14" si="1">B13+B12</f>
        <v>3119</v>
      </c>
      <c r="C14" s="475">
        <f t="shared" si="1"/>
        <v>2851</v>
      </c>
      <c r="D14" s="475">
        <f t="shared" si="1"/>
        <v>2657</v>
      </c>
      <c r="E14" s="475">
        <f>E13+E12</f>
        <v>2441</v>
      </c>
      <c r="F14" s="478"/>
      <c r="G14" s="478"/>
      <c r="H14" s="478"/>
      <c r="I14" s="478"/>
      <c r="J14" s="733"/>
      <c r="K14" s="4"/>
      <c r="L14" s="4"/>
    </row>
    <row r="15" spans="1:20" x14ac:dyDescent="0.25">
      <c r="A15" s="593" t="s">
        <v>75</v>
      </c>
      <c r="B15" s="526">
        <f>B12+B8+B4</f>
        <v>16001</v>
      </c>
      <c r="C15" s="526">
        <f>C12+C8+C4</f>
        <v>14817</v>
      </c>
      <c r="D15" s="526">
        <f>D12+D8+D4</f>
        <v>13818</v>
      </c>
      <c r="E15" s="526">
        <f>E12+E8+E4</f>
        <v>11972</v>
      </c>
      <c r="F15" s="289">
        <f>E15-F29+F45</f>
        <v>12380.796819216948</v>
      </c>
      <c r="G15" s="289">
        <f>F15-G29+G45</f>
        <v>12789.966814918442</v>
      </c>
      <c r="H15" s="289">
        <f>G15-H29+H45</f>
        <v>13199.618125459203</v>
      </c>
      <c r="I15" s="289">
        <f>H15-I29+I45</f>
        <v>13600.909487063078</v>
      </c>
      <c r="J15" s="716">
        <f>I15-J29+J45</f>
        <v>13999.386277505724</v>
      </c>
      <c r="K15" s="4"/>
      <c r="L15" s="4"/>
    </row>
    <row r="16" spans="1:20" x14ac:dyDescent="0.25">
      <c r="A16" s="712" t="s">
        <v>336</v>
      </c>
      <c r="B16" s="14">
        <f>B13+B10+B6</f>
        <v>-7232</v>
      </c>
      <c r="C16" s="14">
        <f>C13+C10+C6</f>
        <v>-6694</v>
      </c>
      <c r="D16" s="14">
        <f>D13+D10+D6</f>
        <v>-6529</v>
      </c>
      <c r="E16" s="14">
        <f>E13+E10+E6</f>
        <v>-6094</v>
      </c>
      <c r="F16" s="289">
        <f>F15*F17</f>
        <v>-6314.2063778006441</v>
      </c>
      <c r="G16" s="289">
        <f t="shared" ref="G16:J16" si="2">G15*G17</f>
        <v>-6522.8830756084053</v>
      </c>
      <c r="H16" s="289">
        <f t="shared" si="2"/>
        <v>-6731.805243984194</v>
      </c>
      <c r="I16" s="289">
        <f t="shared" si="2"/>
        <v>-6936.46383840217</v>
      </c>
      <c r="J16" s="716">
        <f t="shared" si="2"/>
        <v>-7139.6870015279192</v>
      </c>
      <c r="K16" s="4"/>
      <c r="L16" s="4"/>
      <c r="Q16" s="200"/>
      <c r="R16" s="200"/>
      <c r="S16" s="200"/>
      <c r="T16" s="200"/>
    </row>
    <row r="17" spans="1:12" ht="15.75" thickBot="1" x14ac:dyDescent="0.3">
      <c r="A17" s="712" t="s">
        <v>440</v>
      </c>
      <c r="B17" s="706">
        <f t="shared" ref="B17:D17" si="3">B16/B15</f>
        <v>-0.45197175176551463</v>
      </c>
      <c r="C17" s="706">
        <f t="shared" si="3"/>
        <v>-0.45177836269150301</v>
      </c>
      <c r="D17" s="706">
        <f t="shared" si="3"/>
        <v>-0.47249963815313362</v>
      </c>
      <c r="E17" s="706">
        <f>E16/E15</f>
        <v>-0.50902104911460078</v>
      </c>
      <c r="F17" s="75">
        <v>-0.51</v>
      </c>
      <c r="G17" s="75">
        <f>F17</f>
        <v>-0.51</v>
      </c>
      <c r="H17" s="75">
        <f t="shared" ref="H17:J17" si="4">G17</f>
        <v>-0.51</v>
      </c>
      <c r="I17" s="75">
        <f t="shared" si="4"/>
        <v>-0.51</v>
      </c>
      <c r="J17" s="734">
        <f t="shared" si="4"/>
        <v>-0.51</v>
      </c>
      <c r="K17" s="4"/>
      <c r="L17" s="4"/>
    </row>
    <row r="18" spans="1:12" ht="15.75" thickBot="1" x14ac:dyDescent="0.3">
      <c r="A18" s="714" t="s">
        <v>337</v>
      </c>
      <c r="B18" s="409">
        <f t="shared" ref="B18:D18" si="5">B15+B16</f>
        <v>8769</v>
      </c>
      <c r="C18" s="409">
        <f t="shared" si="5"/>
        <v>8123</v>
      </c>
      <c r="D18" s="409">
        <f t="shared" si="5"/>
        <v>7289</v>
      </c>
      <c r="E18" s="409">
        <f>E15+E16</f>
        <v>5878</v>
      </c>
      <c r="F18" s="279">
        <f>F15+F16</f>
        <v>6066.5904414163042</v>
      </c>
      <c r="G18" s="279">
        <f t="shared" ref="G18:J18" si="6">G15+G16</f>
        <v>6267.0837393100364</v>
      </c>
      <c r="H18" s="279">
        <f t="shared" si="6"/>
        <v>6467.8128814750089</v>
      </c>
      <c r="I18" s="279">
        <f t="shared" si="6"/>
        <v>6664.4456486609079</v>
      </c>
      <c r="J18" s="720">
        <f t="shared" si="6"/>
        <v>6859.699275977805</v>
      </c>
      <c r="K18" s="4"/>
      <c r="L18" s="4"/>
    </row>
    <row r="19" spans="1:12" x14ac:dyDescent="0.25">
      <c r="A19" s="593" t="s">
        <v>413</v>
      </c>
      <c r="B19" s="14"/>
      <c r="C19" s="14"/>
      <c r="D19" s="526"/>
      <c r="E19" s="14"/>
      <c r="F19" s="66"/>
      <c r="G19" s="66"/>
      <c r="H19" s="66"/>
      <c r="I19" s="66"/>
      <c r="J19" s="499"/>
    </row>
    <row r="20" spans="1:12" ht="15.75" thickBot="1" x14ac:dyDescent="0.3">
      <c r="A20" s="593"/>
      <c r="B20" s="14"/>
      <c r="C20" s="14"/>
      <c r="D20" s="14"/>
      <c r="E20" s="14"/>
      <c r="F20" s="66"/>
      <c r="G20" s="66"/>
      <c r="H20" s="66"/>
      <c r="I20" s="66"/>
      <c r="J20" s="499"/>
    </row>
    <row r="21" spans="1:12" s="278" customFormat="1" ht="15.75" thickBot="1" x14ac:dyDescent="0.3">
      <c r="A21" s="507"/>
      <c r="B21" s="700">
        <f>B38</f>
        <v>2015</v>
      </c>
      <c r="C21" s="701">
        <f t="shared" ref="C21:J21" si="7">C38</f>
        <v>2016</v>
      </c>
      <c r="D21" s="508">
        <f t="shared" si="7"/>
        <v>2017</v>
      </c>
      <c r="E21" s="508">
        <f t="shared" si="7"/>
        <v>2018</v>
      </c>
      <c r="F21" s="695" t="str">
        <f t="shared" si="7"/>
        <v>2019 E</v>
      </c>
      <c r="G21" s="695" t="str">
        <f t="shared" si="7"/>
        <v>2020 E</v>
      </c>
      <c r="H21" s="695" t="str">
        <f t="shared" si="7"/>
        <v>2021 E</v>
      </c>
      <c r="I21" s="695" t="str">
        <f t="shared" si="7"/>
        <v>2022 E</v>
      </c>
      <c r="J21" s="696" t="str">
        <f t="shared" si="7"/>
        <v>2023 E</v>
      </c>
    </row>
    <row r="22" spans="1:12" hidden="1" x14ac:dyDescent="0.25">
      <c r="A22" s="593" t="s">
        <v>416</v>
      </c>
      <c r="B22" s="476">
        <v>202</v>
      </c>
      <c r="C22" s="525">
        <v>198</v>
      </c>
      <c r="D22" s="14">
        <v>-183</v>
      </c>
      <c r="E22" s="14">
        <v>-212</v>
      </c>
      <c r="F22" s="485"/>
      <c r="G22" s="289"/>
      <c r="H22" s="289"/>
      <c r="I22" s="289"/>
      <c r="J22" s="716"/>
    </row>
    <row r="23" spans="1:12" hidden="1" x14ac:dyDescent="0.25">
      <c r="A23" s="593" t="s">
        <v>417</v>
      </c>
      <c r="B23" s="476">
        <v>1283</v>
      </c>
      <c r="C23" s="525">
        <v>968</v>
      </c>
      <c r="D23" s="14">
        <v>-931</v>
      </c>
      <c r="E23" s="14">
        <v>-881</v>
      </c>
      <c r="F23" s="717"/>
      <c r="G23" s="718"/>
      <c r="H23" s="718"/>
      <c r="I23" s="718"/>
      <c r="J23" s="719"/>
    </row>
    <row r="24" spans="1:12" hidden="1" x14ac:dyDescent="0.25">
      <c r="A24" s="593" t="s">
        <v>437</v>
      </c>
      <c r="B24" s="476">
        <v>80</v>
      </c>
      <c r="C24" s="525">
        <v>79</v>
      </c>
      <c r="D24" s="14">
        <v>-130</v>
      </c>
      <c r="E24" s="14">
        <v>-59</v>
      </c>
      <c r="F24" s="289"/>
      <c r="G24" s="289"/>
      <c r="H24" s="289"/>
      <c r="I24" s="289"/>
      <c r="J24" s="716"/>
    </row>
    <row r="25" spans="1:12" hidden="1" x14ac:dyDescent="0.25">
      <c r="A25" s="593" t="s">
        <v>418</v>
      </c>
      <c r="B25" s="476">
        <v>-58</v>
      </c>
      <c r="C25" s="525">
        <v>27</v>
      </c>
      <c r="D25" s="14">
        <v>-31</v>
      </c>
      <c r="E25" s="14">
        <v>-46</v>
      </c>
      <c r="F25" s="289"/>
      <c r="G25" s="289"/>
      <c r="H25" s="289"/>
      <c r="I25" s="289"/>
      <c r="J25" s="716"/>
    </row>
    <row r="26" spans="1:12" hidden="1" x14ac:dyDescent="0.25">
      <c r="A26" s="593" t="s">
        <v>414</v>
      </c>
      <c r="B26" s="476">
        <v>-14</v>
      </c>
      <c r="C26" s="525">
        <v>-31</v>
      </c>
      <c r="D26" s="14">
        <v>14</v>
      </c>
      <c r="E26" s="14">
        <v>2</v>
      </c>
      <c r="F26" s="289"/>
      <c r="G26" s="289"/>
      <c r="H26" s="289"/>
      <c r="I26" s="289"/>
      <c r="J26" s="716"/>
    </row>
    <row r="27" spans="1:12" hidden="1" x14ac:dyDescent="0.25">
      <c r="A27" s="593" t="s">
        <v>415</v>
      </c>
      <c r="B27" s="476">
        <v>-5</v>
      </c>
      <c r="C27" s="525">
        <v>-15</v>
      </c>
      <c r="D27" s="14">
        <v>14</v>
      </c>
      <c r="E27" s="14">
        <v>11</v>
      </c>
      <c r="F27" s="289"/>
      <c r="G27" s="289"/>
      <c r="H27" s="289"/>
      <c r="I27" s="289"/>
      <c r="J27" s="716"/>
    </row>
    <row r="28" spans="1:12" ht="15.75" hidden="1" thickBot="1" x14ac:dyDescent="0.3">
      <c r="A28" s="593" t="s">
        <v>419</v>
      </c>
      <c r="B28" s="476">
        <v>-266</v>
      </c>
      <c r="C28" s="525">
        <v>-66</v>
      </c>
      <c r="D28" s="14"/>
      <c r="E28" s="14"/>
      <c r="F28" s="289"/>
      <c r="G28" s="66"/>
      <c r="H28" s="66"/>
      <c r="I28" s="66"/>
      <c r="J28" s="499"/>
    </row>
    <row r="29" spans="1:12" s="278" customFormat="1" ht="15.75" thickBot="1" x14ac:dyDescent="0.3">
      <c r="A29" s="502" t="s">
        <v>447</v>
      </c>
      <c r="B29" s="707">
        <f>-SUM(B22:B28)</f>
        <v>-1222</v>
      </c>
      <c r="C29" s="708">
        <f>-SUM(C22:C28)</f>
        <v>-1160</v>
      </c>
      <c r="D29" s="409">
        <f t="shared" ref="D29" si="8">SUM(D22:D27)</f>
        <v>-1247</v>
      </c>
      <c r="E29" s="409">
        <f>SUM(E22:E27)</f>
        <v>-1185</v>
      </c>
      <c r="F29" s="279">
        <f>F36*IS!J3</f>
        <v>-1021.99204804237</v>
      </c>
      <c r="G29" s="279">
        <f>G36*IS!K3</f>
        <v>-1022.9249892537313</v>
      </c>
      <c r="H29" s="279">
        <f>H36*IS!L3</f>
        <v>-1024.128276351905</v>
      </c>
      <c r="I29" s="279">
        <f>I36*IS!M3</f>
        <v>-1003.2284040096895</v>
      </c>
      <c r="J29" s="720">
        <f>J36*IS!N3</f>
        <v>-996.19197610661581</v>
      </c>
    </row>
    <row r="30" spans="1:12" x14ac:dyDescent="0.25">
      <c r="A30" s="593" t="s">
        <v>444</v>
      </c>
      <c r="B30" s="526">
        <v>-619</v>
      </c>
      <c r="C30" s="526">
        <v>-631</v>
      </c>
      <c r="D30" s="526">
        <v>-639</v>
      </c>
      <c r="E30" s="14">
        <v>-556</v>
      </c>
      <c r="F30" s="289">
        <v>-350</v>
      </c>
      <c r="G30" s="289">
        <v>-345</v>
      </c>
      <c r="H30" s="289">
        <v>-340</v>
      </c>
      <c r="I30" s="289">
        <v>-335</v>
      </c>
      <c r="J30" s="716">
        <v>-330</v>
      </c>
    </row>
    <row r="31" spans="1:12" x14ac:dyDescent="0.25">
      <c r="A31" s="715" t="s">
        <v>449</v>
      </c>
      <c r="B31" s="709">
        <f t="shared" ref="B31:D31" si="9">B30/B29</f>
        <v>0.50654664484451717</v>
      </c>
      <c r="C31" s="709">
        <f t="shared" si="9"/>
        <v>0.54396551724137931</v>
      </c>
      <c r="D31" s="709">
        <f t="shared" si="9"/>
        <v>0.51242983159583</v>
      </c>
      <c r="E31" s="709">
        <f>E30/E29</f>
        <v>0.46919831223628694</v>
      </c>
      <c r="F31" s="721">
        <f>-F30/F29</f>
        <v>-0.34246841809623318</v>
      </c>
      <c r="G31" s="721">
        <f t="shared" ref="G31:J31" si="10">G30/G29</f>
        <v>0.337268131705036</v>
      </c>
      <c r="H31" s="721">
        <f t="shared" si="10"/>
        <v>0.33198966169660876</v>
      </c>
      <c r="I31" s="721">
        <f t="shared" si="10"/>
        <v>0.33392196498930515</v>
      </c>
      <c r="J31" s="722">
        <f t="shared" si="10"/>
        <v>0.33126145152235426</v>
      </c>
    </row>
    <row r="32" spans="1:12" x14ac:dyDescent="0.25">
      <c r="A32" s="593" t="s">
        <v>445</v>
      </c>
      <c r="B32" s="526">
        <v>-555</v>
      </c>
      <c r="C32" s="526">
        <v>-486</v>
      </c>
      <c r="D32" s="526">
        <v>-540</v>
      </c>
      <c r="E32" s="526">
        <v>-549</v>
      </c>
      <c r="F32" s="289">
        <f>F33*F29</f>
        <v>459.89642161906653</v>
      </c>
      <c r="G32" s="289">
        <f t="shared" ref="G32:J32" si="11">G33*G29</f>
        <v>450.08699527164174</v>
      </c>
      <c r="H32" s="289">
        <f t="shared" si="11"/>
        <v>460.85772435835725</v>
      </c>
      <c r="I32" s="289">
        <f t="shared" si="11"/>
        <v>451.45278180436026</v>
      </c>
      <c r="J32" s="716">
        <f t="shared" si="11"/>
        <v>448.28638924797713</v>
      </c>
    </row>
    <row r="33" spans="1:10" x14ac:dyDescent="0.25">
      <c r="A33" s="715" t="s">
        <v>449</v>
      </c>
      <c r="B33" s="709">
        <f t="shared" ref="B33:D33" si="12">B32/B29</f>
        <v>0.45417348608837971</v>
      </c>
      <c r="C33" s="709">
        <f t="shared" si="12"/>
        <v>0.41896551724137931</v>
      </c>
      <c r="D33" s="709">
        <f t="shared" si="12"/>
        <v>0.4330392943063352</v>
      </c>
      <c r="E33" s="709">
        <f>E32/E29</f>
        <v>0.46329113924050636</v>
      </c>
      <c r="F33" s="723">
        <v>-0.45</v>
      </c>
      <c r="G33" s="723">
        <v>-0.44</v>
      </c>
      <c r="H33" s="723">
        <v>-0.45</v>
      </c>
      <c r="I33" s="723">
        <v>-0.45</v>
      </c>
      <c r="J33" s="724">
        <v>-0.45</v>
      </c>
    </row>
    <row r="34" spans="1:10" x14ac:dyDescent="0.25">
      <c r="A34" s="593" t="s">
        <v>446</v>
      </c>
      <c r="B34" s="526">
        <v>-47</v>
      </c>
      <c r="C34" s="526">
        <v>-43</v>
      </c>
      <c r="D34" s="526">
        <v>-69</v>
      </c>
      <c r="E34" s="526">
        <v>-80</v>
      </c>
      <c r="F34" s="289">
        <f>F35*F29</f>
        <v>-212.09562642330354</v>
      </c>
      <c r="G34" s="289">
        <f t="shared" ref="G34:J34" si="13">G35*G29</f>
        <v>-1128.011984525373</v>
      </c>
      <c r="H34" s="289">
        <f t="shared" si="13"/>
        <v>-1144.9860007102623</v>
      </c>
      <c r="I34" s="289">
        <f t="shared" si="13"/>
        <v>-1119.6811858140497</v>
      </c>
      <c r="J34" s="716">
        <f t="shared" si="13"/>
        <v>-1114.4783653545928</v>
      </c>
    </row>
    <row r="35" spans="1:10" x14ac:dyDescent="0.25">
      <c r="A35" s="715" t="s">
        <v>449</v>
      </c>
      <c r="B35" s="709">
        <f t="shared" ref="B35:D35" si="14">B34/B29</f>
        <v>3.8461538461538464E-2</v>
      </c>
      <c r="C35" s="709">
        <f t="shared" si="14"/>
        <v>3.7068965517241377E-2</v>
      </c>
      <c r="D35" s="709">
        <f t="shared" si="14"/>
        <v>5.5332798716920609E-2</v>
      </c>
      <c r="E35" s="709">
        <f>E34/E29</f>
        <v>6.7510548523206745E-2</v>
      </c>
      <c r="F35" s="725">
        <f>1+(F33+F31)</f>
        <v>0.20753158190376686</v>
      </c>
      <c r="G35" s="725">
        <f>1-(G33+G31)</f>
        <v>1.1027318682949641</v>
      </c>
      <c r="H35" s="725">
        <f t="shared" ref="H35:J35" si="15">1-(H33+H31)</f>
        <v>1.1180103383033912</v>
      </c>
      <c r="I35" s="725">
        <f t="shared" si="15"/>
        <v>1.1160780350106949</v>
      </c>
      <c r="J35" s="726">
        <f t="shared" si="15"/>
        <v>1.1187385484776458</v>
      </c>
    </row>
    <row r="36" spans="1:10" s="3" customFormat="1" x14ac:dyDescent="0.25">
      <c r="A36" s="592" t="s">
        <v>448</v>
      </c>
      <c r="B36" s="710">
        <f>B29/IS!F3</f>
        <v>-3.4605799728137744E-2</v>
      </c>
      <c r="C36" s="710">
        <f>C29/IS!G3</f>
        <v>-3.2195392728281987E-2</v>
      </c>
      <c r="D36" s="710">
        <f>D29/IS!H3</f>
        <v>-3.3262203254201123E-2</v>
      </c>
      <c r="E36" s="710">
        <f>E29/IS!I3</f>
        <v>-3.2373511091683967E-2</v>
      </c>
      <c r="F36" s="727">
        <v>-2.7E-2</v>
      </c>
      <c r="G36" s="727">
        <v>-2.6499999999999999E-2</v>
      </c>
      <c r="H36" s="727">
        <v>-2.5999999999999999E-2</v>
      </c>
      <c r="I36" s="727">
        <v>-2.5000000000000001E-2</v>
      </c>
      <c r="J36" s="728">
        <v>-2.4500000000000001E-2</v>
      </c>
    </row>
    <row r="37" spans="1:10" ht="15.75" thickBot="1" x14ac:dyDescent="0.3">
      <c r="A37" s="593"/>
      <c r="B37" s="526"/>
      <c r="C37" s="526"/>
      <c r="D37" s="526"/>
      <c r="E37" s="526"/>
      <c r="F37" s="66"/>
      <c r="G37" s="66"/>
      <c r="H37" s="66"/>
      <c r="I37" s="66"/>
      <c r="J37" s="499"/>
    </row>
    <row r="38" spans="1:10" s="3" customFormat="1" ht="15.75" thickBot="1" x14ac:dyDescent="0.3">
      <c r="A38" s="507" t="str">
        <f>A1</f>
        <v>Depreciation Schedule</v>
      </c>
      <c r="B38" s="508">
        <f t="shared" ref="B38:J38" si="16">B3</f>
        <v>2015</v>
      </c>
      <c r="C38" s="508">
        <f t="shared" si="16"/>
        <v>2016</v>
      </c>
      <c r="D38" s="508">
        <f t="shared" si="16"/>
        <v>2017</v>
      </c>
      <c r="E38" s="508">
        <f t="shared" si="16"/>
        <v>2018</v>
      </c>
      <c r="F38" s="695" t="str">
        <f t="shared" si="16"/>
        <v>2019 E</v>
      </c>
      <c r="G38" s="695" t="str">
        <f t="shared" si="16"/>
        <v>2020 E</v>
      </c>
      <c r="H38" s="695" t="str">
        <f t="shared" si="16"/>
        <v>2021 E</v>
      </c>
      <c r="I38" s="695" t="str">
        <f t="shared" si="16"/>
        <v>2022 E</v>
      </c>
      <c r="J38" s="696" t="str">
        <f t="shared" si="16"/>
        <v>2023 E</v>
      </c>
    </row>
    <row r="39" spans="1:10" hidden="1" x14ac:dyDescent="0.25">
      <c r="A39" s="593" t="s">
        <v>406</v>
      </c>
      <c r="B39" s="14">
        <v>-140</v>
      </c>
      <c r="C39" s="14">
        <v>-136</v>
      </c>
      <c r="D39" s="14">
        <v>-122</v>
      </c>
      <c r="E39" s="14">
        <v>-126</v>
      </c>
      <c r="F39" s="66"/>
      <c r="G39" s="66"/>
      <c r="H39" s="66"/>
      <c r="I39" s="66"/>
      <c r="J39" s="499"/>
    </row>
    <row r="40" spans="1:10" hidden="1" x14ac:dyDescent="0.25">
      <c r="A40" s="593" t="s">
        <v>407</v>
      </c>
      <c r="B40" s="526">
        <v>-709</v>
      </c>
      <c r="C40" s="526">
        <v>-600</v>
      </c>
      <c r="D40" s="526">
        <v>-553</v>
      </c>
      <c r="E40" s="526">
        <v>-522</v>
      </c>
      <c r="F40" s="66"/>
      <c r="G40" s="66"/>
      <c r="H40" s="66"/>
      <c r="I40" s="66"/>
      <c r="J40" s="499"/>
    </row>
    <row r="41" spans="1:10" hidden="1" x14ac:dyDescent="0.25">
      <c r="A41" s="593" t="s">
        <v>408</v>
      </c>
      <c r="B41" s="14">
        <v>-35</v>
      </c>
      <c r="C41" s="14">
        <v>-10</v>
      </c>
      <c r="D41" s="14">
        <v>-12</v>
      </c>
      <c r="E41" s="14">
        <v>-8</v>
      </c>
      <c r="F41" s="66"/>
      <c r="G41" s="66"/>
      <c r="H41" s="66"/>
      <c r="I41" s="66"/>
      <c r="J41" s="499"/>
    </row>
    <row r="42" spans="1:10" hidden="1" x14ac:dyDescent="0.25">
      <c r="A42" s="593" t="s">
        <v>410</v>
      </c>
      <c r="B42" s="14">
        <v>-13</v>
      </c>
      <c r="C42" s="14">
        <v>-2</v>
      </c>
      <c r="D42" s="14">
        <v>0</v>
      </c>
      <c r="E42" s="14">
        <v>0</v>
      </c>
      <c r="F42" s="66"/>
      <c r="G42" s="66"/>
      <c r="H42" s="66"/>
      <c r="I42" s="66"/>
      <c r="J42" s="499"/>
    </row>
    <row r="43" spans="1:10" hidden="1" x14ac:dyDescent="0.25">
      <c r="A43" s="712" t="s">
        <v>411</v>
      </c>
      <c r="B43" s="14">
        <v>205</v>
      </c>
      <c r="C43" s="14">
        <v>84</v>
      </c>
      <c r="D43" s="14">
        <v>0</v>
      </c>
      <c r="E43" s="14">
        <v>0</v>
      </c>
      <c r="F43" s="66"/>
      <c r="G43" s="66"/>
      <c r="H43" s="66"/>
      <c r="I43" s="66"/>
      <c r="J43" s="499"/>
    </row>
    <row r="44" spans="1:10" x14ac:dyDescent="0.25">
      <c r="A44" s="593"/>
      <c r="B44" s="14"/>
      <c r="C44" s="14"/>
      <c r="D44" s="14"/>
      <c r="E44" s="14"/>
      <c r="F44" s="66"/>
      <c r="G44" s="66"/>
      <c r="H44" s="66"/>
      <c r="I44" s="66"/>
      <c r="J44" s="499"/>
    </row>
    <row r="45" spans="1:10" s="3" customFormat="1" x14ac:dyDescent="0.25">
      <c r="A45" s="730" t="s">
        <v>409</v>
      </c>
      <c r="B45" s="205">
        <f>SUM(B39:B44)</f>
        <v>-692</v>
      </c>
      <c r="C45" s="205">
        <f>C39+C40+C41+C42+C43</f>
        <v>-664</v>
      </c>
      <c r="D45" s="205">
        <f>D39+D40+D41+D42+D43</f>
        <v>-687</v>
      </c>
      <c r="E45" s="205">
        <f>E39+E40+E41+E42+E43</f>
        <v>-656</v>
      </c>
      <c r="F45" s="480">
        <f>F29*F47</f>
        <v>-613.19522882542196</v>
      </c>
      <c r="G45" s="480">
        <f>G29*G47</f>
        <v>-613.75499355223872</v>
      </c>
      <c r="H45" s="480">
        <f>H29*H47</f>
        <v>-614.47696581114303</v>
      </c>
      <c r="I45" s="480">
        <f>I29*I47</f>
        <v>-601.93704240581371</v>
      </c>
      <c r="J45" s="595">
        <f>J29*J47</f>
        <v>-597.71518566396946</v>
      </c>
    </row>
    <row r="46" spans="1:10" x14ac:dyDescent="0.25">
      <c r="A46" s="593"/>
      <c r="B46" s="14"/>
      <c r="C46" s="14"/>
      <c r="D46" s="14"/>
      <c r="E46" s="14"/>
      <c r="F46" s="66"/>
      <c r="G46" s="66"/>
      <c r="H46" s="66"/>
      <c r="I46" s="66"/>
      <c r="J46" s="499"/>
    </row>
    <row r="47" spans="1:10" ht="15.75" thickBot="1" x14ac:dyDescent="0.3">
      <c r="A47" s="702" t="s">
        <v>439</v>
      </c>
      <c r="B47" s="703">
        <f>B45/B29</f>
        <v>0.56628477905073649</v>
      </c>
      <c r="C47" s="703">
        <f>C45/C29</f>
        <v>0.57241379310344831</v>
      </c>
      <c r="D47" s="703">
        <f>D45/D29</f>
        <v>0.55092221331194868</v>
      </c>
      <c r="E47" s="703">
        <f>E45/E29</f>
        <v>0.55358649789029535</v>
      </c>
      <c r="F47" s="697">
        <v>0.6</v>
      </c>
      <c r="G47" s="697">
        <v>0.6</v>
      </c>
      <c r="H47" s="697">
        <v>0.6</v>
      </c>
      <c r="I47" s="697">
        <v>0.6</v>
      </c>
      <c r="J47" s="698">
        <v>0.6</v>
      </c>
    </row>
  </sheetData>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LFL</vt:lpstr>
      <vt:lpstr>IS</vt:lpstr>
      <vt:lpstr>CFS</vt:lpstr>
      <vt:lpstr>BS</vt:lpstr>
      <vt:lpstr>Ratios</vt:lpstr>
      <vt:lpstr>DCF</vt:lpstr>
      <vt:lpstr>DEBT</vt:lpstr>
      <vt:lpstr>Store</vt:lpstr>
      <vt:lpstr>DEP</vt:lpstr>
      <vt:lpstr>FCFF</vt:lpstr>
      <vt:lpstr>WC</vt:lpstr>
      <vt:lpstr>RE</vt:lpstr>
      <vt:lpstr>QL</vt:lpstr>
      <vt:lpstr>Store!Casino_Group_Q1_2019_Sales</vt:lpstr>
      <vt:lpstr>wacc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2019-08-08T12:21:41Z</dcterms:modified>
</cp:coreProperties>
</file>