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ANAND\Desktop\"/>
    </mc:Choice>
  </mc:AlternateContent>
  <xr:revisionPtr revIDLastSave="0" documentId="13_ncr:1_{6D3C7F23-FCA2-413C-88A6-15DA4BD8BDB2}" xr6:coauthVersionLast="47" xr6:coauthVersionMax="47" xr10:uidLastSave="{00000000-0000-0000-0000-000000000000}"/>
  <bookViews>
    <workbookView xWindow="-110" yWindow="-110" windowWidth="19420" windowHeight="11500" firstSheet="18" activeTab="23" xr2:uid="{CD07974F-F054-4F31-A90C-FFD5044E24F1}"/>
  </bookViews>
  <sheets>
    <sheet name="Table 2 (2)" sheetId="22" state="hidden" r:id="rId1"/>
    <sheet name="Reliance Industries " sheetId="6" state="hidden" r:id="rId2"/>
    <sheet name="key Data" sheetId="14" state="hidden" r:id="rId3"/>
    <sheet name="Assignment" sheetId="40" r:id="rId4"/>
    <sheet name="Peer Analysis" sheetId="32" r:id="rId5"/>
    <sheet name="Segment Wise Performance" sheetId="36" r:id="rId6"/>
    <sheet name="Geographical Revenue" sheetId="37" r:id="rId7"/>
    <sheet name="Common size" sheetId="35" r:id="rId8"/>
    <sheet name="Balance Sheet" sheetId="3" r:id="rId9"/>
    <sheet name="Working Capital Days " sheetId="12" state="hidden" r:id="rId10"/>
    <sheet name="Share holding" sheetId="13" state="hidden" r:id="rId11"/>
    <sheet name="Table 8 (2)" sheetId="24" state="hidden" r:id="rId12"/>
    <sheet name="Analysis" sheetId="1" r:id="rId13"/>
    <sheet name="Income Statement" sheetId="2" r:id="rId14"/>
    <sheet name="Ratio Analysis" sheetId="38" r:id="rId15"/>
    <sheet name="EPS" sheetId="25" r:id="rId16"/>
    <sheet name="Profit &amp; Loss Account" sheetId="26" r:id="rId17"/>
    <sheet name="CASH FL" sheetId="29" r:id="rId18"/>
    <sheet name="BS" sheetId="27" r:id="rId19"/>
    <sheet name="Cash flow " sheetId="28" r:id="rId20"/>
    <sheet name="Sales &amp; Profit" sheetId="5" r:id="rId21"/>
    <sheet name="ROE" sheetId="7" r:id="rId22"/>
    <sheet name="ICR" sheetId="18" r:id="rId23"/>
    <sheet name="EPS " sheetId="8" r:id="rId24"/>
    <sheet name="Sheet1" sheetId="4" state="hidden" r:id="rId25"/>
  </sheets>
  <externalReferences>
    <externalReference r:id="rId26"/>
  </externalReferences>
  <definedNames>
    <definedName name="ExternalData_1" localSheetId="8" hidden="1">'Balance Sheet'!$A$1:$L$21</definedName>
    <definedName name="ExternalData_1" localSheetId="13" hidden="1">'Income Statement'!$A$1:$N$29</definedName>
    <definedName name="ExternalData_1" localSheetId="4" hidden="1">'Peer Analysis'!$A$1:$K$9</definedName>
    <definedName name="ExternalData_1" localSheetId="10" hidden="1">'Share holding'!$A$1:$M$7</definedName>
    <definedName name="ExternalData_1" localSheetId="0" hidden="1">'Table 2 (2)'!$A$1:$N$14</definedName>
    <definedName name="ExternalData_1" localSheetId="11" hidden="1">'Table 8 (2)'!$A$1:$N$12</definedName>
    <definedName name="ExternalData_1" localSheetId="9" hidden="1">'Working Capital Days '!$A$1:$M$7</definedName>
    <definedName name="ExternalData_2" localSheetId="20" hidden="1">'Sales &amp; Profit'!$A$1:$M$16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5" l="1"/>
  <c r="E15" i="1"/>
  <c r="F15" i="1"/>
  <c r="G15" i="1"/>
  <c r="H15" i="1"/>
  <c r="I15" i="1"/>
  <c r="J15" i="1"/>
  <c r="K15" i="1"/>
  <c r="L15" i="1"/>
  <c r="M15" i="1"/>
  <c r="N15" i="1"/>
  <c r="D15" i="1"/>
  <c r="C15" i="1"/>
  <c r="E16" i="1"/>
  <c r="F16" i="1"/>
  <c r="G16" i="1"/>
  <c r="H16" i="1"/>
  <c r="I16" i="1"/>
  <c r="J16" i="1"/>
  <c r="K16" i="1"/>
  <c r="L16" i="1"/>
  <c r="M16" i="1"/>
  <c r="N16" i="1"/>
  <c r="D16" i="1"/>
  <c r="C16" i="1"/>
  <c r="E23" i="27"/>
  <c r="C5" i="1"/>
  <c r="D5" i="1"/>
  <c r="E5" i="1"/>
  <c r="F5" i="1"/>
  <c r="G5" i="1"/>
  <c r="H5" i="1"/>
  <c r="I5" i="1"/>
  <c r="J5" i="1"/>
  <c r="K5" i="1"/>
  <c r="L5" i="1"/>
  <c r="M5" i="1"/>
  <c r="N5" i="1"/>
  <c r="B5" i="1"/>
  <c r="O7" i="2"/>
  <c r="N7" i="2"/>
  <c r="N8" i="2" s="1"/>
  <c r="C8" i="2"/>
  <c r="D8" i="2"/>
  <c r="E8" i="2"/>
  <c r="F8" i="2"/>
  <c r="G8" i="2"/>
  <c r="H8" i="2"/>
  <c r="I8" i="2"/>
  <c r="J8" i="2"/>
  <c r="K8" i="2"/>
  <c r="L8" i="2"/>
  <c r="M8" i="2"/>
  <c r="B8" i="2"/>
  <c r="F7" i="2"/>
  <c r="G7" i="2"/>
  <c r="B7" i="2"/>
  <c r="C6" i="2"/>
  <c r="D6" i="2"/>
  <c r="E6" i="2"/>
  <c r="F6" i="2"/>
  <c r="G6" i="2"/>
  <c r="H6" i="2"/>
  <c r="I6" i="2"/>
  <c r="I7" i="2" s="1"/>
  <c r="J6" i="2"/>
  <c r="K6" i="2"/>
  <c r="L6" i="2"/>
  <c r="B6" i="2"/>
  <c r="M6" i="2"/>
  <c r="B4" i="2"/>
  <c r="C4" i="2"/>
  <c r="C7" i="2" s="1"/>
  <c r="D4" i="2"/>
  <c r="D7" i="2" s="1"/>
  <c r="E4" i="2"/>
  <c r="E7" i="2" s="1"/>
  <c r="F4" i="2"/>
  <c r="G4" i="2"/>
  <c r="H4" i="2"/>
  <c r="H7" i="2" s="1"/>
  <c r="I4" i="2"/>
  <c r="J4" i="2"/>
  <c r="J7" i="2" s="1"/>
  <c r="K4" i="2"/>
  <c r="K7" i="2" s="1"/>
  <c r="L4" i="2"/>
  <c r="L7" i="2" s="1"/>
  <c r="N4" i="2"/>
  <c r="S14" i="2"/>
  <c r="T14" i="2" s="1"/>
  <c r="Q13" i="2"/>
  <c r="S13" i="2" s="1"/>
  <c r="T13" i="2" s="1"/>
  <c r="L22" i="2"/>
  <c r="M22" i="2"/>
  <c r="M23" i="2" s="1"/>
  <c r="M12" i="35"/>
  <c r="L12" i="35"/>
  <c r="K12" i="35"/>
  <c r="J12" i="35"/>
  <c r="I12" i="35"/>
  <c r="H12" i="35"/>
  <c r="G12" i="35"/>
  <c r="F12" i="35"/>
  <c r="E12" i="35"/>
  <c r="D12" i="35"/>
  <c r="C12" i="35"/>
  <c r="B12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M9" i="35"/>
  <c r="L9" i="35"/>
  <c r="K9" i="35"/>
  <c r="J9" i="35"/>
  <c r="I9" i="35"/>
  <c r="H9" i="35"/>
  <c r="G9" i="35"/>
  <c r="F9" i="35"/>
  <c r="E9" i="35"/>
  <c r="D9" i="35"/>
  <c r="C9" i="35"/>
  <c r="B9" i="35"/>
  <c r="M8" i="35"/>
  <c r="L8" i="35"/>
  <c r="K8" i="35"/>
  <c r="J8" i="35"/>
  <c r="I8" i="35"/>
  <c r="H8" i="35"/>
  <c r="G8" i="35"/>
  <c r="F8" i="35"/>
  <c r="E8" i="35"/>
  <c r="D8" i="35"/>
  <c r="C8" i="35"/>
  <c r="B8" i="35"/>
  <c r="M7" i="35"/>
  <c r="L7" i="35"/>
  <c r="K7" i="35"/>
  <c r="J7" i="35"/>
  <c r="I7" i="35"/>
  <c r="H7" i="35"/>
  <c r="G7" i="35"/>
  <c r="F7" i="35"/>
  <c r="E7" i="35"/>
  <c r="D7" i="35"/>
  <c r="C7" i="35"/>
  <c r="B7" i="35"/>
  <c r="M6" i="35"/>
  <c r="L6" i="35"/>
  <c r="K6" i="35"/>
  <c r="J6" i="35"/>
  <c r="I6" i="35"/>
  <c r="H6" i="35"/>
  <c r="G6" i="35"/>
  <c r="F6" i="35"/>
  <c r="E6" i="35"/>
  <c r="D6" i="35"/>
  <c r="C6" i="35"/>
  <c r="B6" i="35"/>
  <c r="M5" i="35"/>
  <c r="L5" i="35"/>
  <c r="K5" i="35"/>
  <c r="J5" i="35"/>
  <c r="I5" i="35"/>
  <c r="H5" i="35"/>
  <c r="G5" i="35"/>
  <c r="F5" i="35"/>
  <c r="E5" i="35"/>
  <c r="D5" i="35"/>
  <c r="C5" i="35"/>
  <c r="B5" i="35"/>
  <c r="M4" i="35"/>
  <c r="L4" i="35"/>
  <c r="K4" i="35"/>
  <c r="J4" i="35"/>
  <c r="I4" i="35"/>
  <c r="H4" i="35"/>
  <c r="G4" i="35"/>
  <c r="F4" i="35"/>
  <c r="E4" i="35"/>
  <c r="D4" i="35"/>
  <c r="C4" i="35"/>
  <c r="B4" i="35"/>
  <c r="M3" i="35"/>
  <c r="L3" i="35"/>
  <c r="K3" i="35"/>
  <c r="J3" i="35"/>
  <c r="I3" i="35"/>
  <c r="H3" i="35"/>
  <c r="G3" i="35"/>
  <c r="F3" i="35"/>
  <c r="E3" i="35"/>
  <c r="D3" i="35"/>
  <c r="C3" i="35"/>
  <c r="B3" i="35"/>
  <c r="M2" i="35"/>
  <c r="L2" i="35"/>
  <c r="K2" i="35"/>
  <c r="J2" i="35"/>
  <c r="I2" i="35"/>
  <c r="H2" i="35"/>
  <c r="G2" i="35"/>
  <c r="F2" i="35"/>
  <c r="E2" i="35"/>
  <c r="D2" i="35"/>
  <c r="C2" i="35"/>
  <c r="B2" i="35"/>
  <c r="M12" i="1"/>
  <c r="M13" i="1" s="1"/>
  <c r="D12" i="1"/>
  <c r="E12" i="1"/>
  <c r="F12" i="1"/>
  <c r="G12" i="1"/>
  <c r="H12" i="1"/>
  <c r="I12" i="1"/>
  <c r="J12" i="1"/>
  <c r="K12" i="1"/>
  <c r="L12" i="1"/>
  <c r="C12" i="1"/>
  <c r="H19" i="27"/>
  <c r="G19" i="27"/>
  <c r="G18" i="27"/>
  <c r="G17" i="27"/>
  <c r="H18" i="27"/>
  <c r="H17" i="27"/>
  <c r="G21" i="27"/>
  <c r="F19" i="27"/>
  <c r="F18" i="27"/>
  <c r="F17" i="27"/>
  <c r="D9" i="1"/>
  <c r="E9" i="1"/>
  <c r="F9" i="1"/>
  <c r="G9" i="1"/>
  <c r="H9" i="1"/>
  <c r="I9" i="1"/>
  <c r="J9" i="1"/>
  <c r="K9" i="1"/>
  <c r="C9" i="1"/>
  <c r="B9" i="1"/>
  <c r="D40" i="27"/>
  <c r="D37" i="27"/>
  <c r="D36" i="27"/>
  <c r="D35" i="27"/>
  <c r="D34" i="27"/>
  <c r="D33" i="27"/>
  <c r="D32" i="27"/>
  <c r="D43" i="27"/>
  <c r="D44" i="27"/>
  <c r="D45" i="27"/>
  <c r="D42" i="27"/>
  <c r="D46" i="27"/>
  <c r="D23" i="27"/>
  <c r="D18" i="27"/>
  <c r="D20" i="27"/>
  <c r="D21" i="27"/>
  <c r="D22" i="27"/>
  <c r="D16" i="27"/>
  <c r="F3" i="28"/>
  <c r="E3" i="28"/>
  <c r="C32" i="29"/>
  <c r="D32" i="29"/>
  <c r="E32" i="29"/>
  <c r="F32" i="29"/>
  <c r="G32" i="29"/>
  <c r="H32" i="29"/>
  <c r="I32" i="29"/>
  <c r="J32" i="29"/>
  <c r="K32" i="29"/>
  <c r="L32" i="29"/>
  <c r="M32" i="29"/>
  <c r="B32" i="29"/>
  <c r="C22" i="29"/>
  <c r="D22" i="29"/>
  <c r="D34" i="29" s="1"/>
  <c r="E22" i="29"/>
  <c r="F22" i="29"/>
  <c r="G22" i="29"/>
  <c r="H22" i="29"/>
  <c r="I22" i="29"/>
  <c r="J22" i="29"/>
  <c r="K22" i="29"/>
  <c r="L22" i="29"/>
  <c r="M22" i="29"/>
  <c r="B22" i="29"/>
  <c r="C8" i="29"/>
  <c r="C13" i="29" s="1"/>
  <c r="D8" i="29"/>
  <c r="D13" i="29" s="1"/>
  <c r="E8" i="29"/>
  <c r="E13" i="29" s="1"/>
  <c r="F8" i="29"/>
  <c r="F13" i="29" s="1"/>
  <c r="G8" i="29"/>
  <c r="G13" i="29" s="1"/>
  <c r="H8" i="29"/>
  <c r="H13" i="29" s="1"/>
  <c r="I8" i="29"/>
  <c r="I13" i="29" s="1"/>
  <c r="J8" i="29"/>
  <c r="J13" i="29" s="1"/>
  <c r="K8" i="29"/>
  <c r="K13" i="29" s="1"/>
  <c r="L8" i="29"/>
  <c r="L13" i="29" s="1"/>
  <c r="M8" i="29"/>
  <c r="M13" i="29" s="1"/>
  <c r="B8" i="29"/>
  <c r="B13" i="29" s="1"/>
  <c r="C57" i="28"/>
  <c r="B57" i="28"/>
  <c r="C51" i="28"/>
  <c r="B51" i="28"/>
  <c r="C38" i="28"/>
  <c r="B38" i="28"/>
  <c r="D38" i="28" s="1"/>
  <c r="C24" i="28"/>
  <c r="B24" i="28"/>
  <c r="C18" i="28"/>
  <c r="C19" i="28" s="1"/>
  <c r="C25" i="28" s="1"/>
  <c r="C27" i="28" s="1"/>
  <c r="C53" i="28" s="1"/>
  <c r="B18" i="28"/>
  <c r="B19" i="28" s="1"/>
  <c r="B25" i="28" s="1"/>
  <c r="B27" i="28" s="1"/>
  <c r="L9" i="1"/>
  <c r="M9" i="1"/>
  <c r="C46" i="27"/>
  <c r="C48" i="27" s="1"/>
  <c r="C49" i="27" s="1"/>
  <c r="B46" i="27"/>
  <c r="B48" i="27" s="1"/>
  <c r="B49" i="27" s="1"/>
  <c r="C38" i="27"/>
  <c r="B38" i="27"/>
  <c r="C29" i="27"/>
  <c r="B29" i="27"/>
  <c r="C23" i="27"/>
  <c r="C24" i="27" s="1"/>
  <c r="B23" i="27"/>
  <c r="B24" i="27" s="1"/>
  <c r="C14" i="27"/>
  <c r="B14" i="27"/>
  <c r="A34" i="26"/>
  <c r="C34" i="26"/>
  <c r="C32" i="26"/>
  <c r="C27" i="26"/>
  <c r="B27" i="26"/>
  <c r="C19" i="26"/>
  <c r="B19" i="26"/>
  <c r="C5" i="26"/>
  <c r="C7" i="26" s="1"/>
  <c r="C9" i="26" s="1"/>
  <c r="C21" i="26" s="1"/>
  <c r="C23" i="26" s="1"/>
  <c r="B5" i="26"/>
  <c r="B7" i="26" s="1"/>
  <c r="B9" i="26" s="1"/>
  <c r="B21" i="26" s="1"/>
  <c r="B23" i="26" s="1"/>
  <c r="B28" i="26" s="1"/>
  <c r="H25" i="25"/>
  <c r="H24" i="25"/>
  <c r="G22" i="25"/>
  <c r="G21" i="25"/>
  <c r="G24" i="25"/>
  <c r="G17" i="25"/>
  <c r="G16" i="25"/>
  <c r="N9" i="1"/>
  <c r="K25" i="3"/>
  <c r="E24" i="3"/>
  <c r="E25" i="3" s="1"/>
  <c r="F24" i="3"/>
  <c r="G24" i="3"/>
  <c r="H24" i="3"/>
  <c r="I24" i="3"/>
  <c r="J24" i="3"/>
  <c r="K24" i="3"/>
  <c r="L24" i="3"/>
  <c r="M24" i="3"/>
  <c r="M25" i="3" s="1"/>
  <c r="N24" i="3"/>
  <c r="E23" i="3"/>
  <c r="F23" i="3"/>
  <c r="F25" i="3" s="1"/>
  <c r="G23" i="3"/>
  <c r="G25" i="3" s="1"/>
  <c r="H23" i="3"/>
  <c r="H25" i="3" s="1"/>
  <c r="I23" i="3"/>
  <c r="I25" i="3" s="1"/>
  <c r="J23" i="3"/>
  <c r="J25" i="3" s="1"/>
  <c r="K23" i="3"/>
  <c r="L23" i="3"/>
  <c r="L25" i="3" s="1"/>
  <c r="M23" i="3"/>
  <c r="N23" i="3"/>
  <c r="N25" i="3" s="1"/>
  <c r="D25" i="3"/>
  <c r="D24" i="3"/>
  <c r="D23" i="3"/>
  <c r="C25" i="3"/>
  <c r="C24" i="3"/>
  <c r="C23" i="3"/>
  <c r="M18" i="1"/>
  <c r="N18" i="1"/>
  <c r="C17" i="1"/>
  <c r="D17" i="1"/>
  <c r="E17" i="1"/>
  <c r="F17" i="1"/>
  <c r="G17" i="1"/>
  <c r="H17" i="1"/>
  <c r="I17" i="1"/>
  <c r="J17" i="1"/>
  <c r="K17" i="1"/>
  <c r="L17" i="1"/>
  <c r="B17" i="1"/>
  <c r="N20" i="3"/>
  <c r="N14" i="3"/>
  <c r="N13" i="3"/>
  <c r="N12" i="3"/>
  <c r="N10" i="3"/>
  <c r="M14" i="3"/>
  <c r="M13" i="3"/>
  <c r="M12" i="3"/>
  <c r="M20" i="3"/>
  <c r="M5" i="3"/>
  <c r="M20" i="1" s="1"/>
  <c r="N5" i="3"/>
  <c r="N2" i="3"/>
  <c r="N3" i="3"/>
  <c r="N4" i="3" s="1"/>
  <c r="M3" i="3"/>
  <c r="M2" i="3"/>
  <c r="N18" i="2"/>
  <c r="N17" i="1" s="1"/>
  <c r="N17" i="2"/>
  <c r="N14" i="2"/>
  <c r="N12" i="2"/>
  <c r="N9" i="2"/>
  <c r="N3" i="2"/>
  <c r="N5" i="2"/>
  <c r="N2" i="2"/>
  <c r="N12" i="1" s="1"/>
  <c r="N13" i="1" s="1"/>
  <c r="M19" i="2"/>
  <c r="M18" i="2"/>
  <c r="M17" i="1" s="1"/>
  <c r="M17" i="2"/>
  <c r="B34" i="26" s="1"/>
  <c r="M12" i="2"/>
  <c r="M9" i="2"/>
  <c r="M3" i="2"/>
  <c r="M4" i="2" s="1"/>
  <c r="M7" i="2" s="1"/>
  <c r="N14" i="1" l="1"/>
  <c r="N11" i="2"/>
  <c r="N6" i="1" s="1"/>
  <c r="O2" i="2"/>
  <c r="O17" i="2"/>
  <c r="M11" i="2"/>
  <c r="M14" i="2" s="1"/>
  <c r="M16" i="2" s="1"/>
  <c r="M14" i="1"/>
  <c r="E11" i="25"/>
  <c r="M26" i="2"/>
  <c r="M25" i="2"/>
  <c r="H21" i="27"/>
  <c r="L34" i="29"/>
  <c r="J34" i="29"/>
  <c r="B34" i="29"/>
  <c r="E34" i="29"/>
  <c r="M34" i="29"/>
  <c r="G34" i="29"/>
  <c r="K34" i="29"/>
  <c r="C34" i="29"/>
  <c r="H34" i="29"/>
  <c r="F34" i="29"/>
  <c r="I34" i="29"/>
  <c r="B53" i="28"/>
  <c r="N6" i="3"/>
  <c r="N11" i="3" s="1"/>
  <c r="N7" i="1"/>
  <c r="N3" i="1"/>
  <c r="M19" i="1"/>
  <c r="N20" i="1"/>
  <c r="N21" i="3"/>
  <c r="N19" i="1" s="1"/>
  <c r="N16" i="2"/>
  <c r="N15" i="2" s="1"/>
  <c r="M5" i="2"/>
  <c r="L30" i="1"/>
  <c r="L25" i="1"/>
  <c r="L31" i="1" s="1"/>
  <c r="L24" i="1"/>
  <c r="B24" i="1"/>
  <c r="B25" i="1"/>
  <c r="L46" i="3"/>
  <c r="L36" i="3"/>
  <c r="B20" i="1"/>
  <c r="C20" i="1"/>
  <c r="D20" i="1"/>
  <c r="E20" i="1"/>
  <c r="F20" i="1"/>
  <c r="G20" i="1"/>
  <c r="H20" i="1"/>
  <c r="I20" i="1"/>
  <c r="J20" i="1"/>
  <c r="K20" i="1"/>
  <c r="L20" i="1"/>
  <c r="M21" i="3"/>
  <c r="M4" i="3"/>
  <c r="M3" i="1" s="1"/>
  <c r="M10" i="3"/>
  <c r="B8" i="14"/>
  <c r="B6" i="14"/>
  <c r="B5" i="14"/>
  <c r="F23" i="2"/>
  <c r="F25" i="2" s="1"/>
  <c r="G23" i="2"/>
  <c r="G25" i="2" s="1"/>
  <c r="H23" i="2"/>
  <c r="H25" i="2" s="1"/>
  <c r="I23" i="2"/>
  <c r="I25" i="2" s="1"/>
  <c r="J23" i="2"/>
  <c r="J25" i="2" s="1"/>
  <c r="K23" i="2"/>
  <c r="K25" i="2" s="1"/>
  <c r="L23" i="2"/>
  <c r="L25" i="2" s="1"/>
  <c r="E12" i="25" s="1"/>
  <c r="E23" i="2"/>
  <c r="E25" i="2" s="1"/>
  <c r="D23" i="2"/>
  <c r="D25" i="2" s="1"/>
  <c r="C23" i="2"/>
  <c r="C25" i="2" s="1"/>
  <c r="B23" i="2"/>
  <c r="B25" i="2" s="1"/>
  <c r="N4" i="1" l="1"/>
  <c r="M6" i="1"/>
  <c r="M4" i="1"/>
  <c r="N8" i="1"/>
  <c r="L48" i="3"/>
  <c r="M6" i="3"/>
  <c r="M7" i="1"/>
  <c r="L23" i="1"/>
  <c r="L32" i="1"/>
  <c r="B26" i="1"/>
  <c r="M11" i="3"/>
  <c r="B27" i="2"/>
  <c r="B26" i="2" s="1"/>
  <c r="C27" i="2"/>
  <c r="C26" i="2" s="1"/>
  <c r="D27" i="2"/>
  <c r="D26" i="2" s="1"/>
  <c r="E27" i="2"/>
  <c r="E26" i="2" s="1"/>
  <c r="F27" i="2"/>
  <c r="F26" i="2" s="1"/>
  <c r="G27" i="2"/>
  <c r="G26" i="2" s="1"/>
  <c r="H27" i="2"/>
  <c r="H26" i="2" s="1"/>
  <c r="I27" i="2"/>
  <c r="I26" i="2" s="1"/>
  <c r="J27" i="2"/>
  <c r="J26" i="2" s="1"/>
  <c r="K27" i="2"/>
  <c r="L27" i="2"/>
  <c r="D9" i="12"/>
  <c r="E9" i="12"/>
  <c r="F9" i="12"/>
  <c r="G9" i="12"/>
  <c r="H9" i="12"/>
  <c r="I9" i="12"/>
  <c r="J9" i="12"/>
  <c r="K9" i="12"/>
  <c r="L9" i="12"/>
  <c r="M9" i="12"/>
  <c r="C9" i="12"/>
  <c r="B9" i="12"/>
  <c r="C10" i="12"/>
  <c r="D10" i="12"/>
  <c r="E10" i="12"/>
  <c r="F10" i="12"/>
  <c r="G10" i="12"/>
  <c r="H10" i="12"/>
  <c r="I10" i="12"/>
  <c r="J10" i="12"/>
  <c r="K10" i="12"/>
  <c r="L10" i="12"/>
  <c r="M10" i="12"/>
  <c r="B10" i="12"/>
  <c r="C24" i="12"/>
  <c r="D24" i="12"/>
  <c r="E24" i="12"/>
  <c r="F24" i="12"/>
  <c r="G24" i="12"/>
  <c r="H24" i="12"/>
  <c r="I24" i="12"/>
  <c r="J24" i="12"/>
  <c r="K24" i="12"/>
  <c r="L24" i="12"/>
  <c r="M24" i="12"/>
  <c r="B24" i="12"/>
  <c r="C21" i="12"/>
  <c r="D21" i="12"/>
  <c r="E21" i="12"/>
  <c r="F21" i="12"/>
  <c r="G21" i="12"/>
  <c r="H21" i="12"/>
  <c r="I21" i="12"/>
  <c r="J21" i="12"/>
  <c r="K21" i="12"/>
  <c r="L21" i="12"/>
  <c r="M21" i="12"/>
  <c r="B21" i="12"/>
  <c r="C19" i="12"/>
  <c r="D19" i="12"/>
  <c r="E19" i="12"/>
  <c r="F19" i="12"/>
  <c r="G19" i="12"/>
  <c r="H19" i="12"/>
  <c r="I19" i="12"/>
  <c r="J19" i="12"/>
  <c r="K19" i="12"/>
  <c r="L19" i="12"/>
  <c r="M19" i="12"/>
  <c r="B19" i="12"/>
  <c r="C18" i="12"/>
  <c r="D18" i="12"/>
  <c r="E18" i="12"/>
  <c r="F18" i="12"/>
  <c r="G18" i="12"/>
  <c r="H18" i="12"/>
  <c r="I18" i="12"/>
  <c r="J18" i="12"/>
  <c r="K18" i="12"/>
  <c r="L18" i="12"/>
  <c r="M18" i="12"/>
  <c r="B18" i="12"/>
  <c r="M5" i="12"/>
  <c r="L5" i="12"/>
  <c r="K5" i="12"/>
  <c r="J5" i="12"/>
  <c r="I5" i="12"/>
  <c r="H5" i="12"/>
  <c r="G5" i="12"/>
  <c r="F5" i="12"/>
  <c r="E5" i="12"/>
  <c r="D5" i="12"/>
  <c r="C5" i="12"/>
  <c r="B5" i="12"/>
  <c r="M20" i="12" l="1"/>
  <c r="M22" i="12" s="1"/>
  <c r="E20" i="12"/>
  <c r="E22" i="12" s="1"/>
  <c r="F20" i="12"/>
  <c r="F22" i="12" s="1"/>
  <c r="B20" i="12"/>
  <c r="B22" i="12" s="1"/>
  <c r="B23" i="12" s="1"/>
  <c r="B25" i="12" s="1"/>
  <c r="K26" i="2"/>
  <c r="L26" i="2"/>
  <c r="B3" i="14"/>
  <c r="B4" i="14" s="1"/>
  <c r="D20" i="12"/>
  <c r="D22" i="12" s="1"/>
  <c r="C20" i="12"/>
  <c r="C22" i="12" s="1"/>
  <c r="L20" i="12"/>
  <c r="L22" i="12" s="1"/>
  <c r="K20" i="12"/>
  <c r="K22" i="12" s="1"/>
  <c r="J20" i="12"/>
  <c r="J22" i="12" s="1"/>
  <c r="I20" i="12"/>
  <c r="I22" i="12" s="1"/>
  <c r="H20" i="12"/>
  <c r="H22" i="12" s="1"/>
  <c r="G20" i="12"/>
  <c r="G22" i="12" s="1"/>
  <c r="M17" i="8"/>
  <c r="L17" i="8"/>
  <c r="K17" i="8"/>
  <c r="J17" i="8"/>
  <c r="I17" i="8"/>
  <c r="H17" i="8"/>
  <c r="G17" i="8"/>
  <c r="F17" i="8"/>
  <c r="E17" i="8"/>
  <c r="D17" i="8"/>
  <c r="C17" i="8"/>
  <c r="B17" i="8"/>
  <c r="M13" i="8"/>
  <c r="L13" i="8"/>
  <c r="K13" i="8"/>
  <c r="J13" i="8"/>
  <c r="I13" i="8"/>
  <c r="H13" i="8"/>
  <c r="G13" i="8"/>
  <c r="F13" i="8"/>
  <c r="E13" i="8"/>
  <c r="D13" i="8"/>
  <c r="C13" i="8"/>
  <c r="B13" i="8"/>
  <c r="M11" i="8"/>
  <c r="M12" i="8" s="1"/>
  <c r="L11" i="8"/>
  <c r="L12" i="8" s="1"/>
  <c r="K11" i="8"/>
  <c r="K12" i="8" s="1"/>
  <c r="J11" i="8"/>
  <c r="J12" i="8" s="1"/>
  <c r="I11" i="8"/>
  <c r="I12" i="8" s="1"/>
  <c r="H11" i="8"/>
  <c r="H12" i="8" s="1"/>
  <c r="G11" i="8"/>
  <c r="G12" i="8" s="1"/>
  <c r="F11" i="8"/>
  <c r="F12" i="8" s="1"/>
  <c r="E11" i="8"/>
  <c r="E12" i="8" s="1"/>
  <c r="D11" i="8"/>
  <c r="D12" i="8" s="1"/>
  <c r="C11" i="8"/>
  <c r="C12" i="8" s="1"/>
  <c r="B11" i="8"/>
  <c r="B12" i="8" s="1"/>
  <c r="M9" i="8"/>
  <c r="M10" i="8" s="1"/>
  <c r="L9" i="8"/>
  <c r="L10" i="8" s="1"/>
  <c r="K9" i="8"/>
  <c r="K10" i="8" s="1"/>
  <c r="J9" i="8"/>
  <c r="J10" i="8" s="1"/>
  <c r="I9" i="8"/>
  <c r="I10" i="8" s="1"/>
  <c r="H9" i="8"/>
  <c r="H10" i="8" s="1"/>
  <c r="G9" i="8"/>
  <c r="G10" i="8" s="1"/>
  <c r="F9" i="8"/>
  <c r="F10" i="8" s="1"/>
  <c r="E9" i="8"/>
  <c r="E10" i="8" s="1"/>
  <c r="D9" i="8"/>
  <c r="D10" i="8" s="1"/>
  <c r="C9" i="8"/>
  <c r="C10" i="8" s="1"/>
  <c r="B9" i="8"/>
  <c r="B10" i="8" s="1"/>
  <c r="M8" i="8"/>
  <c r="L8" i="8"/>
  <c r="K8" i="8"/>
  <c r="J8" i="8"/>
  <c r="I8" i="8"/>
  <c r="H8" i="8"/>
  <c r="G8" i="8"/>
  <c r="F8" i="8"/>
  <c r="E8" i="8"/>
  <c r="D8" i="8"/>
  <c r="C8" i="8"/>
  <c r="B8" i="8"/>
  <c r="L17" i="7"/>
  <c r="K17" i="7"/>
  <c r="J17" i="7"/>
  <c r="I17" i="7"/>
  <c r="H17" i="7"/>
  <c r="G17" i="7"/>
  <c r="F17" i="7"/>
  <c r="E17" i="7"/>
  <c r="D17" i="7"/>
  <c r="C17" i="7"/>
  <c r="B17" i="7"/>
  <c r="L13" i="7"/>
  <c r="K13" i="7"/>
  <c r="J13" i="7"/>
  <c r="I13" i="7"/>
  <c r="H13" i="7"/>
  <c r="G13" i="7"/>
  <c r="F13" i="7"/>
  <c r="E13" i="7"/>
  <c r="D13" i="7"/>
  <c r="C13" i="7"/>
  <c r="B13" i="7"/>
  <c r="L11" i="7"/>
  <c r="L12" i="7" s="1"/>
  <c r="K11" i="7"/>
  <c r="K12" i="7" s="1"/>
  <c r="J11" i="7"/>
  <c r="J12" i="7" s="1"/>
  <c r="I11" i="7"/>
  <c r="I12" i="7" s="1"/>
  <c r="H11" i="7"/>
  <c r="H12" i="7" s="1"/>
  <c r="G11" i="7"/>
  <c r="G12" i="7" s="1"/>
  <c r="F11" i="7"/>
  <c r="F12" i="7" s="1"/>
  <c r="E11" i="7"/>
  <c r="E12" i="7" s="1"/>
  <c r="D11" i="7"/>
  <c r="D12" i="7" s="1"/>
  <c r="C11" i="7"/>
  <c r="C12" i="7" s="1"/>
  <c r="B11" i="7"/>
  <c r="B12" i="7" s="1"/>
  <c r="L9" i="7"/>
  <c r="L10" i="7" s="1"/>
  <c r="K9" i="7"/>
  <c r="K10" i="7" s="1"/>
  <c r="J9" i="7"/>
  <c r="J10" i="7" s="1"/>
  <c r="I9" i="7"/>
  <c r="I10" i="7" s="1"/>
  <c r="H9" i="7"/>
  <c r="H10" i="7" s="1"/>
  <c r="G9" i="7"/>
  <c r="G10" i="7" s="1"/>
  <c r="F9" i="7"/>
  <c r="F10" i="7" s="1"/>
  <c r="E9" i="7"/>
  <c r="E10" i="7" s="1"/>
  <c r="D9" i="7"/>
  <c r="D10" i="7" s="1"/>
  <c r="C9" i="7"/>
  <c r="C10" i="7" s="1"/>
  <c r="B9" i="7"/>
  <c r="B10" i="7" s="1"/>
  <c r="L8" i="7"/>
  <c r="K8" i="7"/>
  <c r="J8" i="7"/>
  <c r="I8" i="7"/>
  <c r="H8" i="7"/>
  <c r="G8" i="7"/>
  <c r="F8" i="7"/>
  <c r="E8" i="7"/>
  <c r="D8" i="7"/>
  <c r="C8" i="7"/>
  <c r="B8" i="7"/>
  <c r="N16" i="5"/>
  <c r="N15" i="5"/>
  <c r="L11" i="5"/>
  <c r="K11" i="5"/>
  <c r="J11" i="5"/>
  <c r="I11" i="5"/>
  <c r="H11" i="5"/>
  <c r="G11" i="5"/>
  <c r="F11" i="5"/>
  <c r="E11" i="5"/>
  <c r="D11" i="5"/>
  <c r="C11" i="5"/>
  <c r="B11" i="5"/>
  <c r="N11" i="5"/>
  <c r="N8" i="5"/>
  <c r="G7" i="5"/>
  <c r="G12" i="5" s="1"/>
  <c r="G14" i="5" s="1"/>
  <c r="M4" i="5"/>
  <c r="M7" i="5" s="1"/>
  <c r="M12" i="5" s="1"/>
  <c r="M14" i="5" s="1"/>
  <c r="M13" i="5" s="1"/>
  <c r="N13" i="5" s="1"/>
  <c r="L4" i="5"/>
  <c r="L7" i="5" s="1"/>
  <c r="L12" i="5" s="1"/>
  <c r="L14" i="5" s="1"/>
  <c r="K4" i="5"/>
  <c r="K7" i="5" s="1"/>
  <c r="J4" i="5"/>
  <c r="J7" i="5" s="1"/>
  <c r="J12" i="5" s="1"/>
  <c r="J14" i="5" s="1"/>
  <c r="I4" i="5"/>
  <c r="I7" i="5" s="1"/>
  <c r="H4" i="5"/>
  <c r="H7" i="5" s="1"/>
  <c r="G4" i="5"/>
  <c r="F4" i="5"/>
  <c r="F7" i="5" s="1"/>
  <c r="F12" i="5" s="1"/>
  <c r="F14" i="5" s="1"/>
  <c r="E4" i="5"/>
  <c r="E7" i="5" s="1"/>
  <c r="D4" i="5"/>
  <c r="D7" i="5" s="1"/>
  <c r="D12" i="5" s="1"/>
  <c r="D14" i="5" s="1"/>
  <c r="C4" i="5"/>
  <c r="C7" i="5" s="1"/>
  <c r="C12" i="5" s="1"/>
  <c r="C14" i="5" s="1"/>
  <c r="B4" i="5"/>
  <c r="B7" i="5" s="1"/>
  <c r="B12" i="5" s="1"/>
  <c r="B14" i="5" s="1"/>
  <c r="B18" i="1"/>
  <c r="C18" i="1"/>
  <c r="D18" i="1"/>
  <c r="E18" i="1"/>
  <c r="F18" i="1"/>
  <c r="G18" i="1"/>
  <c r="H18" i="1"/>
  <c r="I18" i="1"/>
  <c r="J18" i="1"/>
  <c r="K18" i="1"/>
  <c r="L18" i="1"/>
  <c r="B14" i="1"/>
  <c r="C14" i="1"/>
  <c r="D14" i="1"/>
  <c r="E14" i="1"/>
  <c r="F14" i="1"/>
  <c r="G14" i="1"/>
  <c r="H14" i="1"/>
  <c r="I14" i="1"/>
  <c r="J14" i="1"/>
  <c r="K14" i="1"/>
  <c r="L14" i="1"/>
  <c r="B12" i="1"/>
  <c r="B13" i="1" s="1"/>
  <c r="C13" i="1"/>
  <c r="D13" i="1"/>
  <c r="E13" i="1"/>
  <c r="F13" i="1"/>
  <c r="G13" i="1"/>
  <c r="H13" i="1"/>
  <c r="I13" i="1"/>
  <c r="J13" i="1"/>
  <c r="K13" i="1"/>
  <c r="L13" i="1"/>
  <c r="B10" i="3"/>
  <c r="C10" i="3"/>
  <c r="D10" i="3"/>
  <c r="E10" i="3"/>
  <c r="F10" i="3"/>
  <c r="G10" i="3"/>
  <c r="H10" i="3"/>
  <c r="I10" i="3"/>
  <c r="J10" i="3"/>
  <c r="K10" i="3"/>
  <c r="L10" i="3"/>
  <c r="B20" i="3"/>
  <c r="B21" i="3" s="1"/>
  <c r="B8" i="1" s="1"/>
  <c r="C20" i="3"/>
  <c r="C21" i="3" s="1"/>
  <c r="D20" i="3"/>
  <c r="D21" i="3" s="1"/>
  <c r="E20" i="3"/>
  <c r="E21" i="3" s="1"/>
  <c r="F20" i="3"/>
  <c r="F21" i="3" s="1"/>
  <c r="G20" i="3"/>
  <c r="G21" i="3" s="1"/>
  <c r="H20" i="3"/>
  <c r="H21" i="3" s="1"/>
  <c r="I20" i="3"/>
  <c r="I21" i="3" s="1"/>
  <c r="J20" i="3"/>
  <c r="J21" i="3" s="1"/>
  <c r="K20" i="3"/>
  <c r="K21" i="3" s="1"/>
  <c r="L20" i="3"/>
  <c r="L21" i="3" s="1"/>
  <c r="M8" i="1" s="1"/>
  <c r="B4" i="3"/>
  <c r="C4" i="3"/>
  <c r="D4" i="3"/>
  <c r="E4" i="3"/>
  <c r="F4" i="3"/>
  <c r="G4" i="3"/>
  <c r="H4" i="3"/>
  <c r="I4" i="3"/>
  <c r="J4" i="3"/>
  <c r="K4" i="3"/>
  <c r="L4" i="3"/>
  <c r="C11" i="2"/>
  <c r="D11" i="2"/>
  <c r="E11" i="2"/>
  <c r="F11" i="2"/>
  <c r="G11" i="2"/>
  <c r="H11" i="2"/>
  <c r="I11" i="2"/>
  <c r="J11" i="2"/>
  <c r="K11" i="2"/>
  <c r="L11" i="2"/>
  <c r="B11" i="2" l="1"/>
  <c r="O11" i="2" s="1"/>
  <c r="O4" i="2"/>
  <c r="J7" i="1"/>
  <c r="B16" i="1"/>
  <c r="B7" i="1"/>
  <c r="H3" i="1"/>
  <c r="H7" i="1"/>
  <c r="F7" i="1"/>
  <c r="G7" i="1"/>
  <c r="E7" i="1"/>
  <c r="H8" i="1"/>
  <c r="I3" i="1"/>
  <c r="I7" i="1"/>
  <c r="L7" i="1"/>
  <c r="D7" i="1"/>
  <c r="K7" i="1"/>
  <c r="C7" i="1"/>
  <c r="E8" i="1"/>
  <c r="I8" i="1"/>
  <c r="G8" i="1"/>
  <c r="J8" i="1"/>
  <c r="E12" i="5"/>
  <c r="E14" i="5" s="1"/>
  <c r="I12" i="5"/>
  <c r="I14" i="5" s="1"/>
  <c r="K12" i="5"/>
  <c r="K14" i="5" s="1"/>
  <c r="E3" i="7"/>
  <c r="E3" i="1"/>
  <c r="L3" i="7"/>
  <c r="L3" i="1"/>
  <c r="D3" i="7"/>
  <c r="D3" i="1"/>
  <c r="L3" i="8"/>
  <c r="K3" i="1"/>
  <c r="D3" i="8"/>
  <c r="C3" i="1"/>
  <c r="G7" i="8"/>
  <c r="F8" i="1"/>
  <c r="H3" i="8"/>
  <c r="G3" i="1"/>
  <c r="J3" i="7"/>
  <c r="J3" i="1"/>
  <c r="B3" i="7"/>
  <c r="B3" i="1"/>
  <c r="F3" i="7"/>
  <c r="F3" i="1"/>
  <c r="L7" i="7"/>
  <c r="L8" i="1"/>
  <c r="D8" i="1"/>
  <c r="K8" i="1"/>
  <c r="C8" i="1"/>
  <c r="J14" i="2"/>
  <c r="J16" i="2" s="1"/>
  <c r="J4" i="1"/>
  <c r="H14" i="2"/>
  <c r="H4" i="1"/>
  <c r="F14" i="2"/>
  <c r="F4" i="1"/>
  <c r="L14" i="2"/>
  <c r="L4" i="1"/>
  <c r="D14" i="2"/>
  <c r="D4" i="1"/>
  <c r="I14" i="2"/>
  <c r="I4" i="1"/>
  <c r="G14" i="2"/>
  <c r="G4" i="1"/>
  <c r="B14" i="2"/>
  <c r="B4" i="1"/>
  <c r="E14" i="2"/>
  <c r="E16" i="2" s="1"/>
  <c r="E4" i="1"/>
  <c r="K14" i="2"/>
  <c r="K4" i="1"/>
  <c r="C14" i="2"/>
  <c r="C4" i="1"/>
  <c r="F23" i="12"/>
  <c r="F25" i="12" s="1"/>
  <c r="G18" i="8"/>
  <c r="I18" i="8"/>
  <c r="D19" i="1"/>
  <c r="B18" i="7"/>
  <c r="J18" i="7"/>
  <c r="J19" i="1"/>
  <c r="B19" i="1"/>
  <c r="I19" i="1"/>
  <c r="I18" i="7"/>
  <c r="H18" i="8"/>
  <c r="K18" i="7"/>
  <c r="F7" i="7"/>
  <c r="G7" i="7"/>
  <c r="C3" i="8"/>
  <c r="L19" i="1"/>
  <c r="G3" i="8"/>
  <c r="K19" i="1"/>
  <c r="C19" i="1"/>
  <c r="K3" i="8"/>
  <c r="C23" i="12"/>
  <c r="C25" i="12" s="1"/>
  <c r="G23" i="12"/>
  <c r="G25" i="12" s="1"/>
  <c r="C18" i="7"/>
  <c r="H19" i="1"/>
  <c r="H7" i="7"/>
  <c r="D18" i="7"/>
  <c r="D7" i="7"/>
  <c r="G19" i="1"/>
  <c r="E18" i="7"/>
  <c r="H7" i="8"/>
  <c r="D18" i="8"/>
  <c r="L18" i="8"/>
  <c r="F19" i="1"/>
  <c r="I7" i="8"/>
  <c r="L18" i="7"/>
  <c r="E19" i="1"/>
  <c r="B3" i="8"/>
  <c r="J7" i="8"/>
  <c r="B5" i="2"/>
  <c r="J5" i="2"/>
  <c r="B9" i="14"/>
  <c r="B7" i="14"/>
  <c r="F6" i="7"/>
  <c r="F5" i="2"/>
  <c r="E5" i="2"/>
  <c r="L5" i="2"/>
  <c r="K5" i="2"/>
  <c r="C5" i="2"/>
  <c r="I5" i="2"/>
  <c r="D5" i="2"/>
  <c r="H6" i="1"/>
  <c r="H5" i="2"/>
  <c r="G5" i="2"/>
  <c r="I6" i="3"/>
  <c r="I11" i="3" s="1"/>
  <c r="M18" i="8"/>
  <c r="F6" i="3"/>
  <c r="F11" i="3" s="1"/>
  <c r="B7" i="8"/>
  <c r="H3" i="7"/>
  <c r="C7" i="8"/>
  <c r="K7" i="8"/>
  <c r="L6" i="3"/>
  <c r="D6" i="3"/>
  <c r="D11" i="3" s="1"/>
  <c r="I3" i="7"/>
  <c r="I7" i="7"/>
  <c r="F18" i="7"/>
  <c r="D7" i="8"/>
  <c r="L7" i="8"/>
  <c r="E7" i="7"/>
  <c r="E18" i="8"/>
  <c r="G6" i="3"/>
  <c r="G11" i="3" s="1"/>
  <c r="G3" i="7"/>
  <c r="J3" i="8"/>
  <c r="L23" i="12"/>
  <c r="L25" i="12" s="1"/>
  <c r="E6" i="3"/>
  <c r="E11" i="3" s="1"/>
  <c r="M23" i="12"/>
  <c r="M25" i="12" s="1"/>
  <c r="K6" i="3"/>
  <c r="K11" i="3" s="1"/>
  <c r="C6" i="3"/>
  <c r="C11" i="3" s="1"/>
  <c r="B7" i="7"/>
  <c r="J7" i="7"/>
  <c r="G18" i="7"/>
  <c r="E3" i="8"/>
  <c r="M3" i="8"/>
  <c r="E7" i="8"/>
  <c r="M7" i="8"/>
  <c r="B18" i="8"/>
  <c r="J18" i="8"/>
  <c r="D23" i="12"/>
  <c r="D25" i="12" s="1"/>
  <c r="H6" i="3"/>
  <c r="I3" i="8"/>
  <c r="F18" i="8"/>
  <c r="J6" i="3"/>
  <c r="J11" i="3" s="1"/>
  <c r="B6" i="3"/>
  <c r="C3" i="7"/>
  <c r="K3" i="7"/>
  <c r="C7" i="7"/>
  <c r="K7" i="7"/>
  <c r="H18" i="7"/>
  <c r="F3" i="8"/>
  <c r="F7" i="8"/>
  <c r="C18" i="8"/>
  <c r="K18" i="8"/>
  <c r="E23" i="12"/>
  <c r="E25" i="12" s="1"/>
  <c r="D4" i="8"/>
  <c r="K6" i="7"/>
  <c r="C6" i="1"/>
  <c r="O13" i="1"/>
  <c r="H6" i="7"/>
  <c r="H23" i="12"/>
  <c r="H25" i="12" s="1"/>
  <c r="I23" i="12"/>
  <c r="I25" i="12" s="1"/>
  <c r="J23" i="12"/>
  <c r="J25" i="12" s="1"/>
  <c r="K23" i="12"/>
  <c r="K25" i="12" s="1"/>
  <c r="H12" i="5"/>
  <c r="H14" i="5" s="1"/>
  <c r="N7" i="5"/>
  <c r="N14" i="5"/>
  <c r="N12" i="5"/>
  <c r="E16" i="7" l="1"/>
  <c r="F16" i="8"/>
  <c r="K16" i="8"/>
  <c r="J16" i="7"/>
  <c r="L11" i="3"/>
  <c r="B11" i="3"/>
  <c r="B15" i="1"/>
  <c r="B5" i="8"/>
  <c r="H4" i="7"/>
  <c r="D4" i="7"/>
  <c r="G4" i="7"/>
  <c r="D6" i="1"/>
  <c r="L6" i="1"/>
  <c r="H4" i="8"/>
  <c r="J4" i="7"/>
  <c r="F15" i="7"/>
  <c r="G15" i="8"/>
  <c r="D16" i="2"/>
  <c r="K6" i="8"/>
  <c r="M4" i="8"/>
  <c r="L16" i="2"/>
  <c r="J6" i="1"/>
  <c r="M6" i="8"/>
  <c r="L4" i="7"/>
  <c r="E4" i="8"/>
  <c r="E6" i="8"/>
  <c r="I14" i="7"/>
  <c r="H11" i="3"/>
  <c r="J14" i="8"/>
  <c r="C14" i="8"/>
  <c r="H14" i="8"/>
  <c r="D14" i="7"/>
  <c r="E6" i="7"/>
  <c r="F14" i="8"/>
  <c r="I16" i="2"/>
  <c r="E4" i="7"/>
  <c r="G6" i="7"/>
  <c r="I6" i="7"/>
  <c r="J6" i="8"/>
  <c r="K6" i="1"/>
  <c r="F6" i="8"/>
  <c r="E6" i="1"/>
  <c r="I4" i="7"/>
  <c r="J4" i="8"/>
  <c r="L4" i="8"/>
  <c r="F4" i="8"/>
  <c r="G14" i="7"/>
  <c r="E14" i="7"/>
  <c r="L15" i="8"/>
  <c r="K15" i="7"/>
  <c r="K16" i="2"/>
  <c r="H16" i="2"/>
  <c r="L6" i="8"/>
  <c r="E5" i="8"/>
  <c r="D5" i="7"/>
  <c r="C6" i="8"/>
  <c r="B6" i="8"/>
  <c r="I4" i="8"/>
  <c r="D6" i="8"/>
  <c r="B16" i="2"/>
  <c r="K4" i="8"/>
  <c r="B6" i="1"/>
  <c r="C4" i="7"/>
  <c r="G4" i="8"/>
  <c r="F14" i="7"/>
  <c r="G14" i="8"/>
  <c r="I5" i="7"/>
  <c r="J5" i="8"/>
  <c r="F5" i="8"/>
  <c r="E5" i="7"/>
  <c r="I5" i="8"/>
  <c r="H5" i="7"/>
  <c r="F16" i="2"/>
  <c r="F4" i="7"/>
  <c r="B6" i="7"/>
  <c r="K5" i="7"/>
  <c r="L5" i="8"/>
  <c r="G16" i="2"/>
  <c r="I14" i="8"/>
  <c r="F6" i="1"/>
  <c r="G6" i="1"/>
  <c r="G6" i="8"/>
  <c r="C6" i="7"/>
  <c r="I6" i="8"/>
  <c r="M5" i="8"/>
  <c r="L5" i="7"/>
  <c r="J5" i="7"/>
  <c r="K5" i="8"/>
  <c r="D6" i="7"/>
  <c r="L6" i="7"/>
  <c r="C16" i="2"/>
  <c r="C4" i="8"/>
  <c r="B4" i="8"/>
  <c r="J6" i="7"/>
  <c r="K4" i="7"/>
  <c r="B4" i="7"/>
  <c r="H14" i="7"/>
  <c r="H5" i="8"/>
  <c r="G5" i="7"/>
  <c r="I6" i="1"/>
  <c r="B5" i="7"/>
  <c r="C5" i="8"/>
  <c r="H6" i="8"/>
  <c r="C5" i="7"/>
  <c r="D5" i="8"/>
  <c r="G5" i="8"/>
  <c r="F5" i="7"/>
  <c r="C14" i="7"/>
  <c r="K14" i="8"/>
  <c r="M14" i="8"/>
  <c r="L14" i="7"/>
  <c r="B14" i="7"/>
  <c r="K14" i="7"/>
  <c r="E14" i="8"/>
  <c r="B14" i="8"/>
  <c r="L14" i="8"/>
  <c r="J14" i="7"/>
  <c r="D14" i="8"/>
  <c r="C16" i="7" l="1"/>
  <c r="D16" i="8"/>
  <c r="H16" i="8"/>
  <c r="G16" i="7"/>
  <c r="H16" i="7"/>
  <c r="I16" i="8"/>
  <c r="L16" i="7"/>
  <c r="M16" i="8"/>
  <c r="G16" i="8"/>
  <c r="F16" i="7"/>
  <c r="B16" i="7"/>
  <c r="C16" i="8"/>
  <c r="K16" i="7"/>
  <c r="L16" i="8"/>
  <c r="K15" i="8"/>
  <c r="I16" i="7"/>
  <c r="J16" i="8"/>
  <c r="E15" i="7"/>
  <c r="D16" i="7"/>
  <c r="E16" i="8"/>
  <c r="F15" i="8"/>
  <c r="J15" i="7"/>
  <c r="E15" i="8"/>
  <c r="D15" i="7"/>
  <c r="H15" i="8"/>
  <c r="G15" i="7"/>
  <c r="M15" i="8"/>
  <c r="L15" i="7"/>
  <c r="H15" i="7"/>
  <c r="I15" i="8"/>
  <c r="B15" i="7"/>
  <c r="C15" i="8"/>
  <c r="B15" i="8"/>
  <c r="I15" i="7"/>
  <c r="J15" i="8"/>
  <c r="D15" i="8"/>
  <c r="C15" i="7"/>
  <c r="M16" i="7"/>
  <c r="B16" i="8"/>
  <c r="O1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C44167-BB8F-412F-9544-EFDE78588EFC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2" xr16:uid="{B8C3B819-976B-48B4-B045-152BFD4DB404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3" xr16:uid="{2924FB52-4D0E-4E92-B648-C65DE5D00C5B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4" xr16:uid="{5A98DD4D-0A6D-4D91-A59D-1AE91BD35B04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  <connection id="5" xr16:uid="{9F329899-7497-46C9-B5AD-B752AB913E74}" keepAlive="1" name="Query - Table 1 (5)" description="Connection to the 'Table 1 (5)' query in the workbook." type="5" refreshedVersion="8" background="1" saveData="1">
    <dbPr connection="Provider=Microsoft.Mashup.OleDb.1;Data Source=$Workbook$;Location=&quot;Table 1 (5)&quot;;Extended Properties=&quot;&quot;" command="SELECT * FROM [Table 1 (5)]"/>
  </connection>
  <connection id="6" xr16:uid="{759604F1-D2E3-4D0B-989E-4CDD646A9666}" keepAlive="1" name="Query - Table 2" description="Connection to the 'Table 2' query in the workbook." type="5" refreshedVersion="0" background="1">
    <dbPr connection="Provider=Microsoft.Mashup.OleDb.1;Data Source=$Workbook$;Location=&quot;Table 2&quot;;Extended Properties=&quot;&quot;" command="SELECT * FROM [Table 2]"/>
  </connection>
  <connection id="7" xr16:uid="{EE18FADE-22EB-49AC-8E13-FAE956A31991}" keepAlive="1" name="Query - Table 2 (2)" description="Connection to the 'Table 2 (2)' query in the workbook." type="5" refreshedVersion="8" background="1" saveData="1">
    <dbPr connection="Provider=Microsoft.Mashup.OleDb.1;Data Source=$Workbook$;Location=&quot;Table 2 (2)&quot;;Extended Properties=&quot;&quot;" command="SELECT * FROM [Table 2 (2)]"/>
  </connection>
  <connection id="8" xr16:uid="{0ACFC93C-266A-4A53-861D-A3D0B3B8AAE2}" keepAlive="1" name="Query - Table 2 (3)" description="Connection to the 'Table 2 (3)' query in the workbook." type="5" refreshedVersion="0" background="1">
    <dbPr connection="Provider=Microsoft.Mashup.OleDb.1;Data Source=$Workbook$;Location=&quot;Table 2 (3)&quot;;Extended Properties=&quot;&quot;" command="SELECT * FROM [Table 2 (3)]"/>
  </connection>
  <connection id="9" xr16:uid="{51711FCE-82EB-4FC0-89D0-711B77E9E03A}" keepAlive="1" name="Query - Table 3" description="Connection to the 'Table 3' query in the workbook." type="5" refreshedVersion="0" background="1">
    <dbPr connection="Provider=Microsoft.Mashup.OleDb.1;Data Source=$Workbook$;Location=&quot;Table 3&quot;;Extended Properties=&quot;&quot;" command="SELECT * FROM [Table 3]"/>
  </connection>
  <connection id="10" xr16:uid="{990ACA47-727E-463C-8D5F-76773CF09EE4}" keepAlive="1" name="Query - Table 6" description="Connection to the 'Table 6' query in the workbook." type="5" refreshedVersion="8" background="1" saveData="1">
    <dbPr connection="Provider=Microsoft.Mashup.OleDb.1;Data Source=$Workbook$;Location=&quot;Table 6&quot;;Extended Properties=&quot;&quot;" command="SELECT * FROM [Table 6]"/>
  </connection>
  <connection id="11" xr16:uid="{750A4BCA-4D2F-4CF0-A761-999034ADA5EE}" keepAlive="1" name="Query - Table 8" description="Connection to the 'Table 8' query in the workbook." type="5" refreshedVersion="8" background="1" saveData="1">
    <dbPr connection="Provider=Microsoft.Mashup.OleDb.1;Data Source=$Workbook$;Location=&quot;Table 8&quot;;Extended Properties=&quot;&quot;" command="SELECT * FROM [Table 8]"/>
  </connection>
  <connection id="12" xr16:uid="{DB0790D4-1F3C-46C5-9CA3-416A7AA2768E}" keepAlive="1" name="Query - Table 8 (2)" description="Connection to the 'Table 8 (2)' query in the workbook." type="5" refreshedVersion="8" background="1" saveData="1">
    <dbPr connection="Provider=Microsoft.Mashup.OleDb.1;Data Source=$Workbook$;Location=&quot;Table 8 (2)&quot;;Extended Properties=&quot;&quot;" command="SELECT * FROM [Table 8 (2)]"/>
  </connection>
  <connection id="13" xr16:uid="{8A12E06E-55BC-430E-B93E-36769EBDAFFD}" keepAlive="1" name="Query - Table 9" description="Connection to the 'Table 9' query in the workbook." type="5" refreshedVersion="8" background="1" saveData="1">
    <dbPr connection="Provider=Microsoft.Mashup.OleDb.1;Data Source=$Workbook$;Location=&quot;Table 9&quot;;Extended Properties=&quot;&quot;" command="SELECT * FROM [Table 9]"/>
  </connection>
</connections>
</file>

<file path=xl/sharedStrings.xml><?xml version="1.0" encoding="utf-8"?>
<sst xmlns="http://schemas.openxmlformats.org/spreadsheetml/2006/main" count="1085" uniqueCount="714">
  <si>
    <t>Mar 2012</t>
  </si>
  <si>
    <t>Mar 2013</t>
  </si>
  <si>
    <t>Mar 2014</t>
  </si>
  <si>
    <t>Mar 2015</t>
  </si>
  <si>
    <t>Mar 2016</t>
  </si>
  <si>
    <t>Mar 2017</t>
  </si>
  <si>
    <t>Mar 2018</t>
  </si>
  <si>
    <t>Mar 2019</t>
  </si>
  <si>
    <t>Mar 2020</t>
  </si>
  <si>
    <t>Mar 2021</t>
  </si>
  <si>
    <t>Mar 2022</t>
  </si>
  <si>
    <t>Mar 2023</t>
  </si>
  <si>
    <t>TTM</t>
  </si>
  <si>
    <t>OPM %</t>
  </si>
  <si>
    <t>Interest</t>
  </si>
  <si>
    <t>Depreciation</t>
  </si>
  <si>
    <t>Profit before tax</t>
  </si>
  <si>
    <t>Tax %</t>
  </si>
  <si>
    <t>EPS in Rs</t>
  </si>
  <si>
    <t>Dividend Payout %</t>
  </si>
  <si>
    <t>Reserves</t>
  </si>
  <si>
    <t>Total Liabilities</t>
  </si>
  <si>
    <t>CWIP</t>
  </si>
  <si>
    <t>Investments</t>
  </si>
  <si>
    <t>Total Assets</t>
  </si>
  <si>
    <t>Sales </t>
  </si>
  <si>
    <t>Expenses </t>
  </si>
  <si>
    <t>Net Profit </t>
  </si>
  <si>
    <t>Particulars</t>
  </si>
  <si>
    <t>EBIDTA/Operating Profit</t>
  </si>
  <si>
    <t>EBIT</t>
  </si>
  <si>
    <t>Exceptional items</t>
  </si>
  <si>
    <t>Other income normal</t>
  </si>
  <si>
    <t>Tax</t>
  </si>
  <si>
    <t>Other income</t>
  </si>
  <si>
    <t>Growth</t>
  </si>
  <si>
    <t xml:space="preserve"> </t>
  </si>
  <si>
    <t>Share Capital </t>
  </si>
  <si>
    <t>Borrowings</t>
  </si>
  <si>
    <t>Other Liabilities </t>
  </si>
  <si>
    <t>Fixed Assets </t>
  </si>
  <si>
    <t xml:space="preserve">Particulars </t>
  </si>
  <si>
    <t>Capital Employed</t>
  </si>
  <si>
    <t>Non controlling int</t>
  </si>
  <si>
    <t>Trade Payables</t>
  </si>
  <si>
    <t>Other liability items</t>
  </si>
  <si>
    <t>Inventories</t>
  </si>
  <si>
    <t>Trade receivables</t>
  </si>
  <si>
    <t>Cash Equivalents</t>
  </si>
  <si>
    <t>Short term loans</t>
  </si>
  <si>
    <t>Other asset items</t>
  </si>
  <si>
    <t>Total Share Capital</t>
  </si>
  <si>
    <t>Total Other Asessts</t>
  </si>
  <si>
    <t>Finance &gt;&gt;Key Financial Ratios</t>
  </si>
  <si>
    <t>Key Ratios</t>
  </si>
  <si>
    <t>Debt-Equity Ratio</t>
  </si>
  <si>
    <t>Interest Coverage  Ratio</t>
  </si>
  <si>
    <t>EBIDTA (%)</t>
  </si>
  <si>
    <t>EBIT (%)</t>
  </si>
  <si>
    <t>Total  Assets Turnover Ratio</t>
  </si>
  <si>
    <t>Current Ratio</t>
  </si>
  <si>
    <t>Inventory Turnover Ratio</t>
  </si>
  <si>
    <t xml:space="preserve">Inventory days </t>
  </si>
  <si>
    <t>Debtors turnover ratio</t>
  </si>
  <si>
    <t>Receivable days outstanding</t>
  </si>
  <si>
    <t>PAT (%)</t>
  </si>
  <si>
    <t>ROCE (%)</t>
  </si>
  <si>
    <t>ROE (%)</t>
  </si>
  <si>
    <t>EPS</t>
  </si>
  <si>
    <t>Non Controlling Interest</t>
  </si>
  <si>
    <t>NCI %</t>
  </si>
  <si>
    <t xml:space="preserve">A good ICR ratio should be more than 3. Company has maintainted at a good level and not prone to bankrupty </t>
  </si>
  <si>
    <t xml:space="preserve">Company operating margin over the year has increased through good cost control measures </t>
  </si>
  <si>
    <t>Company should improve the ratio to become more profitable</t>
  </si>
  <si>
    <t xml:space="preserve">Low  current ratio less than 1 would mean that most of the currents asets are getting financed through current liabilties </t>
  </si>
  <si>
    <t>ITR is declining over the last 5 years , whereby the inventory days are going up , not a good trend</t>
  </si>
  <si>
    <t>Company has managed its receivable well at a low level</t>
  </si>
  <si>
    <t>Company needs to improve its ROCE &amp; ROE</t>
  </si>
  <si>
    <t>Company has been been expanding its operations through Merger &amp; acquistions</t>
  </si>
  <si>
    <t>COMMENTS</t>
  </si>
  <si>
    <t>Column1</t>
  </si>
  <si>
    <t>Debtor Days</t>
  </si>
  <si>
    <t>Inventory Days</t>
  </si>
  <si>
    <t>Days Payable</t>
  </si>
  <si>
    <t>Cash Conversion Cycle</t>
  </si>
  <si>
    <t>Working Capital Days</t>
  </si>
  <si>
    <t>ROCE %</t>
  </si>
  <si>
    <t>Sep 2020</t>
  </si>
  <si>
    <t>Dec 2020</t>
  </si>
  <si>
    <t>Jun 2021</t>
  </si>
  <si>
    <t>Sep 2021</t>
  </si>
  <si>
    <t>Dec 2021</t>
  </si>
  <si>
    <t>Jun 2022</t>
  </si>
  <si>
    <t>Sep 2022</t>
  </si>
  <si>
    <t>Dec 2022</t>
  </si>
  <si>
    <t>Jun 2023</t>
  </si>
  <si>
    <t>Promoters +</t>
  </si>
  <si>
    <t>FIIs +</t>
  </si>
  <si>
    <t>DIIs +</t>
  </si>
  <si>
    <t>Government +</t>
  </si>
  <si>
    <t>Public +</t>
  </si>
  <si>
    <t>No. of Shareholders</t>
  </si>
  <si>
    <t xml:space="preserve">Receiables </t>
  </si>
  <si>
    <t>Current Assets</t>
  </si>
  <si>
    <t xml:space="preserve">Trade Payable </t>
  </si>
  <si>
    <t>Net Working Capital</t>
  </si>
  <si>
    <t>Average Working Capital</t>
  </si>
  <si>
    <t>Sales</t>
  </si>
  <si>
    <t>Days Working Capital</t>
  </si>
  <si>
    <t>Reported Net Profit</t>
  </si>
  <si>
    <t>Minority share</t>
  </si>
  <si>
    <t>Profit for EPS</t>
  </si>
  <si>
    <t>Exceptional items AT</t>
  </si>
  <si>
    <t>Profit for PE</t>
  </si>
  <si>
    <t>Shares outstanding</t>
  </si>
  <si>
    <t xml:space="preserve">Data </t>
  </si>
  <si>
    <t>Market Capitalisation  Rs crores</t>
  </si>
  <si>
    <t>Current price Rs</t>
  </si>
  <si>
    <t>Shares outstanding (crores)</t>
  </si>
  <si>
    <t>Enterprise Value</t>
  </si>
  <si>
    <t>PE Ratio</t>
  </si>
  <si>
    <t>Net Income</t>
  </si>
  <si>
    <t xml:space="preserve">NET DEBT </t>
  </si>
  <si>
    <t>Company has been focusing  on deleveraging the balance sheet by paying debt from equity proceeds , which means most of the assets are financed through Equity, Company is financially healthy</t>
  </si>
  <si>
    <t xml:space="preserve">Years </t>
  </si>
  <si>
    <t xml:space="preserve"> Investments</t>
  </si>
  <si>
    <t>Receiavbles</t>
  </si>
  <si>
    <t>Cash &amp; Cash E</t>
  </si>
  <si>
    <t>Loans</t>
  </si>
  <si>
    <t>other Financial Ass</t>
  </si>
  <si>
    <t>other Current Ass</t>
  </si>
  <si>
    <t>Financial Liabilities</t>
  </si>
  <si>
    <t xml:space="preserve">Borrowings </t>
  </si>
  <si>
    <t>lease Liabilities</t>
  </si>
  <si>
    <t>trade Payables</t>
  </si>
  <si>
    <t>other Financial Liab</t>
  </si>
  <si>
    <t>other Current liab</t>
  </si>
  <si>
    <t xml:space="preserve">provisions </t>
  </si>
  <si>
    <t xml:space="preserve">CURRENT ASSETS </t>
  </si>
  <si>
    <t xml:space="preserve">CURRENT LIABILITIES </t>
  </si>
  <si>
    <t>FROM ANNUAL REPORT</t>
  </si>
  <si>
    <t>Inventory turn over</t>
  </si>
  <si>
    <t>Cost of good sold</t>
  </si>
  <si>
    <t>Average Inventory</t>
  </si>
  <si>
    <t xml:space="preserve">Cost of Material consumed </t>
  </si>
  <si>
    <t>purchase of stock</t>
  </si>
  <si>
    <t>Changes in Inventories</t>
  </si>
  <si>
    <t xml:space="preserve">Average </t>
  </si>
  <si>
    <t>Mar 2024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</si>
  <si>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</si>
  <si>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</si>
  <si>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</si>
  <si>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</si>
  <si>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</si>
  <si>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</si>
  <si>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</si>
  <si>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</si>
  <si>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</si>
  <si>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</si>
  <si>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</si>
  <si>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</si>
  <si>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</si>
  <si>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/>
  </si>
  <si>
    <t>Sales +</t>
  </si>
  <si>
    <t>Expenses +</t>
  </si>
  <si>
    <t>Operating Profit</t>
  </si>
  <si>
    <t>16%</t>
  </si>
  <si>
    <t>15%</t>
  </si>
  <si>
    <t>17%</t>
  </si>
  <si>
    <t>18%</t>
  </si>
  <si>
    <t>Other Income +</t>
  </si>
  <si>
    <t>19%</t>
  </si>
  <si>
    <t>20%</t>
  </si>
  <si>
    <t>28%</t>
  </si>
  <si>
    <t>24%</t>
  </si>
  <si>
    <t>23%</t>
  </si>
  <si>
    <t>11%</t>
  </si>
  <si>
    <t>25%</t>
  </si>
  <si>
    <t>Net Profit +</t>
  </si>
  <si>
    <t>395,957</t>
  </si>
  <si>
    <t>433,521</t>
  </si>
  <si>
    <t>374,372</t>
  </si>
  <si>
    <t>272,583</t>
  </si>
  <si>
    <t>303,954</t>
  </si>
  <si>
    <t>390,823</t>
  </si>
  <si>
    <t>568,337</t>
  </si>
  <si>
    <t>596,679</t>
  </si>
  <si>
    <t>466,307</t>
  </si>
  <si>
    <t>694,673</t>
  </si>
  <si>
    <t>876,396</t>
  </si>
  <si>
    <t>899,041</t>
  </si>
  <si>
    <t>939,838</t>
  </si>
  <si>
    <t>362,802</t>
  </si>
  <si>
    <t>398,586</t>
  </si>
  <si>
    <t>336,923</t>
  </si>
  <si>
    <t>230,802</t>
  </si>
  <si>
    <t>257,647</t>
  </si>
  <si>
    <t>326,508</t>
  </si>
  <si>
    <t>484,087</t>
  </si>
  <si>
    <t>507,413</t>
  </si>
  <si>
    <t>385,517</t>
  </si>
  <si>
    <t>586,092</t>
  </si>
  <si>
    <t>734,078</t>
  </si>
  <si>
    <t>736,543</t>
  </si>
  <si>
    <t>775,710</t>
  </si>
  <si>
    <t>33,155</t>
  </si>
  <si>
    <t>34,935</t>
  </si>
  <si>
    <t>37,449</t>
  </si>
  <si>
    <t>41,781</t>
  </si>
  <si>
    <t>46,307</t>
  </si>
  <si>
    <t>64,315</t>
  </si>
  <si>
    <t>84,250</t>
  </si>
  <si>
    <t>89,266</t>
  </si>
  <si>
    <t>80,790</t>
  </si>
  <si>
    <t>108,581</t>
  </si>
  <si>
    <t>142,318</t>
  </si>
  <si>
    <t>162,498</t>
  </si>
  <si>
    <t>164,128</t>
  </si>
  <si>
    <t>8%</t>
  </si>
  <si>
    <t>10%</t>
  </si>
  <si>
    <t>7,757</t>
  </si>
  <si>
    <t>8,865</t>
  </si>
  <si>
    <t>8,528</t>
  </si>
  <si>
    <t>12,212</t>
  </si>
  <si>
    <t>9,222</t>
  </si>
  <si>
    <t>9,869</t>
  </si>
  <si>
    <t>8,406</t>
  </si>
  <si>
    <t>8,570</t>
  </si>
  <si>
    <t>22,432</t>
  </si>
  <si>
    <t>19,600</t>
  </si>
  <si>
    <t>12,020</t>
  </si>
  <si>
    <t>16,179</t>
  </si>
  <si>
    <t>17,607</t>
  </si>
  <si>
    <t>3,463</t>
  </si>
  <si>
    <t>3,836</t>
  </si>
  <si>
    <t>3,316</t>
  </si>
  <si>
    <t>3,691</t>
  </si>
  <si>
    <t>3,849</t>
  </si>
  <si>
    <t>8,052</t>
  </si>
  <si>
    <t>16,495</t>
  </si>
  <si>
    <t>22,027</t>
  </si>
  <si>
    <t>21,189</t>
  </si>
  <si>
    <t>14,584</t>
  </si>
  <si>
    <t>19,571</t>
  </si>
  <si>
    <t>23,118</t>
  </si>
  <si>
    <t>23,875</t>
  </si>
  <si>
    <t>11,232</t>
  </si>
  <si>
    <t>11,201</t>
  </si>
  <si>
    <t>11,547</t>
  </si>
  <si>
    <t>11,565</t>
  </si>
  <si>
    <t>11,646</t>
  </si>
  <si>
    <t>16,706</t>
  </si>
  <si>
    <t>20,934</t>
  </si>
  <si>
    <t>22,203</t>
  </si>
  <si>
    <t>26,572</t>
  </si>
  <si>
    <t>29,782</t>
  </si>
  <si>
    <t>40,303</t>
  </si>
  <si>
    <t>50,832</t>
  </si>
  <si>
    <t>53,226</t>
  </si>
  <si>
    <t>26,217</t>
  </si>
  <si>
    <t>28,763</t>
  </si>
  <si>
    <t>31,114</t>
  </si>
  <si>
    <t>38,737</t>
  </si>
  <si>
    <t>40,034</t>
  </si>
  <si>
    <t>49,426</t>
  </si>
  <si>
    <t>55,227</t>
  </si>
  <si>
    <t>53,606</t>
  </si>
  <si>
    <t>55,461</t>
  </si>
  <si>
    <t>83,815</t>
  </si>
  <si>
    <t>94,464</t>
  </si>
  <si>
    <t>104,727</t>
  </si>
  <si>
    <t>104,634</t>
  </si>
  <si>
    <t>22%</t>
  </si>
  <si>
    <t>27%</t>
  </si>
  <si>
    <t>26%</t>
  </si>
  <si>
    <t>3%</t>
  </si>
  <si>
    <t>20,886</t>
  </si>
  <si>
    <t>22,548</t>
  </si>
  <si>
    <t>23,640</t>
  </si>
  <si>
    <t>29,861</t>
  </si>
  <si>
    <t>29,833</t>
  </si>
  <si>
    <t>36,080</t>
  </si>
  <si>
    <t>39,837</t>
  </si>
  <si>
    <t>39,880</t>
  </si>
  <si>
    <t>53,739</t>
  </si>
  <si>
    <t>67,845</t>
  </si>
  <si>
    <t>74,088</t>
  </si>
  <si>
    <t>79,020</t>
  </si>
  <si>
    <t>79,941</t>
  </si>
  <si>
    <t>15.16</t>
  </si>
  <si>
    <t>16.31</t>
  </si>
  <si>
    <t>17.07</t>
  </si>
  <si>
    <t>21.51</t>
  </si>
  <si>
    <t>21.55</t>
  </si>
  <si>
    <t>26.69</t>
  </si>
  <si>
    <t>29.28</t>
  </si>
  <si>
    <t>29.10</t>
  </si>
  <si>
    <t>38.75</t>
  </si>
  <si>
    <t>44.87</t>
  </si>
  <si>
    <t>49.29</t>
  </si>
  <si>
    <t>51.45</t>
  </si>
  <si>
    <t>51.14</t>
  </si>
  <si>
    <t>13%</t>
  </si>
  <si>
    <t>12%</t>
  </si>
  <si>
    <t>9%</t>
  </si>
  <si>
    <t>Mar-24</t>
  </si>
  <si>
    <t>Profit Before Tax</t>
  </si>
  <si>
    <t>Sep 2024</t>
  </si>
  <si>
    <t>Equity Capital</t>
  </si>
  <si>
    <t>2,936</t>
  </si>
  <si>
    <t>2,940</t>
  </si>
  <si>
    <t>2,943</t>
  </si>
  <si>
    <t>2,948</t>
  </si>
  <si>
    <t>2,959</t>
  </si>
  <si>
    <t>5,922</t>
  </si>
  <si>
    <t>5,926</t>
  </si>
  <si>
    <t>6,339</t>
  </si>
  <si>
    <t>6,445</t>
  </si>
  <si>
    <t>6,765</t>
  </si>
  <si>
    <t>6,766</t>
  </si>
  <si>
    <t>179,119</t>
  </si>
  <si>
    <t>195,747</t>
  </si>
  <si>
    <t>215,556</t>
  </si>
  <si>
    <t>228,608</t>
  </si>
  <si>
    <t>260,750</t>
  </si>
  <si>
    <t>287,584</t>
  </si>
  <si>
    <t>381,186</t>
  </si>
  <si>
    <t>442,827</t>
  </si>
  <si>
    <t>693,727</t>
  </si>
  <si>
    <t>772,720</t>
  </si>
  <si>
    <t>709,106</t>
  </si>
  <si>
    <t>786,715</t>
  </si>
  <si>
    <t>812,687</t>
  </si>
  <si>
    <t>Borrowings +</t>
  </si>
  <si>
    <t>107,219</t>
  </si>
  <si>
    <t>138,761</t>
  </si>
  <si>
    <t>168,251</t>
  </si>
  <si>
    <t>194,714</t>
  </si>
  <si>
    <t>217,475</t>
  </si>
  <si>
    <t>239,843</t>
  </si>
  <si>
    <t>307,714</t>
  </si>
  <si>
    <t>355,133</t>
  </si>
  <si>
    <t>278,962</t>
  </si>
  <si>
    <t>319,158</t>
  </si>
  <si>
    <t>451,664</t>
  </si>
  <si>
    <t>458,991</t>
  </si>
  <si>
    <t>357,525</t>
  </si>
  <si>
    <t>Other Liabilities +</t>
  </si>
  <si>
    <t>73,083</t>
  </si>
  <si>
    <t>91,395</t>
  </si>
  <si>
    <t>117,736</t>
  </si>
  <si>
    <t>172,727</t>
  </si>
  <si>
    <t>225,618</t>
  </si>
  <si>
    <t>277,924</t>
  </si>
  <si>
    <t>302,804</t>
  </si>
  <si>
    <t>358,716</t>
  </si>
  <si>
    <t>340,931</t>
  </si>
  <si>
    <t>399,979</t>
  </si>
  <si>
    <t>438,346</t>
  </si>
  <si>
    <t>502,576</t>
  </si>
  <si>
    <t>638,145</t>
  </si>
  <si>
    <t>362,357</t>
  </si>
  <si>
    <t>428,843</t>
  </si>
  <si>
    <t>504,486</t>
  </si>
  <si>
    <t>598,997</t>
  </si>
  <si>
    <t>706,802</t>
  </si>
  <si>
    <t>811,273</t>
  </si>
  <si>
    <t>997,630</t>
  </si>
  <si>
    <t>1,163,015</t>
  </si>
  <si>
    <t>1,320,065</t>
  </si>
  <si>
    <t>1,498,622</t>
  </si>
  <si>
    <t>1,605,882</t>
  </si>
  <si>
    <t>1,755,048</t>
  </si>
  <si>
    <t>1,815,123</t>
  </si>
  <si>
    <t>Fixed Assets +</t>
  </si>
  <si>
    <t>133,487</t>
  </si>
  <si>
    <t>141,417</t>
  </si>
  <si>
    <t>156,458</t>
  </si>
  <si>
    <t>184,910</t>
  </si>
  <si>
    <t>198,526</t>
  </si>
  <si>
    <t>403,885</t>
  </si>
  <si>
    <t>398,374</t>
  </si>
  <si>
    <t>532,658</t>
  </si>
  <si>
    <t>541,258</t>
  </si>
  <si>
    <t>627,798</t>
  </si>
  <si>
    <t>724,805</t>
  </si>
  <si>
    <t>779,985</t>
  </si>
  <si>
    <t>968,747</t>
  </si>
  <si>
    <t>49,952</t>
  </si>
  <si>
    <t>91,494</t>
  </si>
  <si>
    <t>166,462</t>
  </si>
  <si>
    <t>228,697</t>
  </si>
  <si>
    <t>324,837</t>
  </si>
  <si>
    <t>187,022</t>
  </si>
  <si>
    <t>179,463</t>
  </si>
  <si>
    <t>109,106</t>
  </si>
  <si>
    <t>125,953</t>
  </si>
  <si>
    <t>172,506</t>
  </si>
  <si>
    <t>293,752</t>
  </si>
  <si>
    <t>338,855</t>
  </si>
  <si>
    <t>198,873</t>
  </si>
  <si>
    <t>42,848</t>
  </si>
  <si>
    <t>60,602</t>
  </si>
  <si>
    <t>76,451</t>
  </si>
  <si>
    <t>84,015</t>
  </si>
  <si>
    <t>82,899</t>
  </si>
  <si>
    <t>82,862</t>
  </si>
  <si>
    <t>235,635</t>
  </si>
  <si>
    <t>276,767</t>
  </si>
  <si>
    <t>364,828</t>
  </si>
  <si>
    <t>394,264</t>
  </si>
  <si>
    <t>235,560</t>
  </si>
  <si>
    <t>225,672</t>
  </si>
  <si>
    <t>244,559</t>
  </si>
  <si>
    <t>Other Assets +</t>
  </si>
  <si>
    <t>136,070</t>
  </si>
  <si>
    <t>135,330</t>
  </si>
  <si>
    <t>105,115</t>
  </si>
  <si>
    <t>101,375</t>
  </si>
  <si>
    <t>100,540</t>
  </si>
  <si>
    <t>137,504</t>
  </si>
  <si>
    <t>184,158</t>
  </si>
  <si>
    <t>244,484</t>
  </si>
  <si>
    <t>288,026</t>
  </si>
  <si>
    <t>304,054</t>
  </si>
  <si>
    <t>351,765</t>
  </si>
  <si>
    <t>410,536</t>
  </si>
  <si>
    <t>402,944</t>
  </si>
  <si>
    <t>Sep-24</t>
  </si>
  <si>
    <t>Book value per share</t>
  </si>
  <si>
    <t>Key Information for EPS Calculation:</t>
  </si>
  <si>
    <t>For Continuing Operations:</t>
  </si>
  <si>
    <r>
      <t>Net Profit (After Tax)</t>
    </r>
    <r>
      <rPr>
        <sz val="11"/>
        <color theme="1"/>
        <rFont val="Calibri"/>
        <family val="2"/>
        <scheme val="minor"/>
      </rPr>
      <t xml:space="preserve"> for continuing operations attributable to equity shareholders (in ₹ crore):</t>
    </r>
  </si>
  <si>
    <t>2023-24</t>
  </si>
  <si>
    <t>2022-23</t>
  </si>
  <si>
    <t xml:space="preserve">Rs Crores </t>
  </si>
  <si>
    <t>FY</t>
  </si>
  <si>
    <r>
      <t>Weighted Average Number of Shares (Basic)</t>
    </r>
    <r>
      <rPr>
        <sz val="11"/>
        <color theme="1"/>
        <rFont val="Calibri"/>
        <family val="2"/>
        <scheme val="minor"/>
      </rPr>
      <t>:</t>
    </r>
  </si>
  <si>
    <r>
      <t>Weighted Average Number of Shares (Diluted)</t>
    </r>
    <r>
      <rPr>
        <sz val="11"/>
        <color theme="1"/>
        <rFont val="Calibri"/>
        <family val="2"/>
        <scheme val="minor"/>
      </rPr>
      <t>:</t>
    </r>
  </si>
  <si>
    <r>
      <t>EPS (Basic)</t>
    </r>
    <r>
      <rPr>
        <sz val="11"/>
        <color theme="1"/>
        <rFont val="Calibri"/>
        <family val="2"/>
        <scheme val="minor"/>
      </rPr>
      <t>: ₹ 102.90 (2023-24), ₹ 97.97 (2022-23)</t>
    </r>
  </si>
  <si>
    <r>
      <t>EPS (Diluted)</t>
    </r>
    <r>
      <rPr>
        <sz val="11"/>
        <color theme="1"/>
        <rFont val="Calibri"/>
        <family val="2"/>
        <scheme val="minor"/>
      </rPr>
      <t>: ₹ 102.90 (2023-24), ₹ 97.97 (2022-23)</t>
    </r>
  </si>
  <si>
    <t>Category</t>
  </si>
  <si>
    <t>2023-24 (₹ in crore)</t>
  </si>
  <si>
    <t>2022-23 (₹ in crore)</t>
  </si>
  <si>
    <t>Income</t>
  </si>
  <si>
    <t>Value of Sales</t>
  </si>
  <si>
    <t>8,83,646</t>
  </si>
  <si>
    <t>8,56,770</t>
  </si>
  <si>
    <t>Income from Services</t>
  </si>
  <si>
    <t>1,16,476</t>
  </si>
  <si>
    <t>1,18,094</t>
  </si>
  <si>
    <t>Value of Sales &amp; Services (Revenue)</t>
  </si>
  <si>
    <t>Less: GST Recovered</t>
  </si>
  <si>
    <t>85,650</t>
  </si>
  <si>
    <t>83,553</t>
  </si>
  <si>
    <t>Revenue from Operations</t>
  </si>
  <si>
    <t>Other Income</t>
  </si>
  <si>
    <t>16,057</t>
  </si>
  <si>
    <t>11,734</t>
  </si>
  <si>
    <t>Total Income</t>
  </si>
  <si>
    <t>Expenses</t>
  </si>
  <si>
    <t>Cost of Materials Consumed</t>
  </si>
  <si>
    <t>4,00,345</t>
  </si>
  <si>
    <t>4,50,241</t>
  </si>
  <si>
    <t>Purchase of Stock-in-Trade</t>
  </si>
  <si>
    <t>1,89,881</t>
  </si>
  <si>
    <t>1,68,505</t>
  </si>
  <si>
    <t>-4,883</t>
  </si>
  <si>
    <t>-30,263</t>
  </si>
  <si>
    <t>Excise Duty</t>
  </si>
  <si>
    <t>13,408</t>
  </si>
  <si>
    <t>13,476</t>
  </si>
  <si>
    <t>Employee Benefits Expense</t>
  </si>
  <si>
    <t>25,679</t>
  </si>
  <si>
    <t>24,872</t>
  </si>
  <si>
    <t>Finance Costs</t>
  </si>
  <si>
    <t>Depreciation/Amortization/Depletion Expense</t>
  </si>
  <si>
    <t>Other Expenses</t>
  </si>
  <si>
    <t>1,27,809</t>
  </si>
  <si>
    <t>1,22,318</t>
  </si>
  <si>
    <t>Total Expenses</t>
  </si>
  <si>
    <t>Profit Before Share of Profit / (Loss) of Associates / Joint Ventures and Tax</t>
  </si>
  <si>
    <t>Share of Profit / (Loss) of Associates and Joint Ventures</t>
  </si>
  <si>
    <t>387</t>
  </si>
  <si>
    <t>24</t>
  </si>
  <si>
    <t>Tax Expenses</t>
  </si>
  <si>
    <t>Current Tax</t>
  </si>
  <si>
    <t>13,590</t>
  </si>
  <si>
    <t>8,398</t>
  </si>
  <si>
    <t>Deferred Tax</t>
  </si>
  <si>
    <t>12,117</t>
  </si>
  <si>
    <t>5,117</t>
  </si>
  <si>
    <t>Profit from Continuing Operations</t>
  </si>
  <si>
    <t>73,670</t>
  </si>
  <si>
    <t>Profit from Discontinued Operations (Net of Tax)</t>
  </si>
  <si>
    <t>Profit for the Year</t>
  </si>
  <si>
    <t>Other Comprehensive Income (Loss) from Continuing Operations (Net of Tax)</t>
  </si>
  <si>
    <t>3,669</t>
  </si>
  <si>
    <t>-18,812</t>
  </si>
  <si>
    <t>Total Comprehensive Income for the Year</t>
  </si>
  <si>
    <t>82,689</t>
  </si>
  <si>
    <t>As at 31st March, 2024 (₹ in crore)</t>
  </si>
  <si>
    <t>As at 31st March, 2023 (₹ in crore)</t>
  </si>
  <si>
    <t>Property, Plant and Equipment</t>
  </si>
  <si>
    <t>Spectrum</t>
  </si>
  <si>
    <t>Other Intangible Assets</t>
  </si>
  <si>
    <t>Goodwill</t>
  </si>
  <si>
    <t>Capital Work-in-Progress</t>
  </si>
  <si>
    <t>Spectrum Under Development</t>
  </si>
  <si>
    <t>Other Intangible Assets Under Development</t>
  </si>
  <si>
    <t>Other Financial Assets</t>
  </si>
  <si>
    <t>Deferred Tax Assets (Net)</t>
  </si>
  <si>
    <t>Other Non-Current Assets</t>
  </si>
  <si>
    <t>Total Non-Current Assets</t>
  </si>
  <si>
    <t>Trade Receivables</t>
  </si>
  <si>
    <t>Cash and Cash Equivalents</t>
  </si>
  <si>
    <t>Other Current Assets</t>
  </si>
  <si>
    <t>Total Current Assets</t>
  </si>
  <si>
    <t>Equity Share Capital</t>
  </si>
  <si>
    <t>Other Equity</t>
  </si>
  <si>
    <t>Non-Controlling Interest</t>
  </si>
  <si>
    <t>Total Equity</t>
  </si>
  <si>
    <t>Lease Liabilities</t>
  </si>
  <si>
    <t>Deferred Payment Liabilities</t>
  </si>
  <si>
    <t>Other Financial Liabilities</t>
  </si>
  <si>
    <t>Provisions</t>
  </si>
  <si>
    <t>Deferred Tax Liabilities (Net)</t>
  </si>
  <si>
    <t>Other Non-Current Liabilities</t>
  </si>
  <si>
    <t>Total Non-Current Liabilities</t>
  </si>
  <si>
    <t>Current Borrowings</t>
  </si>
  <si>
    <t>Other Current Liabilities</t>
  </si>
  <si>
    <t>Total Current Liabilities</t>
  </si>
  <si>
    <t>Total Equity and Liabilities</t>
  </si>
  <si>
    <t xml:space="preserve">   </t>
  </si>
  <si>
    <t>CASH FLOW FROM OPERATING ACTIVITIES</t>
  </si>
  <si>
    <t>Net Profit Before Tax as per Statement of Profit and Loss</t>
  </si>
  <si>
    <t xml:space="preserve">Continiuing operations </t>
  </si>
  <si>
    <t xml:space="preserve">Discontinued operations </t>
  </si>
  <si>
    <t>Adjusted for:</t>
  </si>
  <si>
    <t>Share of (Profit)/ Loss of Associates and Joint Ventures countinued</t>
  </si>
  <si>
    <t>Share of (Profit)/ Loss of Associates and Joint Ventures Discountinued</t>
  </si>
  <si>
    <t>Premium on buy back of Debentures</t>
  </si>
  <si>
    <t>(Profit)/ Loss on Sale/ Discard of Property, Plant and Equipment</t>
  </si>
  <si>
    <t>Depreciation / Amortisation and Depletion Expense</t>
  </si>
  <si>
    <t>Effect of Exchange Rate Change</t>
  </si>
  <si>
    <t>Net Gain on Financial Assets</t>
  </si>
  <si>
    <t>Dividend Income</t>
  </si>
  <si>
    <t>Interest Income</t>
  </si>
  <si>
    <t>Sub Total</t>
  </si>
  <si>
    <t>Operating Profit before Working Capital Changes</t>
  </si>
  <si>
    <t>Adjusted for Working Capital:</t>
  </si>
  <si>
    <t>Trade and Other Receivables</t>
  </si>
  <si>
    <t>Trade and Other Payables</t>
  </si>
  <si>
    <t>Cash Generated from Operations</t>
  </si>
  <si>
    <t>Taxes Paid (Net)</t>
  </si>
  <si>
    <t>Net Cash Flow from Operating Activities</t>
  </si>
  <si>
    <t>Cash Flow from investing Activities:</t>
  </si>
  <si>
    <t>Expenditure for Property, Plant and Equipment</t>
  </si>
  <si>
    <t>Proceeds from disposal of Property, Plant and Equipment</t>
  </si>
  <si>
    <t>Purchase of Other Investments</t>
  </si>
  <si>
    <t>Proceeds from Sale of Financial Assets</t>
  </si>
  <si>
    <t>Payment of Deferred Payment Liabilities</t>
  </si>
  <si>
    <t>Dividend Income from Associates</t>
  </si>
  <si>
    <t>Divdend income from others</t>
  </si>
  <si>
    <t>Net Cash used in Investing Activities</t>
  </si>
  <si>
    <t>Cash Flow from Financing Activities:</t>
  </si>
  <si>
    <t>Proceeds from Issue of Equity Share Capital</t>
  </si>
  <si>
    <t>Net Proceeds from Right issues</t>
  </si>
  <si>
    <t>Payments to Non-Controlling Interest Shareholders towards capital reduction</t>
  </si>
  <si>
    <t>Payment of lease liabilties</t>
  </si>
  <si>
    <t>Proceeds from Borrowings (Non-current)</t>
  </si>
  <si>
    <t>Repayment of Borrowings (Non-current)</t>
  </si>
  <si>
    <t>Borrowings - Current (Net)</t>
  </si>
  <si>
    <t>Dividend Paid</t>
  </si>
  <si>
    <t>Interest Paid</t>
  </si>
  <si>
    <t>Net Cash Flow from/(used in) Financing Activities</t>
  </si>
  <si>
    <t>Net Increase in Cash and Cash Equivalents</t>
  </si>
  <si>
    <t>Opening Balance of Cash and Cash Equivalents</t>
  </si>
  <si>
    <t>Closing Balance of Cash and Cash Equivalents</t>
  </si>
  <si>
    <t>Receivables</t>
  </si>
  <si>
    <t>Inventory</t>
  </si>
  <si>
    <t>Payables</t>
  </si>
  <si>
    <t>Working capital changes</t>
  </si>
  <si>
    <t>Direct taxes</t>
  </si>
  <si>
    <t>Other operating items</t>
  </si>
  <si>
    <t xml:space="preserve">PARTICULARS </t>
  </si>
  <si>
    <t>Cash from Operating Activity 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</si>
  <si>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</si>
  <si>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</si>
  <si>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</si>
  <si>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</si>
  <si>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</si>
  <si>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</si>
  <si>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Other investing items</t>
  </si>
  <si>
    <t>Cash from Investing Activity -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</si>
  <si>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</si>
  <si>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</si>
  <si>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</si>
  <si>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</si>
  <si>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</si>
  <si>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</si>
  <si>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Share application money</t>
  </si>
  <si>
    <t>Other financing items</t>
  </si>
  <si>
    <t>Cash from Financing Activity -</t>
  </si>
  <si>
    <t>Net Cash Flow</t>
  </si>
  <si>
    <t>Inventory Type</t>
  </si>
  <si>
    <t>Raw Materials (Including Material in Transit)</t>
  </si>
  <si>
    <t>Work-in-Progress</t>
  </si>
  <si>
    <t>Finished Goods</t>
  </si>
  <si>
    <t>Stock-in-Trade</t>
  </si>
  <si>
    <t>Stores and Spares</t>
  </si>
  <si>
    <t>Others (Includes Programming and Film Rights)</t>
  </si>
  <si>
    <t>Total Inventory</t>
  </si>
  <si>
    <t>S.No.</t>
  </si>
  <si>
    <t>Name</t>
  </si>
  <si>
    <t>CMP
                  Rs.</t>
  </si>
  <si>
    <t>P/E</t>
  </si>
  <si>
    <t>Mar Cap
                  Rs.Cr.</t>
  </si>
  <si>
    <t>Div Yld
                  %</t>
  </si>
  <si>
    <t>NP Qtr
                  Rs.Cr.</t>
  </si>
  <si>
    <t>Qtr Profit Var
                  %</t>
  </si>
  <si>
    <t>Sales Qtr
                  Rs.Cr.</t>
  </si>
  <si>
    <t>Qtr Sales Var
                  %</t>
  </si>
  <si>
    <t>ROCE
                  %</t>
  </si>
  <si>
    <t>Reliance Industr</t>
  </si>
  <si>
    <t>I O C L</t>
  </si>
  <si>
    <t>B P C L</t>
  </si>
  <si>
    <t>H P C L</t>
  </si>
  <si>
    <t>M R P L</t>
  </si>
  <si>
    <t>C P C L</t>
  </si>
  <si>
    <t>Gandhar Oil Ref.</t>
  </si>
  <si>
    <t>Median: 8 Co.</t>
  </si>
  <si>
    <t>Segment</t>
  </si>
  <si>
    <t>Revenue 2023-24 (₹ Cr)</t>
  </si>
  <si>
    <t>Revenue 2022-23 (₹ Cr)</t>
  </si>
  <si>
    <t>EBIT 2023-24 (₹ Cr)</t>
  </si>
  <si>
    <t>EBIT 2022-23 (₹ Cr)</t>
  </si>
  <si>
    <t>Oil to Chemicals (O2C)</t>
  </si>
  <si>
    <t>Oil &amp; Gas</t>
  </si>
  <si>
    <t>Retail</t>
  </si>
  <si>
    <t>Digital Services</t>
  </si>
  <si>
    <t>Others</t>
  </si>
  <si>
    <t>Unallocated</t>
  </si>
  <si>
    <t>Total</t>
  </si>
  <si>
    <t>Region</t>
  </si>
  <si>
    <t>India</t>
  </si>
  <si>
    <t>International</t>
  </si>
  <si>
    <t>Geographical Revenue Breakdown</t>
  </si>
  <si>
    <t>Consolidated Statement of Profit and Loss (₹ in Crore)</t>
  </si>
  <si>
    <t>Changes in Inventories of Finished Goods, WIP &amp; Stock-in-Trade</t>
  </si>
  <si>
    <t>Depreciation / Amortisation &amp; Depletion Expense</t>
  </si>
  <si>
    <t>Profit Before Share of Profit / (Loss) of Associates &amp; Joint Ventures and Tax</t>
  </si>
  <si>
    <t>-</t>
  </si>
  <si>
    <t>Other Comprehensive Income</t>
  </si>
  <si>
    <t>Items not reclassified to Profit or Loss</t>
  </si>
  <si>
    <t>Income Tax relating to above items</t>
  </si>
  <si>
    <t>Items reclassified to Profit or Loss</t>
  </si>
  <si>
    <t>Total Other Comprehensive Income</t>
  </si>
  <si>
    <t>Net Profit Attributable to:</t>
  </si>
  <si>
    <t>Owners of the Company</t>
  </si>
  <si>
    <t>Other Comprehensive Income Attributable to:</t>
  </si>
  <si>
    <t>EBIDTA</t>
  </si>
  <si>
    <t>EBIDTA Margin</t>
  </si>
  <si>
    <t>Assignment: Financial Analysis of an Indian Company</t>
  </si>
  <si>
    <t>Objective:</t>
  </si>
  <si>
    <t>To assess the profitability and financial health of an Indian company through a detailed analysis using financial ratios and a study of its business strategies.</t>
  </si>
  <si>
    <t>Instructions:</t>
  </si>
  <si>
    <t>1. Selection of a Company:</t>
  </si>
  <si>
    <t>Choose any publicly listed Indian company from sectors such as FMCG, IT, Banking, Manufacturing, or Pharmaceuticals.</t>
  </si>
  <si>
    <r>
      <t xml:space="preserve">Obtain the most recent </t>
    </r>
    <r>
      <rPr>
        <b/>
        <sz val="12"/>
        <color theme="1"/>
        <rFont val="Times New Roman"/>
        <family val="1"/>
      </rPr>
      <t>Annual Report</t>
    </r>
    <r>
      <rPr>
        <sz val="12"/>
        <color theme="1"/>
        <rFont val="Times New Roman"/>
        <family val="1"/>
      </rPr>
      <t xml:space="preserve"> of the selected company from its official website or stock exchange portal.</t>
    </r>
  </si>
  <si>
    <t>2. Understanding the Company:</t>
  </si>
  <si>
    <t>Provide a brief overview of the company, including its:</t>
  </si>
  <si>
    <t>Business operations</t>
  </si>
  <si>
    <t>Key products/services</t>
  </si>
  <si>
    <t>Market position</t>
  </si>
  <si>
    <t>Industry trends</t>
  </si>
  <si>
    <t>3. Profitability Analysis:</t>
  </si>
  <si>
    <t>Analyze the company’s profitability using the following ratios:</t>
  </si>
  <si>
    <r>
      <t>Gross Profit Margin</t>
    </r>
    <r>
      <rPr>
        <sz val="12"/>
        <color theme="1"/>
        <rFont val="Times New Roman"/>
        <family val="1"/>
      </rPr>
      <t xml:space="preserve"> = (Gross Profit / Revenue) × 100</t>
    </r>
  </si>
  <si>
    <r>
      <t>Operating Profit Margin</t>
    </r>
    <r>
      <rPr>
        <sz val="12"/>
        <color theme="1"/>
        <rFont val="Times New Roman"/>
        <family val="1"/>
      </rPr>
      <t xml:space="preserve"> = (Operating Profit / Revenue) × 100</t>
    </r>
  </si>
  <si>
    <r>
      <t>Net Profit Margin</t>
    </r>
    <r>
      <rPr>
        <sz val="12"/>
        <color theme="1"/>
        <rFont val="Times New Roman"/>
        <family val="1"/>
      </rPr>
      <t xml:space="preserve"> = (Net Profit / Revenue) × 100</t>
    </r>
  </si>
  <si>
    <r>
      <t>Return on Assets (ROA)</t>
    </r>
    <r>
      <rPr>
        <sz val="12"/>
        <color theme="1"/>
        <rFont val="Times New Roman"/>
        <family val="1"/>
      </rPr>
      <t xml:space="preserve"> = (Net Profit / Total Assets) × 100</t>
    </r>
  </si>
  <si>
    <r>
      <t>Return on Equity (ROE)</t>
    </r>
    <r>
      <rPr>
        <sz val="12"/>
        <color theme="1"/>
        <rFont val="Times New Roman"/>
        <family val="1"/>
      </rPr>
      <t xml:space="preserve"> = (Net Profit / Shareholder’s Equity) × 100</t>
    </r>
  </si>
  <si>
    <t>4. Financial Health Analysis:</t>
  </si>
  <si>
    <t>Evaluate the financial health of the company using these ratios:</t>
  </si>
  <si>
    <r>
      <t>Current Ratio</t>
    </r>
    <r>
      <rPr>
        <sz val="12"/>
        <color theme="1"/>
        <rFont val="Times New Roman"/>
        <family val="1"/>
      </rPr>
      <t xml:space="preserve"> = Current Assets / Current Liabilities</t>
    </r>
  </si>
  <si>
    <r>
      <t>Quick Ratio</t>
    </r>
    <r>
      <rPr>
        <sz val="12"/>
        <color theme="1"/>
        <rFont val="Times New Roman"/>
        <family val="1"/>
      </rPr>
      <t xml:space="preserve"> = (Current Assets - Inventory) / Current Liabilities</t>
    </r>
  </si>
  <si>
    <r>
      <t>Debt-to-Equity Ratio</t>
    </r>
    <r>
      <rPr>
        <sz val="12"/>
        <color theme="1"/>
        <rFont val="Times New Roman"/>
        <family val="1"/>
      </rPr>
      <t xml:space="preserve"> = Total Debt / Shareholder’s Equity</t>
    </r>
  </si>
  <si>
    <r>
      <t>Interest Coverage Ratio</t>
    </r>
    <r>
      <rPr>
        <sz val="12"/>
        <color theme="1"/>
        <rFont val="Times New Roman"/>
        <family val="1"/>
      </rPr>
      <t xml:space="preserve"> = EBIT / Interest Expense</t>
    </r>
  </si>
  <si>
    <r>
      <t>Asset Turnover Ratio</t>
    </r>
    <r>
      <rPr>
        <sz val="12"/>
        <color theme="1"/>
        <rFont val="Times New Roman"/>
        <family val="1"/>
      </rPr>
      <t xml:space="preserve"> = Revenue / Total Assets</t>
    </r>
  </si>
  <si>
    <t>5. Strategic Analysis:</t>
  </si>
  <si>
    <r>
      <t xml:space="preserve">Go through the </t>
    </r>
    <r>
      <rPr>
        <b/>
        <sz val="12"/>
        <color theme="1"/>
        <rFont val="Times New Roman"/>
        <family val="1"/>
      </rPr>
      <t>Management Discussion and Analysis (MD&amp;A)</t>
    </r>
    <r>
      <rPr>
        <sz val="12"/>
        <color theme="1"/>
        <rFont val="Times New Roman"/>
        <family val="1"/>
      </rPr>
      <t xml:space="preserve"> section of the annual report to understand:</t>
    </r>
  </si>
  <si>
    <t>The company’s growth strategy.</t>
  </si>
  <si>
    <t>Steps taken to improve profitability and operational efficiency.</t>
  </si>
  <si>
    <t>Investment in innovation, expansion, or new product launches.</t>
  </si>
  <si>
    <t>Summarize how these strategies align with the company’s financial performance.</t>
  </si>
  <si>
    <t>6. Comparative Analysis (Optional):</t>
  </si>
  <si>
    <t>Compare the selected company’s financial ratios with its industry peers or competitors to gauge relative performance.</t>
  </si>
  <si>
    <t>7. Conclusions and Recommendations:</t>
  </si>
  <si>
    <t>Summarize your findings on the company’s profitability and financial health.</t>
  </si>
  <si>
    <t>Provide insights into how the company’s strategies have impacted its financial performance.</t>
  </si>
  <si>
    <t>Suggest areas for improvement or opportunities for the company to strengthen its financial position.</t>
  </si>
  <si>
    <t>Submission Guidelines:</t>
  </si>
  <si>
    <t>Include proper citations and references for all data sources.</t>
  </si>
  <si>
    <t>Submit your assignment as a PDF /Word document/Excel sheet</t>
  </si>
  <si>
    <r>
      <t>Deadline:</t>
    </r>
    <r>
      <rPr>
        <sz val="12"/>
        <color theme="1"/>
        <rFont val="Times New Roman"/>
        <family val="1"/>
      </rPr>
      <t xml:space="preserve"> [10/2/2025]</t>
    </r>
  </si>
  <si>
    <t>Evaluation Criteria:</t>
  </si>
  <si>
    <t>Depth of analysis and interpretation of financial ratios (40%)</t>
  </si>
  <si>
    <t>Understanding of the company’s strategy and its impact on financial performance (30%)</t>
  </si>
  <si>
    <t>Quality of conclusions and recommendations (20%)</t>
  </si>
  <si>
    <t>Presentation, formatting, and adherence to guidelines (10%)</t>
  </si>
  <si>
    <t>This assignment will help you develop skills in financial analysis, enhance your ability to interpret business strategies, and understand how they translate into financial performance. Use this opportunity to gain a practical understanding of how financial data drives strategic decision-making in real-world businesses.</t>
  </si>
  <si>
    <t>Profit From Operations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</si>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</sst>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_ ;_ * \-#,##0_ ;_ * &quot;-&quot;??_ ;_ @_ "/>
    <numFmt numFmtId="166" formatCode="0.0"/>
    <numFmt numFmtId="167" formatCode="0.0%"/>
    <numFmt numFmtId="168" formatCode="_ * #,##0.0_ ;_ * \-#,##0.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4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b/>
      <sz val="11"/>
      <color rgb="FF22222F"/>
      <name val="Arial"/>
      <family val="2"/>
    </font>
    <font>
      <b/>
      <sz val="13.5"/>
      <color theme="1"/>
      <name val="Calibri"/>
      <family val="2"/>
      <scheme val="minor"/>
    </font>
    <font>
      <b/>
      <sz val="13.5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rgb="FF22222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0" applyFont="1"/>
    <xf numFmtId="165" fontId="3" fillId="0" borderId="0" xfId="1" applyNumberFormat="1" applyFont="1"/>
    <xf numFmtId="9" fontId="3" fillId="0" borderId="0" xfId="2" applyFont="1"/>
    <xf numFmtId="0" fontId="6" fillId="2" borderId="0" xfId="0" applyFont="1" applyFill="1"/>
    <xf numFmtId="165" fontId="6" fillId="2" borderId="0" xfId="1" applyNumberFormat="1" applyFont="1" applyFill="1"/>
    <xf numFmtId="0" fontId="2" fillId="0" borderId="0" xfId="0" applyFont="1"/>
    <xf numFmtId="0" fontId="3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4" borderId="1" xfId="0" applyFont="1" applyFill="1" applyBorder="1"/>
    <xf numFmtId="2" fontId="3" fillId="4" borderId="1" xfId="0" applyNumberFormat="1" applyFont="1" applyFill="1" applyBorder="1"/>
    <xf numFmtId="2" fontId="3" fillId="4" borderId="1" xfId="2" applyNumberFormat="1" applyFont="1" applyFill="1" applyBorder="1"/>
    <xf numFmtId="9" fontId="3" fillId="4" borderId="1" xfId="0" applyNumberFormat="1" applyFont="1" applyFill="1" applyBorder="1"/>
    <xf numFmtId="9" fontId="3" fillId="4" borderId="1" xfId="2" applyFont="1" applyFill="1" applyBorder="1"/>
    <xf numFmtId="166" fontId="3" fillId="4" borderId="1" xfId="0" applyNumberFormat="1" applyFont="1" applyFill="1" applyBorder="1"/>
    <xf numFmtId="166" fontId="3" fillId="4" borderId="1" xfId="2" applyNumberFormat="1" applyFont="1" applyFill="1" applyBorder="1"/>
    <xf numFmtId="167" fontId="3" fillId="4" borderId="1" xfId="2" applyNumberFormat="1" applyFont="1" applyFill="1" applyBorder="1"/>
    <xf numFmtId="165" fontId="3" fillId="4" borderId="1" xfId="1" applyNumberFormat="1" applyFont="1" applyFill="1" applyBorder="1"/>
    <xf numFmtId="10" fontId="3" fillId="4" borderId="1" xfId="2" applyNumberFormat="1" applyFont="1" applyFill="1" applyBorder="1"/>
    <xf numFmtId="1" fontId="3" fillId="3" borderId="1" xfId="0" applyNumberFormat="1" applyFont="1" applyFill="1" applyBorder="1"/>
    <xf numFmtId="0" fontId="4" fillId="5" borderId="0" xfId="0" applyFont="1" applyFill="1"/>
    <xf numFmtId="0" fontId="3" fillId="5" borderId="0" xfId="0" applyFont="1" applyFill="1"/>
    <xf numFmtId="2" fontId="3" fillId="5" borderId="0" xfId="0" applyNumberFormat="1" applyFont="1" applyFill="1"/>
    <xf numFmtId="9" fontId="3" fillId="5" borderId="0" xfId="2" applyFont="1" applyFill="1"/>
    <xf numFmtId="0" fontId="5" fillId="5" borderId="0" xfId="0" applyFont="1" applyFill="1"/>
    <xf numFmtId="2" fontId="0" fillId="0" borderId="0" xfId="0" applyNumberFormat="1"/>
    <xf numFmtId="0" fontId="5" fillId="6" borderId="0" xfId="0" applyFont="1" applyFill="1"/>
    <xf numFmtId="0" fontId="4" fillId="6" borderId="0" xfId="0" applyFont="1" applyFill="1"/>
    <xf numFmtId="0" fontId="3" fillId="6" borderId="0" xfId="0" applyFont="1" applyFill="1"/>
    <xf numFmtId="2" fontId="3" fillId="6" borderId="0" xfId="0" applyNumberFormat="1" applyFont="1" applyFill="1"/>
    <xf numFmtId="9" fontId="3" fillId="6" borderId="0" xfId="2" applyFont="1" applyFill="1"/>
    <xf numFmtId="0" fontId="6" fillId="7" borderId="1" xfId="0" applyFont="1" applyFill="1" applyBorder="1"/>
    <xf numFmtId="2" fontId="6" fillId="7" borderId="1" xfId="0" applyNumberFormat="1" applyFont="1" applyFill="1" applyBorder="1"/>
    <xf numFmtId="2" fontId="6" fillId="7" borderId="1" xfId="2" applyNumberFormat="1" applyFont="1" applyFill="1" applyBorder="1"/>
    <xf numFmtId="9" fontId="6" fillId="7" borderId="1" xfId="2" applyFont="1" applyFill="1" applyBorder="1"/>
    <xf numFmtId="166" fontId="6" fillId="7" borderId="1" xfId="0" applyNumberFormat="1" applyFont="1" applyFill="1" applyBorder="1"/>
    <xf numFmtId="166" fontId="6" fillId="7" borderId="1" xfId="2" applyNumberFormat="1" applyFont="1" applyFill="1" applyBorder="1"/>
    <xf numFmtId="167" fontId="6" fillId="7" borderId="1" xfId="2" applyNumberFormat="1" applyFont="1" applyFill="1" applyBorder="1"/>
    <xf numFmtId="165" fontId="6" fillId="7" borderId="1" xfId="1" applyNumberFormat="1" applyFont="1" applyFill="1" applyBorder="1"/>
    <xf numFmtId="10" fontId="6" fillId="7" borderId="1" xfId="2" applyNumberFormat="1" applyFont="1" applyFill="1" applyBorder="1"/>
    <xf numFmtId="1" fontId="6" fillId="8" borderId="1" xfId="0" applyNumberFormat="1" applyFont="1" applyFill="1" applyBorder="1"/>
    <xf numFmtId="0" fontId="6" fillId="8" borderId="1" xfId="0" applyFont="1" applyFill="1" applyBorder="1"/>
    <xf numFmtId="9" fontId="0" fillId="0" borderId="0" xfId="2" applyFont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  <xf numFmtId="164" fontId="0" fillId="0" borderId="0" xfId="0" applyNumberFormat="1"/>
    <xf numFmtId="0" fontId="3" fillId="9" borderId="3" xfId="0" applyFont="1" applyFill="1" applyBorder="1"/>
    <xf numFmtId="1" fontId="0" fillId="0" borderId="0" xfId="2" applyNumberFormat="1" applyFont="1"/>
    <xf numFmtId="0" fontId="3" fillId="10" borderId="0" xfId="0" applyFont="1" applyFill="1"/>
    <xf numFmtId="0" fontId="3" fillId="10" borderId="0" xfId="0" applyFont="1" applyFill="1" applyAlignment="1">
      <alignment horizontal="left" vertical="center"/>
    </xf>
    <xf numFmtId="165" fontId="3" fillId="10" borderId="0" xfId="1" applyNumberFormat="1" applyFont="1" applyFill="1"/>
    <xf numFmtId="165" fontId="3" fillId="10" borderId="0" xfId="1" applyNumberFormat="1" applyFont="1" applyFill="1" applyAlignment="1">
      <alignment horizontal="right" vertical="center" wrapText="1"/>
    </xf>
    <xf numFmtId="164" fontId="3" fillId="10" borderId="0" xfId="1" applyFont="1" applyFill="1" applyAlignment="1">
      <alignment horizontal="right" vertical="center" wrapText="1"/>
    </xf>
    <xf numFmtId="164" fontId="3" fillId="0" borderId="0" xfId="1" applyFont="1"/>
    <xf numFmtId="165" fontId="3" fillId="6" borderId="0" xfId="1" applyNumberFormat="1" applyFont="1" applyFill="1"/>
    <xf numFmtId="165" fontId="3" fillId="6" borderId="0" xfId="1" applyNumberFormat="1" applyFont="1" applyFill="1" applyAlignment="1">
      <alignment horizontal="right" vertical="center" wrapText="1"/>
    </xf>
    <xf numFmtId="0" fontId="7" fillId="0" borderId="0" xfId="0" applyFont="1"/>
    <xf numFmtId="165" fontId="7" fillId="0" borderId="0" xfId="1" applyNumberFormat="1" applyFont="1"/>
    <xf numFmtId="1" fontId="0" fillId="0" borderId="0" xfId="0" applyNumberFormat="1"/>
    <xf numFmtId="17" fontId="0" fillId="0" borderId="0" xfId="0" applyNumberFormat="1"/>
    <xf numFmtId="0" fontId="8" fillId="0" borderId="0" xfId="0" applyFont="1"/>
    <xf numFmtId="165" fontId="8" fillId="0" borderId="0" xfId="1" applyNumberFormat="1" applyFont="1"/>
    <xf numFmtId="0" fontId="6" fillId="7" borderId="0" xfId="0" applyFont="1" applyFill="1"/>
    <xf numFmtId="17" fontId="6" fillId="8" borderId="0" xfId="0" applyNumberFormat="1" applyFont="1" applyFill="1"/>
    <xf numFmtId="165" fontId="6" fillId="7" borderId="2" xfId="1" applyNumberFormat="1" applyFont="1" applyFill="1" applyBorder="1"/>
    <xf numFmtId="165" fontId="6" fillId="7" borderId="1" xfId="0" applyNumberFormat="1" applyFont="1" applyFill="1" applyBorder="1"/>
    <xf numFmtId="165" fontId="6" fillId="8" borderId="1" xfId="0" applyNumberFormat="1" applyFont="1" applyFill="1" applyBorder="1"/>
    <xf numFmtId="165" fontId="6" fillId="7" borderId="1" xfId="2" applyNumberFormat="1" applyFont="1" applyFill="1" applyBorder="1"/>
    <xf numFmtId="165" fontId="3" fillId="0" borderId="1" xfId="0" applyNumberFormat="1" applyFont="1" applyBorder="1"/>
    <xf numFmtId="165" fontId="3" fillId="0" borderId="0" xfId="0" applyNumberFormat="1" applyFont="1"/>
    <xf numFmtId="164" fontId="6" fillId="7" borderId="1" xfId="0" applyNumberFormat="1" applyFont="1" applyFill="1" applyBorder="1"/>
    <xf numFmtId="165" fontId="3" fillId="3" borderId="0" xfId="1" applyNumberFormat="1" applyFont="1" applyFill="1"/>
    <xf numFmtId="165" fontId="3" fillId="0" borderId="0" xfId="1" applyNumberFormat="1" applyFont="1" applyAlignment="1">
      <alignment horizontal="right"/>
    </xf>
    <xf numFmtId="164" fontId="3" fillId="0" borderId="0" xfId="1" applyFont="1" applyAlignment="1">
      <alignment horizontal="right"/>
    </xf>
    <xf numFmtId="9" fontId="3" fillId="0" borderId="0" xfId="2" applyFont="1" applyAlignment="1">
      <alignment horizontal="right"/>
    </xf>
    <xf numFmtId="9" fontId="3" fillId="6" borderId="0" xfId="2" applyFont="1" applyFill="1" applyAlignment="1">
      <alignment horizontal="right"/>
    </xf>
    <xf numFmtId="10" fontId="3" fillId="0" borderId="0" xfId="2" applyNumberFormat="1" applyFont="1"/>
    <xf numFmtId="17" fontId="3" fillId="0" borderId="0" xfId="0" applyNumberFormat="1" applyFont="1"/>
    <xf numFmtId="0" fontId="3" fillId="2" borderId="0" xfId="0" applyFont="1" applyFill="1"/>
    <xf numFmtId="168" fontId="3" fillId="0" borderId="0" xfId="1" applyNumberFormat="1" applyFont="1" applyAlignment="1">
      <alignment horizontal="right"/>
    </xf>
    <xf numFmtId="0" fontId="6" fillId="8" borderId="0" xfId="0" applyFont="1" applyFill="1"/>
    <xf numFmtId="165" fontId="6" fillId="7" borderId="1" xfId="2" applyNumberFormat="1" applyFont="1" applyFill="1" applyBorder="1" applyAlignment="1">
      <alignment horizontal="right"/>
    </xf>
    <xf numFmtId="1" fontId="6" fillId="7" borderId="1" xfId="2" applyNumberFormat="1" applyFont="1" applyFill="1" applyBorder="1"/>
    <xf numFmtId="3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5" fontId="2" fillId="0" borderId="0" xfId="1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165" fontId="2" fillId="2" borderId="0" xfId="1" applyNumberFormat="1" applyFont="1" applyFill="1"/>
    <xf numFmtId="165" fontId="0" fillId="6" borderId="0" xfId="1" applyNumberFormat="1" applyFont="1" applyFill="1"/>
    <xf numFmtId="0" fontId="10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165" fontId="2" fillId="6" borderId="0" xfId="1" applyNumberFormat="1" applyFont="1" applyFill="1"/>
    <xf numFmtId="0" fontId="0" fillId="6" borderId="0" xfId="0" applyFill="1"/>
    <xf numFmtId="0" fontId="2" fillId="2" borderId="0" xfId="0" applyFont="1" applyFill="1"/>
    <xf numFmtId="0" fontId="11" fillId="10" borderId="0" xfId="0" applyFont="1" applyFill="1" applyAlignment="1">
      <alignment horizontal="left" vertical="center"/>
    </xf>
    <xf numFmtId="3" fontId="11" fillId="10" borderId="0" xfId="0" applyNumberFormat="1" applyFont="1" applyFill="1" applyAlignment="1">
      <alignment horizontal="right" vertical="center" wrapText="1"/>
    </xf>
    <xf numFmtId="0" fontId="11" fillId="10" borderId="0" xfId="0" applyFont="1" applyFill="1" applyAlignment="1">
      <alignment horizontal="right" vertical="center" wrapText="1"/>
    </xf>
    <xf numFmtId="0" fontId="11" fillId="11" borderId="0" xfId="0" applyFont="1" applyFill="1" applyAlignment="1">
      <alignment horizontal="left" vertical="center"/>
    </xf>
    <xf numFmtId="3" fontId="11" fillId="11" borderId="0" xfId="0" applyNumberFormat="1" applyFont="1" applyFill="1" applyAlignment="1">
      <alignment horizontal="right" vertical="center" wrapText="1"/>
    </xf>
    <xf numFmtId="0" fontId="12" fillId="11" borderId="0" xfId="0" applyFont="1" applyFill="1" applyAlignment="1">
      <alignment horizontal="left" vertical="center"/>
    </xf>
    <xf numFmtId="3" fontId="12" fillId="11" borderId="0" xfId="0" applyNumberFormat="1" applyFont="1" applyFill="1" applyAlignment="1">
      <alignment horizontal="right" vertical="center" wrapText="1"/>
    </xf>
    <xf numFmtId="0" fontId="12" fillId="11" borderId="0" xfId="0" applyFont="1" applyFill="1" applyAlignment="1">
      <alignment horizontal="right" vertical="center" wrapText="1"/>
    </xf>
    <xf numFmtId="0" fontId="0" fillId="11" borderId="0" xfId="0" applyFill="1"/>
    <xf numFmtId="0" fontId="12" fillId="7" borderId="0" xfId="0" applyFont="1" applyFill="1" applyAlignment="1">
      <alignment horizontal="left" vertical="center"/>
    </xf>
    <xf numFmtId="3" fontId="12" fillId="7" borderId="0" xfId="0" applyNumberFormat="1" applyFont="1" applyFill="1" applyAlignment="1">
      <alignment horizontal="right" vertical="center" wrapText="1"/>
    </xf>
    <xf numFmtId="0" fontId="12" fillId="7" borderId="0" xfId="0" applyFont="1" applyFill="1" applyAlignment="1">
      <alignment horizontal="right" vertical="center" wrapText="1"/>
    </xf>
    <xf numFmtId="0" fontId="12" fillId="12" borderId="0" xfId="0" applyFont="1" applyFill="1" applyAlignment="1">
      <alignment horizontal="left" vertical="center"/>
    </xf>
    <xf numFmtId="0" fontId="12" fillId="12" borderId="0" xfId="0" applyFont="1" applyFill="1" applyAlignment="1">
      <alignment horizontal="right" vertical="center" wrapText="1"/>
    </xf>
    <xf numFmtId="3" fontId="12" fillId="12" borderId="0" xfId="0" applyNumberFormat="1" applyFont="1" applyFill="1" applyAlignment="1">
      <alignment horizontal="right" vertical="center" wrapText="1"/>
    </xf>
    <xf numFmtId="0" fontId="2" fillId="13" borderId="0" xfId="0" applyFont="1" applyFill="1"/>
    <xf numFmtId="17" fontId="13" fillId="13" borderId="0" xfId="0" applyNumberFormat="1" applyFont="1" applyFill="1" applyAlignment="1">
      <alignment horizontal="right" vertical="center" wrapText="1"/>
    </xf>
    <xf numFmtId="165" fontId="2" fillId="0" borderId="0" xfId="0" applyNumberFormat="1" applyFont="1"/>
    <xf numFmtId="164" fontId="6" fillId="2" borderId="1" xfId="0" applyNumberFormat="1" applyFont="1" applyFill="1" applyBorder="1"/>
    <xf numFmtId="166" fontId="6" fillId="2" borderId="1" xfId="2" applyNumberFormat="1" applyFont="1" applyFill="1" applyBorder="1"/>
    <xf numFmtId="0" fontId="4" fillId="0" borderId="0" xfId="0" applyFont="1"/>
    <xf numFmtId="9" fontId="4" fillId="0" borderId="0" xfId="2" applyFont="1"/>
    <xf numFmtId="10" fontId="4" fillId="0" borderId="0" xfId="2" applyNumberFormat="1" applyFont="1"/>
    <xf numFmtId="0" fontId="5" fillId="3" borderId="0" xfId="0" applyFont="1" applyFill="1"/>
    <xf numFmtId="10" fontId="4" fillId="3" borderId="0" xfId="2" applyNumberFormat="1" applyFont="1" applyFill="1"/>
    <xf numFmtId="0" fontId="5" fillId="13" borderId="0" xfId="0" applyFont="1" applyFill="1"/>
    <xf numFmtId="10" fontId="4" fillId="13" borderId="0" xfId="2" applyNumberFormat="1" applyFont="1" applyFill="1"/>
    <xf numFmtId="0" fontId="5" fillId="11" borderId="0" xfId="0" applyFont="1" applyFill="1"/>
    <xf numFmtId="10" fontId="4" fillId="11" borderId="0" xfId="2" applyNumberFormat="1" applyFont="1" applyFill="1"/>
    <xf numFmtId="0" fontId="5" fillId="14" borderId="0" xfId="0" applyFont="1" applyFill="1"/>
    <xf numFmtId="10" fontId="4" fillId="14" borderId="0" xfId="2" applyNumberFormat="1" applyFont="1" applyFill="1"/>
    <xf numFmtId="0" fontId="14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0" fillId="14" borderId="0" xfId="0" applyNumberFormat="1" applyFill="1" applyAlignment="1">
      <alignment vertical="center" wrapText="1"/>
    </xf>
    <xf numFmtId="9" fontId="0" fillId="0" borderId="0" xfId="0" applyNumberFormat="1"/>
    <xf numFmtId="165" fontId="3" fillId="6" borderId="0" xfId="1" applyNumberFormat="1" applyFont="1" applyFill="1" applyAlignment="1">
      <alignment horizontal="right"/>
    </xf>
    <xf numFmtId="165" fontId="0" fillId="15" borderId="0" xfId="1" applyNumberFormat="1" applyFont="1" applyFill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2"/>
    </xf>
    <xf numFmtId="0" fontId="17" fillId="0" borderId="0" xfId="0" applyFont="1" applyAlignment="1">
      <alignment horizontal="left" vertical="center" indent="3"/>
    </xf>
    <xf numFmtId="0" fontId="16" fillId="0" borderId="0" xfId="0" applyFont="1" applyAlignment="1">
      <alignment horizontal="left" vertical="center" indent="3"/>
    </xf>
    <xf numFmtId="0" fontId="17" fillId="0" borderId="0" xfId="0" applyFont="1" applyAlignment="1">
      <alignment horizontal="left" vertical="center" indent="1"/>
    </xf>
    <xf numFmtId="0" fontId="13" fillId="11" borderId="0" xfId="0" applyFont="1" applyFill="1" applyAlignment="1">
      <alignment horizontal="left" vertical="center"/>
    </xf>
    <xf numFmtId="0" fontId="2" fillId="5" borderId="0" xfId="0" applyFont="1" applyFill="1"/>
    <xf numFmtId="17" fontId="13" fillId="5" borderId="0" xfId="0" applyNumberFormat="1" applyFont="1" applyFill="1" applyAlignment="1">
      <alignment horizontal="right" vertical="center" wrapText="1"/>
    </xf>
    <xf numFmtId="0" fontId="0" fillId="5" borderId="0" xfId="0" applyFill="1"/>
    <xf numFmtId="3" fontId="13" fillId="15" borderId="0" xfId="0" applyNumberFormat="1" applyFont="1" applyFill="1" applyAlignment="1">
      <alignment horizontal="right" vertical="center" wrapText="1"/>
    </xf>
    <xf numFmtId="3" fontId="11" fillId="15" borderId="0" xfId="0" applyNumberFormat="1" applyFont="1" applyFill="1" applyAlignment="1">
      <alignment horizontal="right" vertical="center" wrapText="1"/>
    </xf>
    <xf numFmtId="0" fontId="13" fillId="15" borderId="0" xfId="0" applyFont="1" applyFill="1" applyAlignment="1">
      <alignment horizontal="left" vertical="center"/>
    </xf>
    <xf numFmtId="0" fontId="18" fillId="16" borderId="0" xfId="0" applyFont="1" applyFill="1" applyAlignment="1">
      <alignment horizontal="left" vertical="center"/>
    </xf>
    <xf numFmtId="3" fontId="18" fillId="16" borderId="0" xfId="0" applyNumberFormat="1" applyFont="1" applyFill="1" applyAlignment="1">
      <alignment horizontal="right" vertical="center" wrapText="1"/>
    </xf>
    <xf numFmtId="0" fontId="18" fillId="16" borderId="0" xfId="0" applyFont="1" applyFill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96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Wise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668082608095038E-2"/>
          <c:y val="0.1380093023255814"/>
          <c:w val="0.86257753142699267"/>
          <c:h val="0.84155341512543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'Segment Wise Performance'!$B$1</c:f>
              <c:strCache>
                <c:ptCount val="1"/>
                <c:pt idx="0">
                  <c:v>Revenue 2023-24 (₹ Cr)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'Segment Wise Performance'!$A$2:$A$8</c:f>
              <c:strCache>
                <c:ptCount val="7"/>
                <c:pt idx="0">
                  <c:v>Oil to Chemicals (O2C)</c:v>
                </c:pt>
                <c:pt idx="1">
                  <c:v>Oil &amp; Gas</c:v>
                </c:pt>
                <c:pt idx="2">
                  <c:v>Retail</c:v>
                </c:pt>
                <c:pt idx="3">
                  <c:v>Digital Services</c:v>
                </c:pt>
                <c:pt idx="4">
                  <c:v>Others</c:v>
                </c:pt>
                <c:pt idx="5">
                  <c:v>Unallocated</c:v>
                </c:pt>
                <c:pt idx="6">
                  <c:v>Total</c:v>
                </c:pt>
              </c:strCache>
            </c:strRef>
          </c:cat>
          <c:val>
            <c:numRef>
              <c:f>'Segment Wise Performance'!$B$2:$B$8</c:f>
              <c:numCache>
                <c:formatCode>_ * #,##0_ ;_ * \-#,##0_ ;_ * "-"??_ ;_ @_ </c:formatCode>
                <c:ptCount val="7"/>
                <c:pt idx="0">
                  <c:v>564749</c:v>
                </c:pt>
                <c:pt idx="1">
                  <c:v>24439</c:v>
                </c:pt>
                <c:pt idx="2">
                  <c:v>306848</c:v>
                </c:pt>
                <c:pt idx="3">
                  <c:v>132938</c:v>
                </c:pt>
                <c:pt idx="4">
                  <c:v>80516</c:v>
                </c:pt>
                <c:pt idx="5">
                  <c:v>0</c:v>
                </c:pt>
                <c:pt idx="6">
                  <c:v>1000122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F-404D-9785-B42448AAAE7A}"/>
            </c:ext>
          </c:extLst>
        </c:ser>
        <c:ser>
          <c:idx val="1"/>
          <c:order val="1"/>
          <c:tx>
            <c:strRef>
              <c:f>'Segment Wise Performance'!$C$1</c:f>
              <c:strCache>
                <c:ptCount val="1"/>
                <c:pt idx="0">
                  <c:v>Revenue 2022-23 (₹ Cr)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'Segment Wise Performance'!$A$2:$A$8</c:f>
              <c:strCache>
                <c:ptCount val="7"/>
                <c:pt idx="0">
                  <c:v>Oil to Chemicals (O2C)</c:v>
                </c:pt>
                <c:pt idx="1">
                  <c:v>Oil &amp; Gas</c:v>
                </c:pt>
                <c:pt idx="2">
                  <c:v>Retail</c:v>
                </c:pt>
                <c:pt idx="3">
                  <c:v>Digital Services</c:v>
                </c:pt>
                <c:pt idx="4">
                  <c:v>Others</c:v>
                </c:pt>
                <c:pt idx="5">
                  <c:v>Unallocated</c:v>
                </c:pt>
                <c:pt idx="6">
                  <c:v>Total</c:v>
                </c:pt>
              </c:strCache>
            </c:strRef>
          </c:cat>
          <c:val>
            <c:numRef>
              <c:f>'Segment Wise Performance'!$C$2:$C$8</c:f>
              <c:numCache>
                <c:formatCode>_ * #,##0_ ;_ * \-#,##0_ ;_ * "-"??_ ;_ @_ </c:formatCode>
                <c:ptCount val="7"/>
                <c:pt idx="0">
                  <c:v>594650</c:v>
                </c:pt>
                <c:pt idx="1">
                  <c:v>16508</c:v>
                </c:pt>
                <c:pt idx="2">
                  <c:v>260394</c:v>
                </c:pt>
                <c:pt idx="3">
                  <c:v>119791</c:v>
                </c:pt>
                <c:pt idx="4">
                  <c:v>88455</c:v>
                </c:pt>
                <c:pt idx="5">
                  <c:v>0</c:v>
                </c:pt>
                <c:pt idx="6">
                  <c:v>974864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F-404D-9785-B42448AAAE7A}"/>
            </c:ext>
          </c:extLst>
        </c:ser>
        <c:ser>
          <c:idx val="2"/>
          <c:order val="2"/>
          <c:tx>
            <c:strRef>
              <c:f>'Segment Wise Performance'!$D$1</c:f>
              <c:strCache>
                <c:ptCount val="1"/>
                <c:pt idx="0">
                  <c:v>EBIT 2023-24 (₹ Cr)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Wise Performance'!$A$2:$A$8</c:f>
              <c:strCache>
                <c:ptCount val="7"/>
                <c:pt idx="0">
                  <c:v>Oil to Chemicals (O2C)</c:v>
                </c:pt>
                <c:pt idx="1">
                  <c:v>Oil &amp; Gas</c:v>
                </c:pt>
                <c:pt idx="2">
                  <c:v>Retail</c:v>
                </c:pt>
                <c:pt idx="3">
                  <c:v>Digital Services</c:v>
                </c:pt>
                <c:pt idx="4">
                  <c:v>Others</c:v>
                </c:pt>
                <c:pt idx="5">
                  <c:v>Unallocated</c:v>
                </c:pt>
                <c:pt idx="6">
                  <c:v>Total</c:v>
                </c:pt>
              </c:strCache>
            </c:strRef>
          </c:cat>
          <c:val>
            <c:numRef>
              <c:f>'Segment Wise Performance'!$D$2:$D$8</c:f>
              <c:numCache>
                <c:formatCode>_ * #,##0_ ;_ * \-#,##0_ ;_ * "-"??_ ;_ @_ </c:formatCode>
                <c:ptCount val="7"/>
                <c:pt idx="0">
                  <c:v>53617</c:v>
                </c:pt>
                <c:pt idx="1">
                  <c:v>14831</c:v>
                </c:pt>
                <c:pt idx="2">
                  <c:v>17498</c:v>
                </c:pt>
                <c:pt idx="3">
                  <c:v>33124</c:v>
                </c:pt>
                <c:pt idx="4">
                  <c:v>1387</c:v>
                </c:pt>
                <c:pt idx="5">
                  <c:v>-2187</c:v>
                </c:pt>
                <c:pt idx="6">
                  <c:v>118270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F-404D-9785-B42448AAAE7A}"/>
            </c:ext>
          </c:extLst>
        </c:ser>
        <c:ser>
          <c:idx val="3"/>
          <c:order val="3"/>
          <c:tx>
            <c:strRef>
              <c:f>'Segment Wise Performance'!$E$1</c:f>
              <c:strCache>
                <c:ptCount val="1"/>
                <c:pt idx="0">
                  <c:v>EBIT 2022-23 (₹ Cr)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Wise Performance'!$A$2:$A$8</c:f>
              <c:strCache>
                <c:ptCount val="7"/>
                <c:pt idx="0">
                  <c:v>Oil to Chemicals (O2C)</c:v>
                </c:pt>
                <c:pt idx="1">
                  <c:v>Oil &amp; Gas</c:v>
                </c:pt>
                <c:pt idx="2">
                  <c:v>Retail</c:v>
                </c:pt>
                <c:pt idx="3">
                  <c:v>Digital Services</c:v>
                </c:pt>
                <c:pt idx="4">
                  <c:v>Others</c:v>
                </c:pt>
                <c:pt idx="5">
                  <c:v>Unallocated</c:v>
                </c:pt>
                <c:pt idx="6">
                  <c:v>Total</c:v>
                </c:pt>
              </c:strCache>
            </c:strRef>
          </c:cat>
          <c:val>
            <c:numRef>
              <c:f>'Segment Wise Performance'!$E$2:$E$8</c:f>
              <c:numCache>
                <c:formatCode>_ * #,##0_ ;_ * \-#,##0_ ;_ * "-"??_ ;_ @_ </c:formatCode>
                <c:ptCount val="7"/>
                <c:pt idx="0">
                  <c:v>53883</c:v>
                </c:pt>
                <c:pt idx="1">
                  <c:v>10933</c:v>
                </c:pt>
                <c:pt idx="2">
                  <c:v>13994</c:v>
                </c:pt>
                <c:pt idx="3">
                  <c:v>29681</c:v>
                </c:pt>
                <c:pt idx="4">
                  <c:v>1045</c:v>
                </c:pt>
                <c:pt idx="5">
                  <c:v>-6516</c:v>
                </c:pt>
                <c:pt idx="6">
                  <c:v>103020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F-404D-9785-B42448AAA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721039"/>
        <c:axId val="472735919"/>
      </c:barChart>
      <c:catAx>
        <c:axId val="4727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35919"/>
        <c:crosses val="autoZero"/>
        <c:auto val="1"/>
        <c:lblAlgn val="ctr"/>
        <c:lblOffset val="100"/>
        <c:noMultiLvlLbl val="0"/>
      </c:catAx>
      <c:valAx>
        <c:axId val="4727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Geographical Revenue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'Geographical Revenue'!$B$2</c:f>
              <c:strCache>
                <c:ptCount val="1"/>
                <c:pt idx="0">
                  <c:v>Revenue 2023-24 (₹ Cr)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'Geographical Revenue'!$A$3:$A$5</c:f>
              <c:strCache>
                <c:ptCount val="3"/>
                <c:pt idx="0">
                  <c:v>India</c:v>
                </c:pt>
                <c:pt idx="1">
                  <c:v>International</c:v>
                </c:pt>
                <c:pt idx="2">
                  <c:v>Total</c:v>
                </c:pt>
              </c:strCache>
            </c:strRef>
          </c:cat>
          <c:val>
            <c:numRef>
              <c:f>'Geographical Revenue'!$B$3:$B$5</c:f>
              <c:numCache>
                <c:formatCode>_ * #,##0_ ;_ * \-#,##0_ ;_ * "-"??_ ;_ @_ </c:formatCode>
                <c:ptCount val="3"/>
                <c:pt idx="0">
                  <c:v>649864</c:v>
                </c:pt>
                <c:pt idx="1">
                  <c:v>350258</c:v>
                </c:pt>
                <c:pt idx="2">
                  <c:v>1000122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0-4D86-9BBA-3AAF6CB4A452}"/>
            </c:ext>
          </c:extLst>
        </c:ser>
        <c:ser>
          <c:idx val="1"/>
          <c:order val="1"/>
          <c:tx>
            <c:strRef>
              <c:f>'Geographical Revenue'!$C$2</c:f>
              <c:strCache>
                <c:ptCount val="1"/>
                <c:pt idx="0">
                  <c:v>Revenue 2022-23 (₹ Cr)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'Geographical Revenue'!$A$3:$A$5</c:f>
              <c:strCache>
                <c:ptCount val="3"/>
                <c:pt idx="0">
                  <c:v>India</c:v>
                </c:pt>
                <c:pt idx="1">
                  <c:v>International</c:v>
                </c:pt>
                <c:pt idx="2">
                  <c:v>Total</c:v>
                </c:pt>
              </c:strCache>
            </c:strRef>
          </c:cat>
          <c:val>
            <c:numRef>
              <c:f>'Geographical Revenue'!$C$3:$C$5</c:f>
              <c:numCache>
                <c:formatCode>_ * #,##0_ ;_ * \-#,##0_ ;_ * "-"??_ ;_ @_ </c:formatCode>
                <c:ptCount val="3"/>
                <c:pt idx="0">
                  <c:v>579087</c:v>
                </c:pt>
                <c:pt idx="1">
                  <c:v>395777</c:v>
                </c:pt>
                <c:pt idx="2">
                  <c:v>974864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0-4D86-9BBA-3AAF6CB4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72722959"/>
        <c:axId val="472729679"/>
      </c:barChart>
      <c:catAx>
        <c:axId val="47272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29679"/>
        <c:crosses val="autoZero"/>
        <c:auto val="1"/>
        <c:lblAlgn val="ctr"/>
        <c:lblOffset val="100"/>
        <c:noMultiLvlLbl val="0"/>
      </c:catAx>
      <c:valAx>
        <c:axId val="472729679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2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Net Profit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&amp; Profit'!$A$2</c:f>
              <c:strCache>
                <c:ptCount val="1"/>
                <c:pt idx="0">
                  <c:v>Sales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&amp; Profit'!$B$1:$L$1</c:f>
              <c:strCache>
                <c:ptCount val="11"/>
                <c:pt idx="0">
                  <c:v>Mar 2013</c:v>
                </c:pt>
                <c:pt idx="1">
                  <c:v>Mar 2014</c:v>
                </c:pt>
                <c:pt idx="2">
                  <c:v>Mar 2015</c:v>
                </c:pt>
                <c:pt idx="3">
                  <c:v>Mar 2016</c:v>
                </c:pt>
                <c:pt idx="4">
                  <c:v>Mar 2017</c:v>
                </c:pt>
                <c:pt idx="5">
                  <c:v>Mar 2018</c:v>
                </c:pt>
                <c:pt idx="6">
                  <c:v>Mar 2019</c:v>
                </c:pt>
                <c:pt idx="7">
                  <c:v>Mar 2020</c:v>
                </c:pt>
                <c:pt idx="8">
                  <c:v>Mar 2021</c:v>
                </c:pt>
                <c:pt idx="9">
                  <c:v>Mar 2022</c:v>
                </c:pt>
                <c:pt idx="10">
                  <c:v>Mar 2023</c:v>
                </c:pt>
              </c:strCache>
            </c:strRef>
          </c:cat>
          <c:val>
            <c:numRef>
              <c:f>'Sales &amp; Profit'!$B$2:$L$2</c:f>
              <c:numCache>
                <c:formatCode>_ * #,##0_ ;_ * \-#,##0_ ;_ * "-"??_ ;_ @_ </c:formatCode>
                <c:ptCount val="11"/>
                <c:pt idx="0">
                  <c:v>395957</c:v>
                </c:pt>
                <c:pt idx="1">
                  <c:v>433521</c:v>
                </c:pt>
                <c:pt idx="2">
                  <c:v>374372</c:v>
                </c:pt>
                <c:pt idx="3">
                  <c:v>272583</c:v>
                </c:pt>
                <c:pt idx="4">
                  <c:v>303954</c:v>
                </c:pt>
                <c:pt idx="5">
                  <c:v>390823</c:v>
                </c:pt>
                <c:pt idx="6">
                  <c:v>568337</c:v>
                </c:pt>
                <c:pt idx="7">
                  <c:v>596679</c:v>
                </c:pt>
                <c:pt idx="8">
                  <c:v>466307</c:v>
                </c:pt>
                <c:pt idx="9">
                  <c:v>694673</c:v>
                </c:pt>
                <c:pt idx="10">
                  <c:v>876396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7-4EC9-BCC8-C29F1C5A45F2}"/>
            </c:ext>
          </c:extLst>
        </c:ser>
        <c:ser>
          <c:idx val="1"/>
          <c:order val="1"/>
          <c:tx>
            <c:strRef>
              <c:f>'Sales &amp; Profit'!$A$3</c:f>
              <c:strCache>
                <c:ptCount val="1"/>
                <c:pt idx="0">
                  <c:v>Expenses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&amp; Profit'!$B$1:$L$1</c:f>
              <c:strCache>
                <c:ptCount val="11"/>
                <c:pt idx="0">
                  <c:v>Mar 2013</c:v>
                </c:pt>
                <c:pt idx="1">
                  <c:v>Mar 2014</c:v>
                </c:pt>
                <c:pt idx="2">
                  <c:v>Mar 2015</c:v>
                </c:pt>
                <c:pt idx="3">
                  <c:v>Mar 2016</c:v>
                </c:pt>
                <c:pt idx="4">
                  <c:v>Mar 2017</c:v>
                </c:pt>
                <c:pt idx="5">
                  <c:v>Mar 2018</c:v>
                </c:pt>
                <c:pt idx="6">
                  <c:v>Mar 2019</c:v>
                </c:pt>
                <c:pt idx="7">
                  <c:v>Mar 2020</c:v>
                </c:pt>
                <c:pt idx="8">
                  <c:v>Mar 2021</c:v>
                </c:pt>
                <c:pt idx="9">
                  <c:v>Mar 2022</c:v>
                </c:pt>
                <c:pt idx="10">
                  <c:v>Mar 2023</c:v>
                </c:pt>
              </c:strCache>
            </c:strRef>
          </c:cat>
          <c:val>
            <c:numRef>
              <c:f>'Sales &amp; Profit'!$B$3:$L$3</c:f>
            </c:numRef>
          </c:val>
          <c:smooth val="0"/>
          <c:extLst>
            <c:ext xmlns:c16="http://schemas.microsoft.com/office/drawing/2014/chart" uri="{C3380CC4-5D6E-409C-BE32-E72D297353CC}">
              <c16:uniqueId val="{00000001-0137-4EC9-BCC8-C29F1C5A45F2}"/>
            </c:ext>
          </c:extLst>
        </c:ser>
        <c:ser>
          <c:idx val="2"/>
          <c:order val="2"/>
          <c:tx>
            <c:strRef>
              <c:f>'Sales &amp; Profit'!$A$4</c:f>
              <c:strCache>
                <c:ptCount val="1"/>
                <c:pt idx="0">
                  <c:v>EBIDTA/Operating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&amp; Profit'!$B$1:$L$1</c:f>
              <c:strCache>
                <c:ptCount val="11"/>
                <c:pt idx="0">
                  <c:v>Mar 2013</c:v>
                </c:pt>
                <c:pt idx="1">
                  <c:v>Mar 2014</c:v>
                </c:pt>
                <c:pt idx="2">
                  <c:v>Mar 2015</c:v>
                </c:pt>
                <c:pt idx="3">
                  <c:v>Mar 2016</c:v>
                </c:pt>
                <c:pt idx="4">
                  <c:v>Mar 2017</c:v>
                </c:pt>
                <c:pt idx="5">
                  <c:v>Mar 2018</c:v>
                </c:pt>
                <c:pt idx="6">
                  <c:v>Mar 2019</c:v>
                </c:pt>
                <c:pt idx="7">
                  <c:v>Mar 2020</c:v>
                </c:pt>
                <c:pt idx="8">
                  <c:v>Mar 2021</c:v>
                </c:pt>
                <c:pt idx="9">
                  <c:v>Mar 2022</c:v>
                </c:pt>
                <c:pt idx="10">
                  <c:v>Mar 2023</c:v>
                </c:pt>
              </c:strCache>
            </c:strRef>
          </c:cat>
          <c:val>
            <c:numRef>
              <c:f>'Sales &amp; Profit'!$B$4:$L$4</c:f>
            </c:numRef>
          </c:val>
          <c:smooth val="0"/>
          <c:extLst>
            <c:ext xmlns:c16="http://schemas.microsoft.com/office/drawing/2014/chart" uri="{C3380CC4-5D6E-409C-BE32-E72D297353CC}">
              <c16:uniqueId val="{00000002-0137-4EC9-BCC8-C29F1C5A45F2}"/>
            </c:ext>
          </c:extLst>
        </c:ser>
        <c:ser>
          <c:idx val="3"/>
          <c:order val="3"/>
          <c:tx>
            <c:strRef>
              <c:f>'Sales &amp; Profit'!$A$5</c:f>
              <c:strCache>
                <c:ptCount val="1"/>
                <c:pt idx="0">
                  <c:v>OPM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&amp; Profit'!$B$1:$L$1</c:f>
              <c:strCache>
                <c:ptCount val="11"/>
                <c:pt idx="0">
                  <c:v>Mar 2013</c:v>
                </c:pt>
                <c:pt idx="1">
                  <c:v>Mar 2014</c:v>
                </c:pt>
                <c:pt idx="2">
                  <c:v>Mar 2015</c:v>
                </c:pt>
                <c:pt idx="3">
                  <c:v>Mar 2016</c:v>
                </c:pt>
                <c:pt idx="4">
                  <c:v>Mar 2017</c:v>
                </c:pt>
                <c:pt idx="5">
                  <c:v>Mar 2018</c:v>
                </c:pt>
                <c:pt idx="6">
                  <c:v>Mar 2019</c:v>
                </c:pt>
                <c:pt idx="7">
                  <c:v>Mar 2020</c:v>
                </c:pt>
                <c:pt idx="8">
                  <c:v>Mar 2021</c:v>
                </c:pt>
                <c:pt idx="9">
                  <c:v>Mar 2022</c:v>
                </c:pt>
                <c:pt idx="10">
                  <c:v>Mar 2023</c:v>
                </c:pt>
              </c:strCache>
            </c:strRef>
          </c:cat>
          <c:val>
            <c:numRef>
              <c:f>'Sales &amp; Profit'!$B$5:$L$5</c:f>
            </c:numRef>
          </c:val>
          <c:smooth val="0"/>
          <c:extLst>
            <c:ext xmlns:c16="http://schemas.microsoft.com/office/drawing/2014/chart" uri="{C3380CC4-5D6E-409C-BE32-E72D297353CC}">
              <c16:uniqueId val="{00000003-0137-4EC9-BCC8-C29F1C5A45F2}"/>
            </c:ext>
          </c:extLst>
        </c:ser>
        <c:ser>
          <c:idx val="4"/>
          <c:order val="4"/>
          <c:tx>
            <c:strRef>
              <c:f>'Sales &amp; Profit'!$A$6</c:f>
              <c:strCache>
                <c:ptCount val="1"/>
                <c:pt idx="0">
                  <c:v>Depreciation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'Sales &amp; Profit'!$B$1:$L$1</c:f>
              <c:strCache>
                <c:ptCount val="11"/>
                <c:pt idx="0">
                  <c:v>Mar 2013</c:v>
                </c:pt>
                <c:pt idx="1">
                  <c:v>Mar 2014</c:v>
                </c:pt>
                <c:pt idx="2">
                  <c:v>Mar 2015</c:v>
                </c:pt>
                <c:pt idx="3">
                  <c:v>Mar 2016</c:v>
                </c:pt>
                <c:pt idx="4">
                  <c:v>Mar 2017</c:v>
                </c:pt>
                <c:pt idx="5">
                  <c:v>Mar 2018</c:v>
                </c:pt>
                <c:pt idx="6">
                  <c:v>Mar 2019</c:v>
                </c:pt>
                <c:pt idx="7">
                  <c:v>Mar 2020</c:v>
                </c:pt>
                <c:pt idx="8">
                  <c:v>Mar 2021</c:v>
                </c:pt>
                <c:pt idx="9">
                  <c:v>Mar 2022</c:v>
                </c:pt>
                <c:pt idx="10">
                  <c:v>Mar 2023</c:v>
                </c:pt>
              </c:strCache>
            </c:strRef>
          </c:cat>
          <c:val>
            <c:numRef>
              <c:f>'Sales &amp; Profit'!$B$6:$L$6</c:f>
            </c:numRef>
          </c:val>
          <c:smooth val="0"/>
          <c:extLst>
            <c:ext xmlns:c16="http://schemas.microsoft.com/office/drawing/2014/chart" uri="{C3380CC4-5D6E-409C-BE32-E72D297353CC}">
              <c16:uniqueId val="{00000004-0137-4EC9-BCC8-C29F1C5A45F2}"/>
            </c:ext>
          </c:extLst>
        </c:ser>
        <c:ser>
          <c:idx val="5"/>
          <c:order val="5"/>
          <c:tx>
            <c:strRef>
              <c:f>'Sales &amp; Profit'!$A$7</c:f>
              <c:strCache>
                <c:ptCount val="1"/>
                <c:pt idx="0">
                  <c:v>EBIT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'Sales &amp; Profit'!$B$1:$L$1</c:f>
              <c:strCache>
                <c:ptCount val="11"/>
                <c:pt idx="0">
                  <c:v>Mar 2013</c:v>
                </c:pt>
                <c:pt idx="1">
                  <c:v>Mar 2014</c:v>
                </c:pt>
                <c:pt idx="2">
                  <c:v>Mar 2015</c:v>
                </c:pt>
                <c:pt idx="3">
                  <c:v>Mar 2016</c:v>
                </c:pt>
                <c:pt idx="4">
                  <c:v>Mar 2017</c:v>
                </c:pt>
                <c:pt idx="5">
                  <c:v>Mar 2018</c:v>
                </c:pt>
                <c:pt idx="6">
                  <c:v>Mar 2019</c:v>
                </c:pt>
                <c:pt idx="7">
                  <c:v>Mar 2020</c:v>
                </c:pt>
                <c:pt idx="8">
                  <c:v>Mar 2021</c:v>
                </c:pt>
                <c:pt idx="9">
                  <c:v>Mar 2022</c:v>
                </c:pt>
                <c:pt idx="10">
                  <c:v>Mar 2023</c:v>
                </c:pt>
              </c:strCache>
            </c:strRef>
          </c:cat>
          <c:val>
            <c:numRef>
              <c:f>'Sales &amp; Profit'!$B$7:$L$7</c:f>
            </c:numRef>
          </c:val>
          <c:smooth val="0"/>
          <c:extLst>
            <c:ext xmlns:c16="http://schemas.microsoft.com/office/drawing/2014/chart" uri="{C3380CC4-5D6E-409C-BE32-E72D297353CC}">
              <c16:uniqueId val="{00000005-0137-4EC9-BCC8-C29F1C5A45F2}"/>
            </c:ext>
          </c:extLst>
        </c:ser>
        <c:ser>
          <c:idx val="6"/>
          <c:order val="6"/>
          <c:tx>
            <c:strRef>
              <c:f>'Sales &amp; Profit'!$A$8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&amp; Profit'!$B$1:$L$1</c:f>
              <c:strCache>
                <c:ptCount val="11"/>
                <c:pt idx="0">
                  <c:v>Mar 2013</c:v>
                </c:pt>
                <c:pt idx="1">
                  <c:v>Mar 2014</c:v>
                </c:pt>
                <c:pt idx="2">
                  <c:v>Mar 2015</c:v>
                </c:pt>
                <c:pt idx="3">
                  <c:v>Mar 2016</c:v>
                </c:pt>
                <c:pt idx="4">
                  <c:v>Mar 2017</c:v>
                </c:pt>
                <c:pt idx="5">
                  <c:v>Mar 2018</c:v>
                </c:pt>
                <c:pt idx="6">
                  <c:v>Mar 2019</c:v>
                </c:pt>
                <c:pt idx="7">
                  <c:v>Mar 2020</c:v>
                </c:pt>
                <c:pt idx="8">
                  <c:v>Mar 2021</c:v>
                </c:pt>
                <c:pt idx="9">
                  <c:v>Mar 2022</c:v>
                </c:pt>
                <c:pt idx="10">
                  <c:v>Mar 2023</c:v>
                </c:pt>
              </c:strCache>
            </c:strRef>
          </c:cat>
          <c:val>
            <c:numRef>
              <c:f>'Sales &amp; Profit'!$B$8:$L$8</c:f>
            </c:numRef>
          </c:val>
          <c:smooth val="0"/>
          <c:extLst>
            <c:ext xmlns:c16="http://schemas.microsoft.com/office/drawing/2014/chart" uri="{C3380CC4-5D6E-409C-BE32-E72D297353CC}">
              <c16:uniqueId val="{00000006-0137-4EC9-BCC8-C29F1C5A45F2}"/>
            </c:ext>
          </c:extLst>
        </c:ser>
        <c:ser>
          <c:idx val="7"/>
          <c:order val="7"/>
          <c:tx>
            <c:strRef>
              <c:f>'Sales &amp; Profit'!$A$9</c:f>
              <c:strCache>
                <c:ptCount val="1"/>
                <c:pt idx="0">
                  <c:v>Exceptional 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&amp; Profit'!$B$1:$L$1</c:f>
              <c:strCache>
                <c:ptCount val="11"/>
                <c:pt idx="0">
                  <c:v>Mar 2013</c:v>
                </c:pt>
                <c:pt idx="1">
                  <c:v>Mar 2014</c:v>
                </c:pt>
                <c:pt idx="2">
                  <c:v>Mar 2015</c:v>
                </c:pt>
                <c:pt idx="3">
                  <c:v>Mar 2016</c:v>
                </c:pt>
                <c:pt idx="4">
                  <c:v>Mar 2017</c:v>
                </c:pt>
                <c:pt idx="5">
                  <c:v>Mar 2018</c:v>
                </c:pt>
                <c:pt idx="6">
                  <c:v>Mar 2019</c:v>
                </c:pt>
                <c:pt idx="7">
                  <c:v>Mar 2020</c:v>
                </c:pt>
                <c:pt idx="8">
                  <c:v>Mar 2021</c:v>
                </c:pt>
                <c:pt idx="9">
                  <c:v>Mar 2022</c:v>
                </c:pt>
                <c:pt idx="10">
                  <c:v>Mar 2023</c:v>
                </c:pt>
              </c:strCache>
            </c:strRef>
          </c:cat>
          <c:val>
            <c:numRef>
              <c:f>'Sales &amp; Profit'!$B$9:$L$9</c:f>
            </c:numRef>
          </c:val>
          <c:smooth val="0"/>
          <c:extLst>
            <c:ext xmlns:c16="http://schemas.microsoft.com/office/drawing/2014/chart" uri="{C3380CC4-5D6E-409C-BE32-E72D297353CC}">
              <c16:uniqueId val="{00000007-0137-4EC9-BCC8-C29F1C5A45F2}"/>
            </c:ext>
          </c:extLst>
        </c:ser>
        <c:ser>
          <c:idx val="8"/>
          <c:order val="8"/>
          <c:tx>
            <c:strRef>
              <c:f>'Sales &amp; Profit'!$A$10</c:f>
              <c:strCache>
                <c:ptCount val="1"/>
                <c:pt idx="0">
                  <c:v>Other income normal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&amp; Profit'!$B$1:$L$1</c:f>
              <c:strCache>
                <c:ptCount val="11"/>
                <c:pt idx="0">
                  <c:v>Mar 2013</c:v>
                </c:pt>
                <c:pt idx="1">
                  <c:v>Mar 2014</c:v>
                </c:pt>
                <c:pt idx="2">
                  <c:v>Mar 2015</c:v>
                </c:pt>
                <c:pt idx="3">
                  <c:v>Mar 2016</c:v>
                </c:pt>
                <c:pt idx="4">
                  <c:v>Mar 2017</c:v>
                </c:pt>
                <c:pt idx="5">
                  <c:v>Mar 2018</c:v>
                </c:pt>
                <c:pt idx="6">
                  <c:v>Mar 2019</c:v>
                </c:pt>
                <c:pt idx="7">
                  <c:v>Mar 2020</c:v>
                </c:pt>
                <c:pt idx="8">
                  <c:v>Mar 2021</c:v>
                </c:pt>
                <c:pt idx="9">
                  <c:v>Mar 2022</c:v>
                </c:pt>
                <c:pt idx="10">
                  <c:v>Mar 2023</c:v>
                </c:pt>
              </c:strCache>
            </c:strRef>
          </c:cat>
          <c:val>
            <c:numRef>
              <c:f>'Sales &amp; Profit'!$B$10:$L$10</c:f>
            </c:numRef>
          </c:val>
          <c:smooth val="0"/>
          <c:extLst>
            <c:ext xmlns:c16="http://schemas.microsoft.com/office/drawing/2014/chart" uri="{C3380CC4-5D6E-409C-BE32-E72D297353CC}">
              <c16:uniqueId val="{00000008-0137-4EC9-BCC8-C29F1C5A45F2}"/>
            </c:ext>
          </c:extLst>
        </c:ser>
        <c:ser>
          <c:idx val="9"/>
          <c:order val="9"/>
          <c:tx>
            <c:strRef>
              <c:f>'Sales &amp; Profit'!$A$11</c:f>
              <c:strCache>
                <c:ptCount val="1"/>
                <c:pt idx="0">
                  <c:v>Other income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&amp; Profit'!$B$1:$L$1</c:f>
              <c:strCache>
                <c:ptCount val="11"/>
                <c:pt idx="0">
                  <c:v>Mar 2013</c:v>
                </c:pt>
                <c:pt idx="1">
                  <c:v>Mar 2014</c:v>
                </c:pt>
                <c:pt idx="2">
                  <c:v>Mar 2015</c:v>
                </c:pt>
                <c:pt idx="3">
                  <c:v>Mar 2016</c:v>
                </c:pt>
                <c:pt idx="4">
                  <c:v>Mar 2017</c:v>
                </c:pt>
                <c:pt idx="5">
                  <c:v>Mar 2018</c:v>
                </c:pt>
                <c:pt idx="6">
                  <c:v>Mar 2019</c:v>
                </c:pt>
                <c:pt idx="7">
                  <c:v>Mar 2020</c:v>
                </c:pt>
                <c:pt idx="8">
                  <c:v>Mar 2021</c:v>
                </c:pt>
                <c:pt idx="9">
                  <c:v>Mar 2022</c:v>
                </c:pt>
                <c:pt idx="10">
                  <c:v>Mar 2023</c:v>
                </c:pt>
              </c:strCache>
            </c:strRef>
          </c:cat>
          <c:val>
            <c:numRef>
              <c:f>'Sales &amp; Profit'!$B$11:$L$11</c:f>
            </c:numRef>
          </c:val>
          <c:smooth val="0"/>
          <c:extLst>
            <c:ext xmlns:c16="http://schemas.microsoft.com/office/drawing/2014/chart" uri="{C3380CC4-5D6E-409C-BE32-E72D297353CC}">
              <c16:uniqueId val="{00000009-0137-4EC9-BCC8-C29F1C5A45F2}"/>
            </c:ext>
          </c:extLst>
        </c:ser>
        <c:ser>
          <c:idx val="10"/>
          <c:order val="10"/>
          <c:tx>
            <c:strRef>
              <c:f>'Sales &amp; Profit'!$A$12</c:f>
              <c:strCache>
                <c:ptCount val="1"/>
                <c:pt idx="0">
                  <c:v>Profit before tax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&amp; Profit'!$B$1:$L$1</c:f>
              <c:strCache>
                <c:ptCount val="11"/>
                <c:pt idx="0">
                  <c:v>Mar 2013</c:v>
                </c:pt>
                <c:pt idx="1">
                  <c:v>Mar 2014</c:v>
                </c:pt>
                <c:pt idx="2">
                  <c:v>Mar 2015</c:v>
                </c:pt>
                <c:pt idx="3">
                  <c:v>Mar 2016</c:v>
                </c:pt>
                <c:pt idx="4">
                  <c:v>Mar 2017</c:v>
                </c:pt>
                <c:pt idx="5">
                  <c:v>Mar 2018</c:v>
                </c:pt>
                <c:pt idx="6">
                  <c:v>Mar 2019</c:v>
                </c:pt>
                <c:pt idx="7">
                  <c:v>Mar 2020</c:v>
                </c:pt>
                <c:pt idx="8">
                  <c:v>Mar 2021</c:v>
                </c:pt>
                <c:pt idx="9">
                  <c:v>Mar 2022</c:v>
                </c:pt>
                <c:pt idx="10">
                  <c:v>Mar 2023</c:v>
                </c:pt>
              </c:strCache>
            </c:strRef>
          </c:cat>
          <c:val>
            <c:numRef>
              <c:f>'Sales &amp; Profit'!$B$12:$L$12</c:f>
            </c:numRef>
          </c:val>
          <c:smooth val="0"/>
          <c:extLst>
            <c:ext xmlns:c16="http://schemas.microsoft.com/office/drawing/2014/chart" uri="{C3380CC4-5D6E-409C-BE32-E72D297353CC}">
              <c16:uniqueId val="{0000000A-0137-4EC9-BCC8-C29F1C5A45F2}"/>
            </c:ext>
          </c:extLst>
        </c:ser>
        <c:ser>
          <c:idx val="11"/>
          <c:order val="11"/>
          <c:tx>
            <c:strRef>
              <c:f>'Sales &amp; Profit'!$A$13</c:f>
              <c:strCache>
                <c:ptCount val="1"/>
                <c:pt idx="0">
                  <c:v>Tax %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&amp; Profit'!$B$1:$L$1</c:f>
              <c:strCache>
                <c:ptCount val="11"/>
                <c:pt idx="0">
                  <c:v>Mar 2013</c:v>
                </c:pt>
                <c:pt idx="1">
                  <c:v>Mar 2014</c:v>
                </c:pt>
                <c:pt idx="2">
                  <c:v>Mar 2015</c:v>
                </c:pt>
                <c:pt idx="3">
                  <c:v>Mar 2016</c:v>
                </c:pt>
                <c:pt idx="4">
                  <c:v>Mar 2017</c:v>
                </c:pt>
                <c:pt idx="5">
                  <c:v>Mar 2018</c:v>
                </c:pt>
                <c:pt idx="6">
                  <c:v>Mar 2019</c:v>
                </c:pt>
                <c:pt idx="7">
                  <c:v>Mar 2020</c:v>
                </c:pt>
                <c:pt idx="8">
                  <c:v>Mar 2021</c:v>
                </c:pt>
                <c:pt idx="9">
                  <c:v>Mar 2022</c:v>
                </c:pt>
                <c:pt idx="10">
                  <c:v>Mar 2023</c:v>
                </c:pt>
              </c:strCache>
            </c:strRef>
          </c:cat>
          <c:val>
            <c:numRef>
              <c:f>'Sales &amp; Profit'!$B$13:$L$13</c:f>
            </c:numRef>
          </c:val>
          <c:smooth val="0"/>
          <c:extLst>
            <c:ext xmlns:c16="http://schemas.microsoft.com/office/drawing/2014/chart" uri="{C3380CC4-5D6E-409C-BE32-E72D297353CC}">
              <c16:uniqueId val="{0000000B-0137-4EC9-BCC8-C29F1C5A45F2}"/>
            </c:ext>
          </c:extLst>
        </c:ser>
        <c:ser>
          <c:idx val="12"/>
          <c:order val="12"/>
          <c:tx>
            <c:strRef>
              <c:f>'Sales &amp; Profit'!$A$14</c:f>
              <c:strCache>
                <c:ptCount val="1"/>
                <c:pt idx="0">
                  <c:v>Tax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&amp; Profit'!$B$1:$L$1</c:f>
              <c:strCache>
                <c:ptCount val="11"/>
                <c:pt idx="0">
                  <c:v>Mar 2013</c:v>
                </c:pt>
                <c:pt idx="1">
                  <c:v>Mar 2014</c:v>
                </c:pt>
                <c:pt idx="2">
                  <c:v>Mar 2015</c:v>
                </c:pt>
                <c:pt idx="3">
                  <c:v>Mar 2016</c:v>
                </c:pt>
                <c:pt idx="4">
                  <c:v>Mar 2017</c:v>
                </c:pt>
                <c:pt idx="5">
                  <c:v>Mar 2018</c:v>
                </c:pt>
                <c:pt idx="6">
                  <c:v>Mar 2019</c:v>
                </c:pt>
                <c:pt idx="7">
                  <c:v>Mar 2020</c:v>
                </c:pt>
                <c:pt idx="8">
                  <c:v>Mar 2021</c:v>
                </c:pt>
                <c:pt idx="9">
                  <c:v>Mar 2022</c:v>
                </c:pt>
                <c:pt idx="10">
                  <c:v>Mar 2023</c:v>
                </c:pt>
              </c:strCache>
            </c:strRef>
          </c:cat>
          <c:val>
            <c:numRef>
              <c:f>'Sales &amp; Profit'!$B$14:$L$14</c:f>
            </c:numRef>
          </c:val>
          <c:smooth val="0"/>
          <c:extLst>
            <c:ext xmlns:c16="http://schemas.microsoft.com/office/drawing/2014/chart" uri="{C3380CC4-5D6E-409C-BE32-E72D297353CC}">
              <c16:uniqueId val="{0000000C-0137-4EC9-BCC8-C29F1C5A45F2}"/>
            </c:ext>
          </c:extLst>
        </c:ser>
        <c:ser>
          <c:idx val="13"/>
          <c:order val="13"/>
          <c:tx>
            <c:strRef>
              <c:f>'Sales &amp; Profit'!$A$15</c:f>
              <c:strCache>
                <c:ptCount val="1"/>
                <c:pt idx="0">
                  <c:v>Net Profit 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&amp; Profit'!$B$1:$L$1</c:f>
              <c:strCache>
                <c:ptCount val="11"/>
                <c:pt idx="0">
                  <c:v>Mar 2013</c:v>
                </c:pt>
                <c:pt idx="1">
                  <c:v>Mar 2014</c:v>
                </c:pt>
                <c:pt idx="2">
                  <c:v>Mar 2015</c:v>
                </c:pt>
                <c:pt idx="3">
                  <c:v>Mar 2016</c:v>
                </c:pt>
                <c:pt idx="4">
                  <c:v>Mar 2017</c:v>
                </c:pt>
                <c:pt idx="5">
                  <c:v>Mar 2018</c:v>
                </c:pt>
                <c:pt idx="6">
                  <c:v>Mar 2019</c:v>
                </c:pt>
                <c:pt idx="7">
                  <c:v>Mar 2020</c:v>
                </c:pt>
                <c:pt idx="8">
                  <c:v>Mar 2021</c:v>
                </c:pt>
                <c:pt idx="9">
                  <c:v>Mar 2022</c:v>
                </c:pt>
                <c:pt idx="10">
                  <c:v>Mar 2023</c:v>
                </c:pt>
              </c:strCache>
            </c:strRef>
          </c:cat>
          <c:val>
            <c:numRef>
              <c:f>'Sales &amp; Profit'!$B$15:$L$15</c:f>
              <c:numCache>
                <c:formatCode>_ * #,##0_ ;_ * \-#,##0_ ;_ * "-"??_ ;_ @_ </c:formatCode>
                <c:ptCount val="11"/>
                <c:pt idx="0">
                  <c:v>20886</c:v>
                </c:pt>
                <c:pt idx="1">
                  <c:v>22548</c:v>
                </c:pt>
                <c:pt idx="2">
                  <c:v>23640</c:v>
                </c:pt>
                <c:pt idx="3">
                  <c:v>29861</c:v>
                </c:pt>
                <c:pt idx="4">
                  <c:v>29833</c:v>
                </c:pt>
                <c:pt idx="5">
                  <c:v>36080</c:v>
                </c:pt>
                <c:pt idx="6">
                  <c:v>39837</c:v>
                </c:pt>
                <c:pt idx="7">
                  <c:v>39880</c:v>
                </c:pt>
                <c:pt idx="8">
                  <c:v>53739</c:v>
                </c:pt>
                <c:pt idx="9">
                  <c:v>67845</c:v>
                </c:pt>
                <c:pt idx="10">
                  <c:v>74088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37-4EC9-BCC8-C29F1C5A4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84256"/>
        <c:axId val="137721888"/>
      </c:lineChart>
      <c:catAx>
        <c:axId val="1193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1888"/>
        <c:crosses val="autoZero"/>
        <c:auto val="1"/>
        <c:lblAlgn val="ctr"/>
        <c:lblOffset val="100"/>
        <c:noMultiLvlLbl val="0"/>
      </c:catAx>
      <c:valAx>
        <c:axId val="1377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Debt-Equity Ratio &amp; ICR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&amp; Profit'!$A$38</c:f>
              <c:strCache>
                <c:ptCount val="1"/>
                <c:pt idx="0">
                  <c:v>Debt-Equity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&amp; Profit'!$B$37:$L$37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'Sales &amp; Profit'!$B$38:$L$38</c:f>
              <c:numCache>
                <c:formatCode>0.00</c:formatCode>
                <c:ptCount val="11"/>
                <c:pt idx="0">
                  <c:v>0.58893740902474523</c:v>
                </c:pt>
                <c:pt idx="1">
                  <c:v>0.69838992988972604</c:v>
                </c:pt>
                <c:pt idx="2">
                  <c:v>0.77003098412349713</c:v>
                </c:pt>
                <c:pt idx="3">
                  <c:v>0.8408937794745116</c:v>
                </c:pt>
                <c:pt idx="4">
                  <c:v>0.82467795941738808</c:v>
                </c:pt>
                <c:pt idx="5">
                  <c:v>0.81716557753504182</c:v>
                </c:pt>
                <c:pt idx="6">
                  <c:v>0.79489656740168224</c:v>
                </c:pt>
                <c:pt idx="7">
                  <c:v>0.79064978204049285</c:v>
                </c:pt>
                <c:pt idx="8">
                  <c:v>0.39841924555680602</c:v>
                </c:pt>
                <c:pt idx="9">
                  <c:v>0.40944726325715053</c:v>
                </c:pt>
                <c:pt idx="10">
                  <c:v>0.63092843413347632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2-4185-A397-AFC6D8311D3D}"/>
            </c:ext>
          </c:extLst>
        </c:ser>
        <c:ser>
          <c:idx val="1"/>
          <c:order val="1"/>
          <c:tx>
            <c:strRef>
              <c:f>'Sales &amp; Profit'!$A$39</c:f>
              <c:strCache>
                <c:ptCount val="1"/>
                <c:pt idx="0">
                  <c:v>Interest Coverage 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&amp; Profit'!$B$37:$L$37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'Sales &amp; Profit'!$B$39:$L$39</c:f>
              <c:numCache>
                <c:formatCode>0.00</c:formatCode>
                <c:ptCount val="11"/>
                <c:pt idx="0">
                  <c:v>6.3306381749927807</c:v>
                </c:pt>
                <c:pt idx="1">
                  <c:v>6.1871741397288842</c:v>
                </c:pt>
                <c:pt idx="2">
                  <c:v>7.8112183353437876</c:v>
                </c:pt>
                <c:pt idx="3">
                  <c:v>8.1863993497697098</c:v>
                </c:pt>
                <c:pt idx="4">
                  <c:v>9.0051961548454145</c:v>
                </c:pt>
                <c:pt idx="5">
                  <c:v>5.9126924987580729</c:v>
                </c:pt>
                <c:pt idx="6">
                  <c:v>3.8384965140951803</c:v>
                </c:pt>
                <c:pt idx="7">
                  <c:v>3.0445816497934355</c:v>
                </c:pt>
                <c:pt idx="8">
                  <c:v>2.5587804993156826</c:v>
                </c:pt>
                <c:pt idx="9">
                  <c:v>5.4031130005485464</c:v>
                </c:pt>
                <c:pt idx="10">
                  <c:v>5.2125593991109298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2-4185-A397-AFC6D831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43487"/>
        <c:axId val="515037999"/>
      </c:lineChart>
      <c:catAx>
        <c:axId val="62164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37999"/>
        <c:crosses val="autoZero"/>
        <c:auto val="1"/>
        <c:lblAlgn val="ctr"/>
        <c:lblOffset val="100"/>
        <c:noMultiLvlLbl val="0"/>
      </c:catAx>
      <c:valAx>
        <c:axId val="5150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6477216750546445"/>
          <c:y val="0.89409667541557303"/>
          <c:w val="0.4117830155718983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05381631263973E-2"/>
          <c:y val="0.19486111111111112"/>
          <c:w val="0.9088631587560765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ROE!$A$3</c:f>
              <c:strCache>
                <c:ptCount val="1"/>
                <c:pt idx="0">
                  <c:v>Debt-Equity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ROE!$B$2:$L$2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  <c:pt idx="7" formatCode="General">
                  <c:v>2020</c:v>
                </c:pt>
                <c:pt idx="8" formatCode="General">
                  <c:v>2021</c:v>
                </c:pt>
                <c:pt idx="9" formatCode="General">
                  <c:v>2022</c:v>
                </c:pt>
                <c:pt idx="10" formatCode="General">
                  <c:v>2023</c:v>
                </c:pt>
              </c:numCache>
            </c:numRef>
          </c:cat>
          <c:val>
            <c:numRef>
              <c:f>ROE!$B$3:$L$3</c:f>
            </c:numRef>
          </c:val>
          <c:smooth val="0"/>
          <c:extLst>
            <c:ext xmlns:c16="http://schemas.microsoft.com/office/drawing/2014/chart" uri="{C3380CC4-5D6E-409C-BE32-E72D297353CC}">
              <c16:uniqueId val="{00000000-C910-418C-B516-C7A15ED6A58C}"/>
            </c:ext>
          </c:extLst>
        </c:ser>
        <c:ser>
          <c:idx val="1"/>
          <c:order val="1"/>
          <c:tx>
            <c:strRef>
              <c:f>ROE!$A$4</c:f>
              <c:strCache>
                <c:ptCount val="1"/>
                <c:pt idx="0">
                  <c:v>Interest Coverage 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ROE!$B$2:$L$2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  <c:pt idx="7" formatCode="General">
                  <c:v>2020</c:v>
                </c:pt>
                <c:pt idx="8" formatCode="General">
                  <c:v>2021</c:v>
                </c:pt>
                <c:pt idx="9" formatCode="General">
                  <c:v>2022</c:v>
                </c:pt>
                <c:pt idx="10" formatCode="General">
                  <c:v>2023</c:v>
                </c:pt>
              </c:numCache>
            </c:numRef>
          </c:cat>
          <c:val>
            <c:numRef>
              <c:f>ROE!$B$4:$L$4</c:f>
            </c:numRef>
          </c:val>
          <c:smooth val="0"/>
          <c:extLst>
            <c:ext xmlns:c16="http://schemas.microsoft.com/office/drawing/2014/chart" uri="{C3380CC4-5D6E-409C-BE32-E72D297353CC}">
              <c16:uniqueId val="{00000001-C910-418C-B516-C7A15ED6A58C}"/>
            </c:ext>
          </c:extLst>
        </c:ser>
        <c:ser>
          <c:idx val="2"/>
          <c:order val="2"/>
          <c:tx>
            <c:strRef>
              <c:f>ROE!$A$5</c:f>
              <c:strCache>
                <c:ptCount val="1"/>
                <c:pt idx="0">
                  <c:v>EBIDTA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ROE!$B$2:$L$2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  <c:pt idx="7" formatCode="General">
                  <c:v>2020</c:v>
                </c:pt>
                <c:pt idx="8" formatCode="General">
                  <c:v>2021</c:v>
                </c:pt>
                <c:pt idx="9" formatCode="General">
                  <c:v>2022</c:v>
                </c:pt>
                <c:pt idx="10" formatCode="General">
                  <c:v>2023</c:v>
                </c:pt>
              </c:numCache>
            </c:numRef>
          </c:cat>
          <c:val>
            <c:numRef>
              <c:f>ROE!$B$5:$L$5</c:f>
            </c:numRef>
          </c:val>
          <c:smooth val="0"/>
          <c:extLst>
            <c:ext xmlns:c16="http://schemas.microsoft.com/office/drawing/2014/chart" uri="{C3380CC4-5D6E-409C-BE32-E72D297353CC}">
              <c16:uniqueId val="{00000002-C910-418C-B516-C7A15ED6A58C}"/>
            </c:ext>
          </c:extLst>
        </c:ser>
        <c:ser>
          <c:idx val="3"/>
          <c:order val="3"/>
          <c:tx>
            <c:strRef>
              <c:f>ROE!$A$6</c:f>
              <c:strCache>
                <c:ptCount val="1"/>
                <c:pt idx="0">
                  <c:v>EBIT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ROE!$B$2:$L$2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  <c:pt idx="7" formatCode="General">
                  <c:v>2020</c:v>
                </c:pt>
                <c:pt idx="8" formatCode="General">
                  <c:v>2021</c:v>
                </c:pt>
                <c:pt idx="9" formatCode="General">
                  <c:v>2022</c:v>
                </c:pt>
                <c:pt idx="10" formatCode="General">
                  <c:v>2023</c:v>
                </c:pt>
              </c:numCache>
            </c:numRef>
          </c:cat>
          <c:val>
            <c:numRef>
              <c:f>ROE!$B$6:$L$6</c:f>
            </c:numRef>
          </c:val>
          <c:smooth val="0"/>
          <c:extLst>
            <c:ext xmlns:c16="http://schemas.microsoft.com/office/drawing/2014/chart" uri="{C3380CC4-5D6E-409C-BE32-E72D297353CC}">
              <c16:uniqueId val="{00000003-C910-418C-B516-C7A15ED6A58C}"/>
            </c:ext>
          </c:extLst>
        </c:ser>
        <c:ser>
          <c:idx val="4"/>
          <c:order val="4"/>
          <c:tx>
            <c:strRef>
              <c:f>ROE!$A$7</c:f>
              <c:strCache>
                <c:ptCount val="1"/>
                <c:pt idx="0">
                  <c:v>Total  Assets Turnover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ROE!$B$2:$L$2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  <c:pt idx="7" formatCode="General">
                  <c:v>2020</c:v>
                </c:pt>
                <c:pt idx="8" formatCode="General">
                  <c:v>2021</c:v>
                </c:pt>
                <c:pt idx="9" formatCode="General">
                  <c:v>2022</c:v>
                </c:pt>
                <c:pt idx="10" formatCode="General">
                  <c:v>2023</c:v>
                </c:pt>
              </c:numCache>
            </c:numRef>
          </c:cat>
          <c:val>
            <c:numRef>
              <c:f>ROE!$B$7:$L$7</c:f>
            </c:numRef>
          </c:val>
          <c:smooth val="0"/>
          <c:extLst>
            <c:ext xmlns:c16="http://schemas.microsoft.com/office/drawing/2014/chart" uri="{C3380CC4-5D6E-409C-BE32-E72D297353CC}">
              <c16:uniqueId val="{00000004-C910-418C-B516-C7A15ED6A58C}"/>
            </c:ext>
          </c:extLst>
        </c:ser>
        <c:ser>
          <c:idx val="5"/>
          <c:order val="5"/>
          <c:tx>
            <c:strRef>
              <c:f>ROE!$A$8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ROE!$B$2:$L$2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  <c:pt idx="7" formatCode="General">
                  <c:v>2020</c:v>
                </c:pt>
                <c:pt idx="8" formatCode="General">
                  <c:v>2021</c:v>
                </c:pt>
                <c:pt idx="9" formatCode="General">
                  <c:v>2022</c:v>
                </c:pt>
                <c:pt idx="10" formatCode="General">
                  <c:v>2023</c:v>
                </c:pt>
              </c:numCache>
            </c:numRef>
          </c:cat>
          <c:val>
            <c:numRef>
              <c:f>ROE!$B$8:$L$8</c:f>
            </c:numRef>
          </c:val>
          <c:smooth val="0"/>
          <c:extLst>
            <c:ext xmlns:c16="http://schemas.microsoft.com/office/drawing/2014/chart" uri="{C3380CC4-5D6E-409C-BE32-E72D297353CC}">
              <c16:uniqueId val="{00000005-C910-418C-B516-C7A15ED6A58C}"/>
            </c:ext>
          </c:extLst>
        </c:ser>
        <c:ser>
          <c:idx val="6"/>
          <c:order val="6"/>
          <c:tx>
            <c:strRef>
              <c:f>ROE!$A$9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ROE!$B$2:$L$2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  <c:pt idx="7" formatCode="General">
                  <c:v>2020</c:v>
                </c:pt>
                <c:pt idx="8" formatCode="General">
                  <c:v>2021</c:v>
                </c:pt>
                <c:pt idx="9" formatCode="General">
                  <c:v>2022</c:v>
                </c:pt>
                <c:pt idx="10" formatCode="General">
                  <c:v>2023</c:v>
                </c:pt>
              </c:numCache>
            </c:numRef>
          </c:cat>
          <c:val>
            <c:numRef>
              <c:f>ROE!$B$9:$L$9</c:f>
            </c:numRef>
          </c:val>
          <c:smooth val="0"/>
          <c:extLst>
            <c:ext xmlns:c16="http://schemas.microsoft.com/office/drawing/2014/chart" uri="{C3380CC4-5D6E-409C-BE32-E72D297353CC}">
              <c16:uniqueId val="{00000006-C910-418C-B516-C7A15ED6A58C}"/>
            </c:ext>
          </c:extLst>
        </c:ser>
        <c:ser>
          <c:idx val="7"/>
          <c:order val="7"/>
          <c:tx>
            <c:strRef>
              <c:f>ROE!$A$10</c:f>
              <c:strCache>
                <c:ptCount val="1"/>
                <c:pt idx="0">
                  <c:v>Inventory days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ROE!$B$2:$L$2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  <c:pt idx="7" formatCode="General">
                  <c:v>2020</c:v>
                </c:pt>
                <c:pt idx="8" formatCode="General">
                  <c:v>2021</c:v>
                </c:pt>
                <c:pt idx="9" formatCode="General">
                  <c:v>2022</c:v>
                </c:pt>
                <c:pt idx="10" formatCode="General">
                  <c:v>2023</c:v>
                </c:pt>
              </c:numCache>
            </c:numRef>
          </c:cat>
          <c:val>
            <c:numRef>
              <c:f>ROE!$B$10:$L$10</c:f>
            </c:numRef>
          </c:val>
          <c:smooth val="0"/>
          <c:extLst>
            <c:ext xmlns:c16="http://schemas.microsoft.com/office/drawing/2014/chart" uri="{C3380CC4-5D6E-409C-BE32-E72D297353CC}">
              <c16:uniqueId val="{00000007-C910-418C-B516-C7A15ED6A58C}"/>
            </c:ext>
          </c:extLst>
        </c:ser>
        <c:ser>
          <c:idx val="8"/>
          <c:order val="8"/>
          <c:tx>
            <c:strRef>
              <c:f>ROE!$A$11</c:f>
              <c:strCache>
                <c:ptCount val="1"/>
                <c:pt idx="0">
                  <c:v>Debtors turnover ratio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ROE!$B$2:$L$2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  <c:pt idx="7" formatCode="General">
                  <c:v>2020</c:v>
                </c:pt>
                <c:pt idx="8" formatCode="General">
                  <c:v>2021</c:v>
                </c:pt>
                <c:pt idx="9" formatCode="General">
                  <c:v>2022</c:v>
                </c:pt>
                <c:pt idx="10" formatCode="General">
                  <c:v>2023</c:v>
                </c:pt>
              </c:numCache>
            </c:numRef>
          </c:cat>
          <c:val>
            <c:numRef>
              <c:f>ROE!$B$11:$L$11</c:f>
            </c:numRef>
          </c:val>
          <c:smooth val="0"/>
          <c:extLst>
            <c:ext xmlns:c16="http://schemas.microsoft.com/office/drawing/2014/chart" uri="{C3380CC4-5D6E-409C-BE32-E72D297353CC}">
              <c16:uniqueId val="{00000008-C910-418C-B516-C7A15ED6A58C}"/>
            </c:ext>
          </c:extLst>
        </c:ser>
        <c:ser>
          <c:idx val="9"/>
          <c:order val="9"/>
          <c:tx>
            <c:strRef>
              <c:f>ROE!$A$12</c:f>
              <c:strCache>
                <c:ptCount val="1"/>
                <c:pt idx="0">
                  <c:v>Receivable days outstanding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ROE!$B$2:$L$2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  <c:pt idx="7" formatCode="General">
                  <c:v>2020</c:v>
                </c:pt>
                <c:pt idx="8" formatCode="General">
                  <c:v>2021</c:v>
                </c:pt>
                <c:pt idx="9" formatCode="General">
                  <c:v>2022</c:v>
                </c:pt>
                <c:pt idx="10" formatCode="General">
                  <c:v>2023</c:v>
                </c:pt>
              </c:numCache>
            </c:numRef>
          </c:cat>
          <c:val>
            <c:numRef>
              <c:f>ROE!$B$12:$L$12</c:f>
            </c:numRef>
          </c:val>
          <c:smooth val="0"/>
          <c:extLst>
            <c:ext xmlns:c16="http://schemas.microsoft.com/office/drawing/2014/chart" uri="{C3380CC4-5D6E-409C-BE32-E72D297353CC}">
              <c16:uniqueId val="{00000009-C910-418C-B516-C7A15ED6A58C}"/>
            </c:ext>
          </c:extLst>
        </c:ser>
        <c:ser>
          <c:idx val="10"/>
          <c:order val="10"/>
          <c:tx>
            <c:strRef>
              <c:f>ROE!$A$13</c:f>
              <c:strCache>
                <c:ptCount val="1"/>
                <c:pt idx="0">
                  <c:v>PAT (%)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ROE!$B$2:$L$2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  <c:pt idx="7" formatCode="General">
                  <c:v>2020</c:v>
                </c:pt>
                <c:pt idx="8" formatCode="General">
                  <c:v>2021</c:v>
                </c:pt>
                <c:pt idx="9" formatCode="General">
                  <c:v>2022</c:v>
                </c:pt>
                <c:pt idx="10" formatCode="General">
                  <c:v>2023</c:v>
                </c:pt>
              </c:numCache>
            </c:numRef>
          </c:cat>
          <c:val>
            <c:numRef>
              <c:f>ROE!$B$13:$L$13</c:f>
            </c:numRef>
          </c:val>
          <c:smooth val="0"/>
          <c:extLst>
            <c:ext xmlns:c16="http://schemas.microsoft.com/office/drawing/2014/chart" uri="{C3380CC4-5D6E-409C-BE32-E72D297353CC}">
              <c16:uniqueId val="{0000000A-C910-418C-B516-C7A15ED6A58C}"/>
            </c:ext>
          </c:extLst>
        </c:ser>
        <c:ser>
          <c:idx val="11"/>
          <c:order val="11"/>
          <c:tx>
            <c:strRef>
              <c:f>ROE!$A$14</c:f>
              <c:strCache>
                <c:ptCount val="1"/>
                <c:pt idx="0">
                  <c:v>ROCE (%)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ROE!$B$2:$L$2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  <c:pt idx="7" formatCode="General">
                  <c:v>2020</c:v>
                </c:pt>
                <c:pt idx="8" formatCode="General">
                  <c:v>2021</c:v>
                </c:pt>
                <c:pt idx="9" formatCode="General">
                  <c:v>2022</c:v>
                </c:pt>
                <c:pt idx="10" formatCode="General">
                  <c:v>2023</c:v>
                </c:pt>
              </c:numCache>
            </c:numRef>
          </c:cat>
          <c:val>
            <c:numRef>
              <c:f>ROE!$B$14:$L$14</c:f>
            </c:numRef>
          </c:val>
          <c:smooth val="0"/>
          <c:extLst>
            <c:ext xmlns:c16="http://schemas.microsoft.com/office/drawing/2014/chart" uri="{C3380CC4-5D6E-409C-BE32-E72D297353CC}">
              <c16:uniqueId val="{0000000B-C910-418C-B516-C7A15ED6A58C}"/>
            </c:ext>
          </c:extLst>
        </c:ser>
        <c:ser>
          <c:idx val="12"/>
          <c:order val="12"/>
          <c:tx>
            <c:strRef>
              <c:f>ROE!$A$15</c:f>
              <c:strCache>
                <c:ptCount val="1"/>
                <c:pt idx="0">
                  <c:v>ROE (%)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ROE!$B$2:$L$2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 formatCode="General">
                  <c:v>2019</c:v>
                </c:pt>
                <c:pt idx="7" formatCode="General">
                  <c:v>2020</c:v>
                </c:pt>
                <c:pt idx="8" formatCode="General">
                  <c:v>2021</c:v>
                </c:pt>
                <c:pt idx="9" formatCode="General">
                  <c:v>2022</c:v>
                </c:pt>
                <c:pt idx="10" formatCode="General">
                  <c:v>2023</c:v>
                </c:pt>
              </c:numCache>
            </c:numRef>
          </c:cat>
          <c:val>
            <c:numRef>
              <c:f>ROE!$B$15:$L$15</c:f>
              <c:numCache>
                <c:formatCode>0.0%</c:formatCode>
                <c:ptCount val="11"/>
                <c:pt idx="0">
                  <c:v>0</c:v>
                </c:pt>
                <c:pt idx="1">
                  <c:v>1.05058018290601E-6</c:v>
                </c:pt>
                <c:pt idx="2">
                  <c:v>1.0546854400674998E-6</c:v>
                </c:pt>
                <c:pt idx="3">
                  <c:v>1.0665363122285054E-6</c:v>
                </c:pt>
                <c:pt idx="4">
                  <c:v>9.2879569523386469E-7</c:v>
                </c:pt>
                <c:pt idx="5">
                  <c:v>8.9731970603806427E-7</c:v>
                </c:pt>
                <c:pt idx="6">
                  <c:v>7.9339658957006727E-7</c:v>
                </c:pt>
                <c:pt idx="7">
                  <c:v>6.6963378206768572E-7</c:v>
                </c:pt>
                <c:pt idx="8">
                  <c:v>4.5243435786513628E-7</c:v>
                </c:pt>
                <c:pt idx="9">
                  <c:v>4.0549938262718991E-8</c:v>
                </c:pt>
                <c:pt idx="10">
                  <c:v>2.5411991918986569E-7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10-418C-B516-C7A15ED6A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61727"/>
        <c:axId val="518632543"/>
      </c:lineChart>
      <c:catAx>
        <c:axId val="62166172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2543"/>
        <c:crosses val="autoZero"/>
        <c:auto val="1"/>
        <c:lblAlgn val="ctr"/>
        <c:lblOffset val="100"/>
        <c:noMultiLvlLbl val="0"/>
      </c:catAx>
      <c:valAx>
        <c:axId val="5186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ICR!$A$3</c:f>
              <c:strCache>
                <c:ptCount val="1"/>
                <c:pt idx="0">
                  <c:v>Interest Coverage 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ICR!$B$2:$N$2</c:f>
              <c:numCache>
                <c:formatCode>0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 formatCode="General">
                  <c:v>2019</c:v>
                </c:pt>
                <c:pt idx="8" formatCode="General">
                  <c:v>2020</c:v>
                </c:pt>
                <c:pt idx="9" formatCode="General">
                  <c:v>2021</c:v>
                </c:pt>
                <c:pt idx="10" formatCode="General">
                  <c:v>2022</c:v>
                </c:pt>
                <c:pt idx="11" formatCode="General">
                  <c:v>2023</c:v>
                </c:pt>
                <c:pt idx="12" formatCode="mmm\-yy">
                  <c:v>45170</c:v>
                </c:pt>
              </c:numCache>
            </c:numRef>
          </c:cat>
          <c:val>
            <c:numRef>
              <c:f>ICR!$B$3:$N$3</c:f>
              <c:numCache>
                <c:formatCode>0.00</c:formatCode>
                <c:ptCount val="13"/>
                <c:pt idx="0">
                  <c:v>9.3221569305219489</c:v>
                </c:pt>
                <c:pt idx="1">
                  <c:v>8.0918278948888247</c:v>
                </c:pt>
                <c:pt idx="2">
                  <c:v>7.8837330552659024</c:v>
                </c:pt>
                <c:pt idx="3">
                  <c:v>9.8778648974668268</c:v>
                </c:pt>
                <c:pt idx="4">
                  <c:v>11.504199403955568</c:v>
                </c:pt>
                <c:pt idx="5">
                  <c:v>11.430501428942582</c:v>
                </c:pt>
                <c:pt idx="6">
                  <c:v>7.1556135121708895</c:v>
                </c:pt>
                <c:pt idx="7">
                  <c:v>4.3531373143376779</c:v>
                </c:pt>
                <c:pt idx="8">
                  <c:v>3.6470695056067552</c:v>
                </c:pt>
                <c:pt idx="9">
                  <c:v>3.3536740761715986</c:v>
                </c:pt>
                <c:pt idx="10">
                  <c:v>6.4479566648381788</c:v>
                </c:pt>
                <c:pt idx="11">
                  <c:v>5.8133462776557154</c:v>
                </c:pt>
                <c:pt idx="12">
                  <c:v>5.3418629360722507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9-4742-A75C-5AD00E782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19216"/>
        <c:axId val="265329328"/>
      </c:lineChart>
      <c:catAx>
        <c:axId val="91019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29328"/>
        <c:crosses val="autoZero"/>
        <c:auto val="1"/>
        <c:lblAlgn val="ctr"/>
        <c:lblOffset val="100"/>
        <c:noMultiLvlLbl val="0"/>
      </c:catAx>
      <c:valAx>
        <c:axId val="2653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'EPS '!$A$3</c:f>
              <c:strCache>
                <c:ptCount val="1"/>
                <c:pt idx="0">
                  <c:v>Debt-Equity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'EPS '!$B$2:$M$2</c:f>
              <c:numCache>
                <c:formatCode>0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 formatCode="General">
                  <c:v>2019</c:v>
                </c:pt>
                <c:pt idx="8" formatCode="General">
                  <c:v>2020</c:v>
                </c:pt>
                <c:pt idx="9" formatCode="General">
                  <c:v>2021</c:v>
                </c:pt>
                <c:pt idx="10" formatCode="General">
                  <c:v>2022</c:v>
                </c:pt>
                <c:pt idx="11" formatCode="General">
                  <c:v>2023</c:v>
                </c:pt>
              </c:numCache>
            </c:numRef>
          </c:cat>
          <c:val>
            <c:numRef>
              <c:f>'EPS '!$B$3:$M$3</c:f>
            </c:numRef>
          </c:val>
          <c:smooth val="0"/>
          <c:extLst>
            <c:ext xmlns:c16="http://schemas.microsoft.com/office/drawing/2014/chart" uri="{C3380CC4-5D6E-409C-BE32-E72D297353CC}">
              <c16:uniqueId val="{00000000-8F6C-4E23-B1A8-F7001EA86B70}"/>
            </c:ext>
          </c:extLst>
        </c:ser>
        <c:ser>
          <c:idx val="1"/>
          <c:order val="1"/>
          <c:tx>
            <c:strRef>
              <c:f>'EPS '!$A$4</c:f>
              <c:strCache>
                <c:ptCount val="1"/>
                <c:pt idx="0">
                  <c:v>Interest Coverage 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'EPS '!$B$2:$M$2</c:f>
              <c:numCache>
                <c:formatCode>0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 formatCode="General">
                  <c:v>2019</c:v>
                </c:pt>
                <c:pt idx="8" formatCode="General">
                  <c:v>2020</c:v>
                </c:pt>
                <c:pt idx="9" formatCode="General">
                  <c:v>2021</c:v>
                </c:pt>
                <c:pt idx="10" formatCode="General">
                  <c:v>2022</c:v>
                </c:pt>
                <c:pt idx="11" formatCode="General">
                  <c:v>2023</c:v>
                </c:pt>
              </c:numCache>
            </c:numRef>
          </c:cat>
          <c:val>
            <c:numRef>
              <c:f>'EPS '!$B$4:$M$4</c:f>
            </c:numRef>
          </c:val>
          <c:smooth val="0"/>
          <c:extLst>
            <c:ext xmlns:c16="http://schemas.microsoft.com/office/drawing/2014/chart" uri="{C3380CC4-5D6E-409C-BE32-E72D297353CC}">
              <c16:uniqueId val="{00000001-8F6C-4E23-B1A8-F7001EA86B70}"/>
            </c:ext>
          </c:extLst>
        </c:ser>
        <c:ser>
          <c:idx val="2"/>
          <c:order val="2"/>
          <c:tx>
            <c:strRef>
              <c:f>'EPS '!$A$5</c:f>
              <c:strCache>
                <c:ptCount val="1"/>
                <c:pt idx="0">
                  <c:v>EBIDTA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'EPS '!$B$2:$M$2</c:f>
              <c:numCache>
                <c:formatCode>0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 formatCode="General">
                  <c:v>2019</c:v>
                </c:pt>
                <c:pt idx="8" formatCode="General">
                  <c:v>2020</c:v>
                </c:pt>
                <c:pt idx="9" formatCode="General">
                  <c:v>2021</c:v>
                </c:pt>
                <c:pt idx="10" formatCode="General">
                  <c:v>2022</c:v>
                </c:pt>
                <c:pt idx="11" formatCode="General">
                  <c:v>2023</c:v>
                </c:pt>
              </c:numCache>
            </c:numRef>
          </c:cat>
          <c:val>
            <c:numRef>
              <c:f>'EPS '!$B$5:$M$5</c:f>
            </c:numRef>
          </c:val>
          <c:smooth val="0"/>
          <c:extLst>
            <c:ext xmlns:c16="http://schemas.microsoft.com/office/drawing/2014/chart" uri="{C3380CC4-5D6E-409C-BE32-E72D297353CC}">
              <c16:uniqueId val="{00000002-8F6C-4E23-B1A8-F7001EA86B70}"/>
            </c:ext>
          </c:extLst>
        </c:ser>
        <c:ser>
          <c:idx val="3"/>
          <c:order val="3"/>
          <c:tx>
            <c:strRef>
              <c:f>'EPS '!$A$6</c:f>
              <c:strCache>
                <c:ptCount val="1"/>
                <c:pt idx="0">
                  <c:v>EBIT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'EPS '!$B$2:$M$2</c:f>
              <c:numCache>
                <c:formatCode>0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 formatCode="General">
                  <c:v>2019</c:v>
                </c:pt>
                <c:pt idx="8" formatCode="General">
                  <c:v>2020</c:v>
                </c:pt>
                <c:pt idx="9" formatCode="General">
                  <c:v>2021</c:v>
                </c:pt>
                <c:pt idx="10" formatCode="General">
                  <c:v>2022</c:v>
                </c:pt>
                <c:pt idx="11" formatCode="General">
                  <c:v>2023</c:v>
                </c:pt>
              </c:numCache>
            </c:numRef>
          </c:cat>
          <c:val>
            <c:numRef>
              <c:f>'EPS '!$B$6:$M$6</c:f>
            </c:numRef>
          </c:val>
          <c:smooth val="0"/>
          <c:extLst>
            <c:ext xmlns:c16="http://schemas.microsoft.com/office/drawing/2014/chart" uri="{C3380CC4-5D6E-409C-BE32-E72D297353CC}">
              <c16:uniqueId val="{00000003-8F6C-4E23-B1A8-F7001EA86B70}"/>
            </c:ext>
          </c:extLst>
        </c:ser>
        <c:ser>
          <c:idx val="4"/>
          <c:order val="4"/>
          <c:tx>
            <c:strRef>
              <c:f>'EPS '!$A$7</c:f>
              <c:strCache>
                <c:ptCount val="1"/>
                <c:pt idx="0">
                  <c:v>Total  Assets Turnover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'EPS '!$B$2:$M$2</c:f>
              <c:numCache>
                <c:formatCode>0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 formatCode="General">
                  <c:v>2019</c:v>
                </c:pt>
                <c:pt idx="8" formatCode="General">
                  <c:v>2020</c:v>
                </c:pt>
                <c:pt idx="9" formatCode="General">
                  <c:v>2021</c:v>
                </c:pt>
                <c:pt idx="10" formatCode="General">
                  <c:v>2022</c:v>
                </c:pt>
                <c:pt idx="11" formatCode="General">
                  <c:v>2023</c:v>
                </c:pt>
              </c:numCache>
            </c:numRef>
          </c:cat>
          <c:val>
            <c:numRef>
              <c:f>'EPS '!$B$7:$M$7</c:f>
            </c:numRef>
          </c:val>
          <c:smooth val="0"/>
          <c:extLst>
            <c:ext xmlns:c16="http://schemas.microsoft.com/office/drawing/2014/chart" uri="{C3380CC4-5D6E-409C-BE32-E72D297353CC}">
              <c16:uniqueId val="{00000004-8F6C-4E23-B1A8-F7001EA86B70}"/>
            </c:ext>
          </c:extLst>
        </c:ser>
        <c:ser>
          <c:idx val="5"/>
          <c:order val="5"/>
          <c:tx>
            <c:strRef>
              <c:f>'EPS '!$A$8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'EPS '!$B$2:$M$2</c:f>
              <c:numCache>
                <c:formatCode>0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 formatCode="General">
                  <c:v>2019</c:v>
                </c:pt>
                <c:pt idx="8" formatCode="General">
                  <c:v>2020</c:v>
                </c:pt>
                <c:pt idx="9" formatCode="General">
                  <c:v>2021</c:v>
                </c:pt>
                <c:pt idx="10" formatCode="General">
                  <c:v>2022</c:v>
                </c:pt>
                <c:pt idx="11" formatCode="General">
                  <c:v>2023</c:v>
                </c:pt>
              </c:numCache>
            </c:numRef>
          </c:cat>
          <c:val>
            <c:numRef>
              <c:f>'EPS '!$B$8:$M$8</c:f>
            </c:numRef>
          </c:val>
          <c:smooth val="0"/>
          <c:extLst>
            <c:ext xmlns:c16="http://schemas.microsoft.com/office/drawing/2014/chart" uri="{C3380CC4-5D6E-409C-BE32-E72D297353CC}">
              <c16:uniqueId val="{00000005-8F6C-4E23-B1A8-F7001EA86B70}"/>
            </c:ext>
          </c:extLst>
        </c:ser>
        <c:ser>
          <c:idx val="6"/>
          <c:order val="6"/>
          <c:tx>
            <c:strRef>
              <c:f>'EPS '!$A$9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'EPS '!$B$2:$M$2</c:f>
              <c:numCache>
                <c:formatCode>0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 formatCode="General">
                  <c:v>2019</c:v>
                </c:pt>
                <c:pt idx="8" formatCode="General">
                  <c:v>2020</c:v>
                </c:pt>
                <c:pt idx="9" formatCode="General">
                  <c:v>2021</c:v>
                </c:pt>
                <c:pt idx="10" formatCode="General">
                  <c:v>2022</c:v>
                </c:pt>
                <c:pt idx="11" formatCode="General">
                  <c:v>2023</c:v>
                </c:pt>
              </c:numCache>
            </c:numRef>
          </c:cat>
          <c:val>
            <c:numRef>
              <c:f>'EPS '!$B$9:$M$9</c:f>
            </c:numRef>
          </c:val>
          <c:smooth val="0"/>
          <c:extLst>
            <c:ext xmlns:c16="http://schemas.microsoft.com/office/drawing/2014/chart" uri="{C3380CC4-5D6E-409C-BE32-E72D297353CC}">
              <c16:uniqueId val="{00000006-8F6C-4E23-B1A8-F7001EA86B70}"/>
            </c:ext>
          </c:extLst>
        </c:ser>
        <c:ser>
          <c:idx val="7"/>
          <c:order val="7"/>
          <c:tx>
            <c:strRef>
              <c:f>'EPS '!$A$10</c:f>
              <c:strCache>
                <c:ptCount val="1"/>
                <c:pt idx="0">
                  <c:v>Inventory days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'EPS '!$B$2:$M$2</c:f>
              <c:numCache>
                <c:formatCode>0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 formatCode="General">
                  <c:v>2019</c:v>
                </c:pt>
                <c:pt idx="8" formatCode="General">
                  <c:v>2020</c:v>
                </c:pt>
                <c:pt idx="9" formatCode="General">
                  <c:v>2021</c:v>
                </c:pt>
                <c:pt idx="10" formatCode="General">
                  <c:v>2022</c:v>
                </c:pt>
                <c:pt idx="11" formatCode="General">
                  <c:v>2023</c:v>
                </c:pt>
              </c:numCache>
            </c:numRef>
          </c:cat>
          <c:val>
            <c:numRef>
              <c:f>'EPS '!$B$10:$M$10</c:f>
            </c:numRef>
          </c:val>
          <c:smooth val="0"/>
          <c:extLst>
            <c:ext xmlns:c16="http://schemas.microsoft.com/office/drawing/2014/chart" uri="{C3380CC4-5D6E-409C-BE32-E72D297353CC}">
              <c16:uniqueId val="{00000007-8F6C-4E23-B1A8-F7001EA86B70}"/>
            </c:ext>
          </c:extLst>
        </c:ser>
        <c:ser>
          <c:idx val="8"/>
          <c:order val="8"/>
          <c:tx>
            <c:strRef>
              <c:f>'EPS '!$A$11</c:f>
              <c:strCache>
                <c:ptCount val="1"/>
                <c:pt idx="0">
                  <c:v>Debtors turnover ratio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'EPS '!$B$2:$M$2</c:f>
              <c:numCache>
                <c:formatCode>0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 formatCode="General">
                  <c:v>2019</c:v>
                </c:pt>
                <c:pt idx="8" formatCode="General">
                  <c:v>2020</c:v>
                </c:pt>
                <c:pt idx="9" formatCode="General">
                  <c:v>2021</c:v>
                </c:pt>
                <c:pt idx="10" formatCode="General">
                  <c:v>2022</c:v>
                </c:pt>
                <c:pt idx="11" formatCode="General">
                  <c:v>2023</c:v>
                </c:pt>
              </c:numCache>
            </c:numRef>
          </c:cat>
          <c:val>
            <c:numRef>
              <c:f>'EPS '!$B$11:$M$11</c:f>
            </c:numRef>
          </c:val>
          <c:smooth val="0"/>
          <c:extLst>
            <c:ext xmlns:c16="http://schemas.microsoft.com/office/drawing/2014/chart" uri="{C3380CC4-5D6E-409C-BE32-E72D297353CC}">
              <c16:uniqueId val="{00000008-8F6C-4E23-B1A8-F7001EA86B70}"/>
            </c:ext>
          </c:extLst>
        </c:ser>
        <c:ser>
          <c:idx val="9"/>
          <c:order val="9"/>
          <c:tx>
            <c:strRef>
              <c:f>'EPS '!$A$12</c:f>
              <c:strCache>
                <c:ptCount val="1"/>
                <c:pt idx="0">
                  <c:v>Receivable days outstanding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'EPS '!$B$2:$M$2</c:f>
              <c:numCache>
                <c:formatCode>0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 formatCode="General">
                  <c:v>2019</c:v>
                </c:pt>
                <c:pt idx="8" formatCode="General">
                  <c:v>2020</c:v>
                </c:pt>
                <c:pt idx="9" formatCode="General">
                  <c:v>2021</c:v>
                </c:pt>
                <c:pt idx="10" formatCode="General">
                  <c:v>2022</c:v>
                </c:pt>
                <c:pt idx="11" formatCode="General">
                  <c:v>2023</c:v>
                </c:pt>
              </c:numCache>
            </c:numRef>
          </c:cat>
          <c:val>
            <c:numRef>
              <c:f>'EPS '!$B$12:$M$12</c:f>
            </c:numRef>
          </c:val>
          <c:smooth val="0"/>
          <c:extLst>
            <c:ext xmlns:c16="http://schemas.microsoft.com/office/drawing/2014/chart" uri="{C3380CC4-5D6E-409C-BE32-E72D297353CC}">
              <c16:uniqueId val="{00000009-8F6C-4E23-B1A8-F7001EA86B70}"/>
            </c:ext>
          </c:extLst>
        </c:ser>
        <c:ser>
          <c:idx val="10"/>
          <c:order val="10"/>
          <c:tx>
            <c:strRef>
              <c:f>'EPS '!$A$13</c:f>
              <c:strCache>
                <c:ptCount val="1"/>
                <c:pt idx="0">
                  <c:v>PAT (%)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'EPS '!$B$2:$M$2</c:f>
              <c:numCache>
                <c:formatCode>0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 formatCode="General">
                  <c:v>2019</c:v>
                </c:pt>
                <c:pt idx="8" formatCode="General">
                  <c:v>2020</c:v>
                </c:pt>
                <c:pt idx="9" formatCode="General">
                  <c:v>2021</c:v>
                </c:pt>
                <c:pt idx="10" formatCode="General">
                  <c:v>2022</c:v>
                </c:pt>
                <c:pt idx="11" formatCode="General">
                  <c:v>2023</c:v>
                </c:pt>
              </c:numCache>
            </c:numRef>
          </c:cat>
          <c:val>
            <c:numRef>
              <c:f>'EPS '!$B$13:$M$13</c:f>
            </c:numRef>
          </c:val>
          <c:smooth val="0"/>
          <c:extLst>
            <c:ext xmlns:c16="http://schemas.microsoft.com/office/drawing/2014/chart" uri="{C3380CC4-5D6E-409C-BE32-E72D297353CC}">
              <c16:uniqueId val="{0000000A-8F6C-4E23-B1A8-F7001EA86B70}"/>
            </c:ext>
          </c:extLst>
        </c:ser>
        <c:ser>
          <c:idx val="11"/>
          <c:order val="11"/>
          <c:tx>
            <c:strRef>
              <c:f>'EPS '!$A$14</c:f>
              <c:strCache>
                <c:ptCount val="1"/>
                <c:pt idx="0">
                  <c:v>ROCE (%)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'EPS '!$B$2:$M$2</c:f>
              <c:numCache>
                <c:formatCode>0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 formatCode="General">
                  <c:v>2019</c:v>
                </c:pt>
                <c:pt idx="8" formatCode="General">
                  <c:v>2020</c:v>
                </c:pt>
                <c:pt idx="9" formatCode="General">
                  <c:v>2021</c:v>
                </c:pt>
                <c:pt idx="10" formatCode="General">
                  <c:v>2022</c:v>
                </c:pt>
                <c:pt idx="11" formatCode="General">
                  <c:v>2023</c:v>
                </c:pt>
              </c:numCache>
            </c:numRef>
          </c:cat>
          <c:val>
            <c:numRef>
              <c:f>'EPS '!$B$14:$M$14</c:f>
            </c:numRef>
          </c:val>
          <c:smooth val="0"/>
          <c:extLst>
            <c:ext xmlns:c16="http://schemas.microsoft.com/office/drawing/2014/chart" uri="{C3380CC4-5D6E-409C-BE32-E72D297353CC}">
              <c16:uniqueId val="{0000000B-8F6C-4E23-B1A8-F7001EA86B70}"/>
            </c:ext>
          </c:extLst>
        </c:ser>
        <c:ser>
          <c:idx val="12"/>
          <c:order val="12"/>
          <c:tx>
            <c:strRef>
              <c:f>'EPS '!$A$15</c:f>
              <c:strCache>
                <c:ptCount val="1"/>
                <c:pt idx="0">
                  <c:v>ROE (%)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'EPS '!$B$2:$M$2</c:f>
              <c:numCache>
                <c:formatCode>0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 formatCode="General">
                  <c:v>2019</c:v>
                </c:pt>
                <c:pt idx="8" formatCode="General">
                  <c:v>2020</c:v>
                </c:pt>
                <c:pt idx="9" formatCode="General">
                  <c:v>2021</c:v>
                </c:pt>
                <c:pt idx="10" formatCode="General">
                  <c:v>2022</c:v>
                </c:pt>
                <c:pt idx="11" formatCode="General">
                  <c:v>2023</c:v>
                </c:pt>
              </c:numCache>
            </c:numRef>
          </c:cat>
          <c:val>
            <c:numRef>
              <c:f>'EPS '!$B$15:$M$15</c:f>
            </c:numRef>
          </c:val>
          <c:smooth val="0"/>
          <c:extLst>
            <c:ext xmlns:c16="http://schemas.microsoft.com/office/drawing/2014/chart" uri="{C3380CC4-5D6E-409C-BE32-E72D297353CC}">
              <c16:uniqueId val="{0000000C-8F6C-4E23-B1A8-F7001EA86B70}"/>
            </c:ext>
          </c:extLst>
        </c:ser>
        <c:ser>
          <c:idx val="13"/>
          <c:order val="13"/>
          <c:tx>
            <c:strRef>
              <c:f>'EPS '!$A$16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'EPS '!$B$2:$M$2</c:f>
              <c:numCache>
                <c:formatCode>0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 formatCode="General">
                  <c:v>2019</c:v>
                </c:pt>
                <c:pt idx="8" formatCode="General">
                  <c:v>2020</c:v>
                </c:pt>
                <c:pt idx="9" formatCode="General">
                  <c:v>2021</c:v>
                </c:pt>
                <c:pt idx="10" formatCode="General">
                  <c:v>2022</c:v>
                </c:pt>
                <c:pt idx="11" formatCode="General">
                  <c:v>2023</c:v>
                </c:pt>
              </c:numCache>
            </c:numRef>
          </c:cat>
          <c:val>
            <c:numRef>
              <c:f>'EPS '!$B$16:$M$16</c:f>
              <c:numCache>
                <c:formatCode>0.0</c:formatCode>
                <c:ptCount val="12"/>
                <c:pt idx="0">
                  <c:v>0</c:v>
                </c:pt>
                <c:pt idx="1">
                  <c:v>5331</c:v>
                </c:pt>
                <c:pt idx="2">
                  <c:v>6215</c:v>
                </c:pt>
                <c:pt idx="3">
                  <c:v>7474</c:v>
                </c:pt>
                <c:pt idx="4">
                  <c:v>8876</c:v>
                </c:pt>
                <c:pt idx="5">
                  <c:v>10201</c:v>
                </c:pt>
                <c:pt idx="6">
                  <c:v>13346</c:v>
                </c:pt>
                <c:pt idx="7">
                  <c:v>15390</c:v>
                </c:pt>
                <c:pt idx="8">
                  <c:v>13726</c:v>
                </c:pt>
                <c:pt idx="9">
                  <c:v>1722</c:v>
                </c:pt>
                <c:pt idx="10">
                  <c:v>15970</c:v>
                </c:pt>
                <c:pt idx="11">
                  <c:v>20376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F6C-4E23-B1A8-F7001EA86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42527"/>
        <c:axId val="511673983"/>
      </c:lineChart>
      <c:catAx>
        <c:axId val="62164252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73983"/>
        <c:crosses val="autoZero"/>
        <c:auto val="1"/>
        <c:lblAlgn val="ctr"/>
        <c:lblOffset val="100"/>
        <c:noMultiLvlLbl val="0"/>
      </c:catAx>
      <c:valAx>
        <c:axId val="5116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4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44450</xdr:colOff>
      <xdr:row>2</xdr:row>
      <xdr:rowOff>63500</xdr:rowOff>
    </xdr:from>
    <xdr:ext cx="2787650" cy="121956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040F4C-0DD7-F2E2-B16B-92C9656BA092}"/>
            </a:ext>
          </a:extLst>
        </xdr:cNvPr>
        <xdr:cNvSpPr txBox="1"/>
      </xdr:nvSpPr>
      <xdr:spPr>
        <a:xfrm>
          <a:off x="654050" y="431800"/>
          <a:ext cx="2787650" cy="12195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Reliance Industries Limited is a Fortune 500 company and the largest private sector corporation in India</a:t>
          </a:r>
          <a:endParaRPr lang="en-IN" sz="1800" b="1"/>
        </a:p>
      </xdr:txBody>
    </xdr:sp>
    <xdr:clientData/>
  </xdr:oneCellAnchor>
  <xdr:oneCellAnchor>
    <xdr:from>
      <xdr:col>5</xdr:col>
      <xdr:colOff>469900</xdr:colOff>
      <xdr:row>2</xdr:row>
      <xdr:rowOff>114300</xdr:rowOff>
    </xdr:from>
    <xdr:ext cx="7321550" cy="12700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4F4380-B9E5-9462-A49D-C16656913DED}"/>
            </a:ext>
          </a:extLst>
        </xdr:cNvPr>
        <xdr:cNvSpPr txBox="1"/>
      </xdr:nvSpPr>
      <xdr:spPr>
        <a:xfrm>
          <a:off x="3517900" y="482600"/>
          <a:ext cx="7321550" cy="127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effectLst/>
            </a:rPr>
            <a:t>Reliance Industries Limited is engaged in activities spanning across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effectLst/>
            </a:rPr>
            <a:t> hydrocarbon exploration and production, Oil to chemicals, retail,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effectLst/>
            </a:rPr>
            <a:t>and digital services.</a:t>
          </a:r>
          <a:endParaRPr lang="en-IN" sz="1800" b="1">
            <a:effectLst/>
          </a:endParaRPr>
        </a:p>
      </xdr:txBody>
    </xdr:sp>
    <xdr:clientData/>
  </xdr:oneCellAnchor>
  <xdr:oneCellAnchor>
    <xdr:from>
      <xdr:col>1</xdr:col>
      <xdr:colOff>279400</xdr:colOff>
      <xdr:row>10</xdr:row>
      <xdr:rowOff>114300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AAD733D-9D09-D48D-35A1-6C85491F1B60}"/>
            </a:ext>
          </a:extLst>
        </xdr:cNvPr>
        <xdr:cNvSpPr txBox="1"/>
      </xdr:nvSpPr>
      <xdr:spPr>
        <a:xfrm>
          <a:off x="889000" y="195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 editAs="oneCell">
    <xdr:from>
      <xdr:col>1</xdr:col>
      <xdr:colOff>57151</xdr:colOff>
      <xdr:row>9</xdr:row>
      <xdr:rowOff>120651</xdr:rowOff>
    </xdr:from>
    <xdr:to>
      <xdr:col>10</xdr:col>
      <xdr:colOff>107951</xdr:colOff>
      <xdr:row>25</xdr:row>
      <xdr:rowOff>44451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997129-4824-209D-1D22-F2D5ADE6C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1" y="1778001"/>
          <a:ext cx="5537200" cy="287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6350</xdr:colOff>
      <xdr:row>10</xdr:row>
      <xdr:rowOff>62136</xdr:rowOff>
    </xdr:from>
    <xdr:to>
      <xdr:col>19</xdr:col>
      <xdr:colOff>6350</xdr:colOff>
      <xdr:row>25</xdr:row>
      <xdr:rowOff>107949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9E261F9-E406-2739-89BD-497D86E8D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1950" y="1903636"/>
          <a:ext cx="4876800" cy="2808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19</xdr:row>
      <xdr:rowOff>133350</xdr:rowOff>
    </xdr:from>
    <xdr:to>
      <xdr:col>7</xdr:col>
      <xdr:colOff>736600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6A564-F02D-6523-6290-13FDD59B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4</xdr:row>
      <xdr:rowOff>44450</xdr:rowOff>
    </xdr:from>
    <xdr:to>
      <xdr:col>12</xdr:col>
      <xdr:colOff>31749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98396-0A51-1DD6-6CA3-723670517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19</xdr:row>
      <xdr:rowOff>165100</xdr:rowOff>
    </xdr:from>
    <xdr:to>
      <xdr:col>9</xdr:col>
      <xdr:colOff>88900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C42A6-5436-1112-4ED0-CB4C59869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19050</xdr:colOff>
      <xdr:row>22</xdr:row>
      <xdr:rowOff>114300</xdr:rowOff>
    </xdr:from>
    <xdr:ext cx="2876550" cy="5207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E06FD8-BEFC-E030-AE56-D38F7AD8FDF2}"/>
            </a:ext>
          </a:extLst>
        </xdr:cNvPr>
        <xdr:cNvSpPr txBox="1"/>
      </xdr:nvSpPr>
      <xdr:spPr>
        <a:xfrm>
          <a:off x="3149600" y="1422400"/>
          <a:ext cx="2876550" cy="52070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800" b="1"/>
            <a:t>Average EPS Growth of 11%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107950</xdr:rowOff>
    </xdr:from>
    <xdr:to>
      <xdr:col>10</xdr:col>
      <xdr:colOff>361950</xdr:colOff>
      <xdr:row>28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E3172-3A81-0B8D-298A-1FD26ABE6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1244600</xdr:colOff>
      <xdr:row>6</xdr:row>
      <xdr:rowOff>85725</xdr:rowOff>
    </xdr:from>
    <xdr:to>
      <xdr:col>8</xdr:col>
      <xdr:colOff>406400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4E286-CD9E-2682-8FE2-792DBBA7E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1168400</xdr:colOff>
      <xdr:row>27</xdr:row>
      <xdr:rowOff>82550</xdr:rowOff>
    </xdr:from>
    <xdr:to>
      <xdr:col>10</xdr:col>
      <xdr:colOff>514784</xdr:colOff>
      <xdr:row>33</xdr:row>
      <xdr:rowOff>177862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8A38A2-4F18-F754-616A-895095332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400" y="3581400"/>
          <a:ext cx="8445934" cy="120021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33</xdr:row>
      <xdr:rowOff>95250</xdr:rowOff>
    </xdr:from>
    <xdr:to>
      <xdr:col>7</xdr:col>
      <xdr:colOff>368570</xdr:colOff>
      <xdr:row>53</xdr:row>
      <xdr:rowOff>108140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4D6A51-C769-E02D-A64D-E8C05F592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350" y="4699000"/>
          <a:ext cx="5245370" cy="3695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26</xdr:row>
      <xdr:rowOff>120650</xdr:rowOff>
    </xdr:from>
    <xdr:to>
      <xdr:col>4</xdr:col>
      <xdr:colOff>311421</xdr:colOff>
      <xdr:row>29</xdr:row>
      <xdr:rowOff>6380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C564DE-9A39-D59B-DB11-49C081E3A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5994400"/>
          <a:ext cx="5277121" cy="5905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1</xdr:row>
      <xdr:rowOff>95250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0CACC9-5B46-5353-1C0D-19C46CA39905}"/>
            </a:ext>
          </a:extLst>
        </xdr:cNvPr>
        <xdr:cNvSpPr txBox="1"/>
      </xdr:nvSpPr>
      <xdr:spPr>
        <a:xfrm>
          <a:off x="895350" y="279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 editAs="oneCell">
    <xdr:from>
      <xdr:col>1</xdr:col>
      <xdr:colOff>0</xdr:colOff>
      <xdr:row>20</xdr:row>
      <xdr:rowOff>0</xdr:rowOff>
    </xdr:from>
    <xdr:to>
      <xdr:col>12</xdr:col>
      <xdr:colOff>133701</xdr:colOff>
      <xdr:row>33</xdr:row>
      <xdr:rowOff>120779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35B225-2FE8-493A-8804-E1253809A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83000"/>
          <a:ext cx="6839301" cy="251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6350</xdr:rowOff>
    </xdr:from>
    <xdr:to>
      <xdr:col>12</xdr:col>
      <xdr:colOff>311511</xdr:colOff>
      <xdr:row>49</xdr:row>
      <xdr:rowOff>82686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BAAF2D-4B17-4EBC-B017-00C83F936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451600"/>
          <a:ext cx="7017111" cy="26544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16</xdr:col>
      <xdr:colOff>114776</xdr:colOff>
      <xdr:row>55</xdr:row>
      <xdr:rowOff>127044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FB9977-1FB9-44EC-BA4C-8719C1223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391650"/>
          <a:ext cx="9258776" cy="8636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12</xdr:col>
      <xdr:colOff>406766</xdr:colOff>
      <xdr:row>66</xdr:row>
      <xdr:rowOff>120741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7FF4A9-F072-4DCF-999E-E6A8ACABB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0496550"/>
          <a:ext cx="7112366" cy="1778091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72</xdr:row>
      <xdr:rowOff>63500</xdr:rowOff>
    </xdr:from>
    <xdr:to>
      <xdr:col>12</xdr:col>
      <xdr:colOff>368657</xdr:colOff>
      <xdr:row>91</xdr:row>
      <xdr:rowOff>152584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BDD72B-3C60-4981-9684-122732C2E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0250" y="13322300"/>
          <a:ext cx="6953607" cy="3587934"/>
        </a:xfrm>
        <a:prstGeom prst="rect">
          <a:avLst/>
        </a:prstGeom>
      </xdr:spPr>
    </xdr:pic>
    <xdr:clientData/>
  </xdr:twoCellAnchor>
  <xdr:oneCellAnchor>
    <xdr:from>
      <xdr:col>1</xdr:col>
      <xdr:colOff>355600</xdr:colOff>
      <xdr:row>89</xdr:row>
      <xdr:rowOff>82550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F3D36B9-5514-9092-C035-11A62100D9B0}"/>
            </a:ext>
          </a:extLst>
        </xdr:cNvPr>
        <xdr:cNvSpPr txBox="1"/>
      </xdr:nvSpPr>
      <xdr:spPr>
        <a:xfrm>
          <a:off x="965200" y="1647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92</xdr:row>
          <xdr:rowOff>127000</xdr:rowOff>
        </xdr:from>
        <xdr:to>
          <xdr:col>10</xdr:col>
          <xdr:colOff>355600</xdr:colOff>
          <xdr:row>96</xdr:row>
          <xdr:rowOff>101600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E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1</xdr:col>
      <xdr:colOff>184150</xdr:colOff>
      <xdr:row>98</xdr:row>
      <xdr:rowOff>88900</xdr:rowOff>
    </xdr:from>
    <xdr:ext cx="8002191" cy="154170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A76CBC-7759-BA0F-9B75-0ED422DEC872}"/>
            </a:ext>
          </a:extLst>
        </xdr:cNvPr>
        <xdr:cNvSpPr txBox="1"/>
      </xdr:nvSpPr>
      <xdr:spPr>
        <a:xfrm>
          <a:off x="793750" y="18135600"/>
          <a:ext cx="8002191" cy="1541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b="1"/>
            <a:t>OCI Contains Non-Operational &amp; Market-Driven Adjustments</a:t>
          </a:r>
        </a:p>
        <a:p>
          <a:r>
            <a:rPr lang="en-IN"/>
            <a:t>OCI consists of </a:t>
          </a:r>
          <a:r>
            <a:rPr lang="en-IN" b="1"/>
            <a:t>items that are NOT part of the company’s ongoing profitability</a:t>
          </a:r>
          <a:r>
            <a:rPr lang="en-IN"/>
            <a:t>, such as:</a:t>
          </a:r>
        </a:p>
        <a:p>
          <a:r>
            <a:rPr lang="en-IN"/>
            <a:t>🔹 </a:t>
          </a:r>
          <a:r>
            <a:rPr lang="en-IN" b="1"/>
            <a:t>Unrealized gains/losses on financial assets</a:t>
          </a:r>
          <a:r>
            <a:rPr lang="en-IN"/>
            <a:t> (e.g., stocks, bonds)</a:t>
          </a:r>
        </a:p>
        <a:p>
          <a:r>
            <a:rPr lang="en-IN"/>
            <a:t>🔹 </a:t>
          </a:r>
          <a:r>
            <a:rPr lang="en-IN" b="1"/>
            <a:t>Foreign currency translation adjustments</a:t>
          </a:r>
          <a:r>
            <a:rPr lang="en-IN"/>
            <a:t> (FX fluctuations)</a:t>
          </a:r>
        </a:p>
        <a:p>
          <a:r>
            <a:rPr lang="en-IN"/>
            <a:t>🔹 </a:t>
          </a:r>
          <a:r>
            <a:rPr lang="en-IN" b="1"/>
            <a:t>Revaluation of pension plans</a:t>
          </a:r>
          <a:endParaRPr lang="en-IN"/>
        </a:p>
        <a:p>
          <a:r>
            <a:rPr lang="en-IN"/>
            <a:t>🔹 </a:t>
          </a:r>
          <a:r>
            <a:rPr lang="en-IN" b="1"/>
            <a:t>Cash flow hedge adjustments</a:t>
          </a:r>
          <a:endParaRPr lang="en-IN"/>
        </a:p>
        <a:p>
          <a:r>
            <a:rPr lang="en-IN"/>
            <a:t>Since these are </a:t>
          </a:r>
          <a:r>
            <a:rPr lang="en-IN" b="1"/>
            <a:t>not controlled by management or part of business operations</a:t>
          </a:r>
          <a:r>
            <a:rPr lang="en-IN"/>
            <a:t>, they are </a:t>
          </a:r>
          <a:r>
            <a:rPr lang="en-IN" b="1"/>
            <a:t>excluded from Net Worth for ROE calculations</a:t>
          </a:r>
          <a:r>
            <a:rPr lang="en-IN"/>
            <a:t>.</a:t>
          </a:r>
        </a:p>
        <a:p>
          <a:endParaRPr lang="en-IN" sz="1100"/>
        </a:p>
      </xdr:txBody>
    </xdr:sp>
    <xdr:clientData/>
  </xdr:oneCellAnchor>
  <xdr:oneCellAnchor>
    <xdr:from>
      <xdr:col>1</xdr:col>
      <xdr:colOff>165100</xdr:colOff>
      <xdr:row>108</xdr:row>
      <xdr:rowOff>95250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B87B746-EF86-4C2E-5810-314585067A59}"/>
            </a:ext>
          </a:extLst>
        </xdr:cNvPr>
        <xdr:cNvSpPr txBox="1"/>
      </xdr:nvSpPr>
      <xdr:spPr>
        <a:xfrm>
          <a:off x="774700" y="1998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</xdr:col>
      <xdr:colOff>0</xdr:colOff>
      <xdr:row>108</xdr:row>
      <xdr:rowOff>0</xdr:rowOff>
    </xdr:from>
    <xdr:to>
      <xdr:col>12</xdr:col>
      <xdr:colOff>146050</xdr:colOff>
      <xdr:row>131</xdr:row>
      <xdr:rowOff>19050</xdr:rowOff>
    </xdr:to>
    <xdr:sp macro="" textlink="">
      <xdr:nvSpPr>
        <xdr:cNvPr id="6148" name="Text Box 4">
          <a:extLst>
            <a:ext uri="{FF2B5EF4-FFF2-40B4-BE49-F238E27FC236}">
              <a16:creationId xmlns:a16="http://schemas.microsoft.com/office/drawing/2014/main" id="{38075008-7996-AF75-1EFB-A55F01B4CBB1}"/>
            </a:ext>
          </a:extLst>
        </xdr:cNvPr>
        <xdr:cNvSpPr txBox="1">
          <a:spLocks noChangeArrowheads="1"/>
        </xdr:cNvSpPr>
      </xdr:nvSpPr>
      <xdr:spPr bwMode="auto">
        <a:xfrm>
          <a:off x="609600" y="19888200"/>
          <a:ext cx="6851650" cy="425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ROE Reflects Shareholder Value Creation from Real Earnings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Shareholders invest based on retained earnings and business-generated equity.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If OCI were included, ROE would become volatile due to temporary market changes.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Example: If the stock market crashes and OCI shows a big loss, ROE would artificially decrease, even if the company’s core business is performing well.</a:t>
          </a:r>
        </a:p>
        <a:p>
          <a:r>
            <a:rPr lang="en-IN" b="1"/>
            <a:t>Regulatory and Accounting Standards (IFRS, GAAP, Ind-AS)</a:t>
          </a:r>
        </a:p>
        <a:p>
          <a:r>
            <a:rPr lang="en-IN" b="1"/>
            <a:t>OCI is a separate component in financial statements</a:t>
          </a:r>
          <a:r>
            <a:rPr lang="en-IN"/>
            <a:t> and does not affect net income.</a:t>
          </a:r>
        </a:p>
        <a:p>
          <a:r>
            <a:rPr lang="en-IN" b="1"/>
            <a:t>Ind-AS &amp; IFRS</a:t>
          </a:r>
          <a:r>
            <a:rPr lang="en-IN"/>
            <a:t> recommend that OCI </a:t>
          </a:r>
          <a:r>
            <a:rPr lang="en-IN" b="1"/>
            <a:t>should not be used for performance metrics like ROE</a:t>
          </a:r>
          <a:r>
            <a:rPr lang="en-IN"/>
            <a:t>.</a:t>
          </a:r>
        </a:p>
        <a:p>
          <a:r>
            <a:rPr lang="en-IN" b="1"/>
            <a:t>GAAP accounting</a:t>
          </a:r>
          <a:r>
            <a:rPr lang="en-IN"/>
            <a:t> also suggests reporting OCI separately from equity reserves used for ROE calculations.</a:t>
          </a:r>
        </a:p>
        <a:p>
          <a:r>
            <a:rPr lang="en-IN" b="1"/>
            <a:t>5. OCI Can Be Reversed and Does Not Always Convert to Real Profit</a:t>
          </a:r>
        </a:p>
        <a:p>
          <a:r>
            <a:rPr lang="en-IN"/>
            <a:t>Unlike retained earnings, </a:t>
          </a:r>
          <a:r>
            <a:rPr lang="en-IN" b="1"/>
            <a:t>OCI can fluctuate or even be reversed</a:t>
          </a:r>
          <a:r>
            <a:rPr lang="en-IN"/>
            <a:t>. For example:</a:t>
          </a:r>
        </a:p>
        <a:p>
          <a:r>
            <a:rPr lang="en-IN"/>
            <a:t>A company may have </a:t>
          </a:r>
          <a:r>
            <a:rPr lang="en-IN" b="1"/>
            <a:t>unrealized bond gains</a:t>
          </a:r>
          <a:r>
            <a:rPr lang="en-IN"/>
            <a:t> recorded in OCI this year.</a:t>
          </a:r>
        </a:p>
        <a:p>
          <a:r>
            <a:rPr lang="en-IN"/>
            <a:t>Next year, if bond prices fall, those gains will disappear.</a:t>
          </a:r>
        </a:p>
        <a:p>
          <a:r>
            <a:rPr lang="en-IN"/>
            <a:t>This shows that </a:t>
          </a:r>
          <a:r>
            <a:rPr lang="en-IN" b="1"/>
            <a:t>OCI does not truly reflect long-term net worth</a:t>
          </a:r>
          <a:r>
            <a:rPr lang="en-IN"/>
            <a:t>.</a:t>
          </a:r>
        </a:p>
        <a:p>
          <a:r>
            <a:rPr lang="en-IN"/>
            <a:t>Thus, </a:t>
          </a:r>
          <a:r>
            <a:rPr lang="en-IN" b="1"/>
            <a:t>only realized profits and retained earnings</a:t>
          </a:r>
          <a:r>
            <a:rPr lang="en-IN"/>
            <a:t> are used in ROE.</a:t>
          </a:r>
        </a:p>
        <a:p>
          <a:r>
            <a:rPr lang="en-IN" b="1"/>
            <a:t>Conclusion: Why OCI is Excluded from Net Worth in ROE?</a:t>
          </a:r>
        </a:p>
        <a:p>
          <a:r>
            <a:rPr lang="en-IN"/>
            <a:t>✅ </a:t>
          </a:r>
          <a:r>
            <a:rPr lang="en-IN" b="1"/>
            <a:t>ROE measures how effectively a company generates profits from shareholder equity.</a:t>
          </a:r>
          <a:br>
            <a:rPr lang="en-IN"/>
          </a:br>
          <a:r>
            <a:rPr lang="en-IN"/>
            <a:t>✅ </a:t>
          </a:r>
          <a:r>
            <a:rPr lang="en-IN" b="1"/>
            <a:t>OCI represents unrealized gains/losses, not actual retained earnings or reserves.</a:t>
          </a:r>
          <a:br>
            <a:rPr lang="en-IN"/>
          </a:br>
          <a:r>
            <a:rPr lang="en-IN"/>
            <a:t>✅ </a:t>
          </a:r>
          <a:r>
            <a:rPr lang="en-IN" b="1"/>
            <a:t>If OCI were included, ROE would fluctuate due to market-driven changes unrelated to business performance.</a:t>
          </a:r>
          <a:br>
            <a:rPr lang="en-IN"/>
          </a:br>
          <a:r>
            <a:rPr lang="en-IN"/>
            <a:t>✅ </a:t>
          </a:r>
          <a:r>
            <a:rPr lang="en-IN" b="1"/>
            <a:t>Accounting standards (IFRS, Ind-AS, GAAP) require OCI to be reported separately and NOT included in performance metrics like ROE.</a:t>
          </a:r>
          <a:endParaRPr lang="en-IN"/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oneCellAnchor>
    <xdr:from>
      <xdr:col>1</xdr:col>
      <xdr:colOff>222250</xdr:colOff>
      <xdr:row>132</xdr:row>
      <xdr:rowOff>127000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9831D08-3A10-A931-A156-23D110AD0E70}"/>
            </a:ext>
          </a:extLst>
        </xdr:cNvPr>
        <xdr:cNvSpPr txBox="1"/>
      </xdr:nvSpPr>
      <xdr:spPr>
        <a:xfrm>
          <a:off x="831850" y="2443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</xdr:col>
      <xdr:colOff>0</xdr:colOff>
      <xdr:row>132</xdr:row>
      <xdr:rowOff>0</xdr:rowOff>
    </xdr:from>
    <xdr:to>
      <xdr:col>12</xdr:col>
      <xdr:colOff>25400</xdr:colOff>
      <xdr:row>144</xdr:row>
      <xdr:rowOff>25400</xdr:rowOff>
    </xdr:to>
    <xdr:sp macro="" textlink="">
      <xdr:nvSpPr>
        <xdr:cNvPr id="6150" name="Text Box 6">
          <a:extLst>
            <a:ext uri="{FF2B5EF4-FFF2-40B4-BE49-F238E27FC236}">
              <a16:creationId xmlns:a16="http://schemas.microsoft.com/office/drawing/2014/main" id="{D7F1FC8B-AAC9-5463-5592-A22A648C129D}"/>
            </a:ext>
          </a:extLst>
        </xdr:cNvPr>
        <xdr:cNvSpPr txBox="1">
          <a:spLocks noChangeArrowheads="1"/>
        </xdr:cNvSpPr>
      </xdr:nvSpPr>
      <xdr:spPr bwMode="auto">
        <a:xfrm>
          <a:off x="609600" y="24307800"/>
          <a:ext cx="6731000" cy="2235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Example 1: Unrealized Gains/Losses on Market Investments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 company buys stocks or bonds as an investment.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By the end of the year, their market value increases by ₹5 crore.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The company has not sold the investments yet, so the gain is not included in net profit.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Instead, the ₹5 crore gain is recorded as OCI.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If the investment is later sold, the gain will be moved to net profit.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📌 Real-world analogy: You buy a house for ₹50 lakh. After one year, the market price increases to ₹60 lakh. Since you haven’t sold it, this is an unrealized gain, similar to OCI.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oneCellAnchor>
    <xdr:from>
      <xdr:col>0</xdr:col>
      <xdr:colOff>444500</xdr:colOff>
      <xdr:row>144</xdr:row>
      <xdr:rowOff>69850</xdr:rowOff>
    </xdr:from>
    <xdr:ext cx="9485867" cy="131580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7065CA2-A769-7512-AB3E-B3FE723B8E55}"/>
            </a:ext>
          </a:extLst>
        </xdr:cNvPr>
        <xdr:cNvSpPr txBox="1"/>
      </xdr:nvSpPr>
      <xdr:spPr>
        <a:xfrm>
          <a:off x="444500" y="26587450"/>
          <a:ext cx="9485867" cy="1315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b="1"/>
            <a:t>Example 4: Remeasurement of Pension Liabilities</a:t>
          </a:r>
        </a:p>
        <a:p>
          <a:r>
            <a:rPr lang="en-IN"/>
            <a:t>A company has a </a:t>
          </a:r>
          <a:r>
            <a:rPr lang="en-IN" b="1"/>
            <a:t>pension plan</a:t>
          </a:r>
          <a:r>
            <a:rPr lang="en-IN"/>
            <a:t> for employees.</a:t>
          </a:r>
        </a:p>
        <a:p>
          <a:r>
            <a:rPr lang="en-IN"/>
            <a:t>Every year, the value of pension obligations changes due to </a:t>
          </a:r>
          <a:r>
            <a:rPr lang="en-IN" b="1"/>
            <a:t>interest rates or market conditions</a:t>
          </a:r>
          <a:r>
            <a:rPr lang="en-IN"/>
            <a:t>.</a:t>
          </a:r>
        </a:p>
        <a:p>
          <a:r>
            <a:rPr lang="en-IN"/>
            <a:t>If pension obligations </a:t>
          </a:r>
          <a:r>
            <a:rPr lang="en-IN" b="1"/>
            <a:t>increase</a:t>
          </a:r>
          <a:r>
            <a:rPr lang="en-IN"/>
            <a:t>, the company has a </a:t>
          </a:r>
          <a:r>
            <a:rPr lang="en-IN" b="1"/>
            <a:t>loss</a:t>
          </a:r>
          <a:r>
            <a:rPr lang="en-IN"/>
            <a:t>.</a:t>
          </a:r>
        </a:p>
        <a:p>
          <a:r>
            <a:rPr lang="en-IN"/>
            <a:t>Since the loss is </a:t>
          </a:r>
          <a:r>
            <a:rPr lang="en-IN" b="1"/>
            <a:t>not from business operations</a:t>
          </a:r>
          <a:r>
            <a:rPr lang="en-IN"/>
            <a:t>, it is recorded in </a:t>
          </a:r>
          <a:r>
            <a:rPr lang="en-IN" b="1"/>
            <a:t>OCI</a:t>
          </a:r>
          <a:r>
            <a:rPr lang="en-IN"/>
            <a:t>.</a:t>
          </a:r>
        </a:p>
        <a:p>
          <a:r>
            <a:rPr lang="en-IN"/>
            <a:t>📌 </a:t>
          </a:r>
          <a:r>
            <a:rPr lang="en-IN" b="1"/>
            <a:t>Real-world analogy:</a:t>
          </a:r>
          <a:r>
            <a:rPr lang="en-IN"/>
            <a:t> If you have a </a:t>
          </a:r>
          <a:r>
            <a:rPr lang="en-IN" b="1"/>
            <a:t>retirement fund</a:t>
          </a:r>
          <a:r>
            <a:rPr lang="en-IN"/>
            <a:t> and the stock market drops, your retirement savings </a:t>
          </a:r>
          <a:r>
            <a:rPr lang="en-IN" b="1"/>
            <a:t>lose value</a:t>
          </a:r>
          <a:r>
            <a:rPr lang="en-IN"/>
            <a:t>, but you haven't withdrawn the money yet.</a:t>
          </a:r>
        </a:p>
        <a:p>
          <a:endParaRPr lang="en-IN" sz="1100"/>
        </a:p>
      </xdr:txBody>
    </xdr:sp>
    <xdr:clientData/>
  </xdr:oneCellAnchor>
  <xdr:twoCellAnchor>
    <xdr:from>
      <xdr:col>15</xdr:col>
      <xdr:colOff>0</xdr:colOff>
      <xdr:row>21</xdr:row>
      <xdr:rowOff>0</xdr:rowOff>
    </xdr:from>
    <xdr:to>
      <xdr:col>28</xdr:col>
      <xdr:colOff>406400</xdr:colOff>
      <xdr:row>39</xdr:row>
      <xdr:rowOff>38100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17368EBB-4FD3-477E-8194-21C6BBE4B152}"/>
            </a:ext>
          </a:extLst>
        </xdr:cNvPr>
        <xdr:cNvSpPr txBox="1">
          <a:spLocks noChangeArrowheads="1"/>
        </xdr:cNvSpPr>
      </xdr:nvSpPr>
      <xdr:spPr bwMode="auto">
        <a:xfrm>
          <a:off x="9144000" y="3867150"/>
          <a:ext cx="8331200" cy="3352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1. Profitability Ratios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Gross Profit Margin = (Gross Profit / Revenue) × 100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Operating Profit Margin = (EBIT / Revenue) × 100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Net Profit Margin = (Net Profit / Revenue) × 100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Return on Assets (ROA) = (Net Profit / Total Assets) × 100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Return on Equity (ROE) = (Net Profit / Shareholder’s Equity) × 100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2. Liquidity Ratios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Current Ratio = Current Assets / Current Liabilities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Quick Ratio = (Current Assets - Inventories) / Current Liabilities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3. Leverage Ratios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Debt-to-Equity Ratio = Total Debt / Shareholder’s Equity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Interest Coverage Ratio = EBIT / Interest Expense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4. Efficiency Ratios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Asset Turnover Ratio = Revenue / Total Assets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Inventory Turnover Ratio = Cost of Goods Sold / Average Inventory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381000</xdr:colOff>
      <xdr:row>1</xdr:row>
      <xdr:rowOff>31750</xdr:rowOff>
    </xdr:from>
    <xdr:ext cx="7881645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060FE2-81E5-A49D-3EBA-059A6CB21DE9}"/>
            </a:ext>
          </a:extLst>
        </xdr:cNvPr>
        <xdr:cNvSpPr txBox="1"/>
      </xdr:nvSpPr>
      <xdr:spPr>
        <a:xfrm>
          <a:off x="990600" y="215900"/>
          <a:ext cx="788164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b="1"/>
            <a:t>EPS and Diluted EPS Formula:</a:t>
          </a:r>
        </a:p>
        <a:p>
          <a:r>
            <a:rPr lang="en-IN" b="1"/>
            <a:t>Basic EPS</a:t>
          </a:r>
          <a:r>
            <a:rPr lang="en-IN"/>
            <a:t> = (Net Profit attributable to equity shareholders) ÷ (Weighted average number of equity shares)</a:t>
          </a:r>
        </a:p>
        <a:p>
          <a:r>
            <a:rPr lang="en-IN" b="1"/>
            <a:t>Diluted EPS</a:t>
          </a:r>
          <a:r>
            <a:rPr lang="en-IN"/>
            <a:t> = (Net Profit attributable to equity shareholders) ÷ (Weighted average number of equity shares including potential shares)</a:t>
          </a:r>
        </a:p>
        <a:p>
          <a:endParaRPr lang="en-IN" sz="1100" kern="1200"/>
        </a:p>
      </xdr:txBody>
    </xdr:sp>
    <xdr:clientData/>
  </xdr:oneCellAnchor>
  <xdr:oneCellAnchor>
    <xdr:from>
      <xdr:col>11</xdr:col>
      <xdr:colOff>234950</xdr:colOff>
      <xdr:row>10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5A30D7-126D-671A-B2E5-4F226C8B45C4}"/>
            </a:ext>
          </a:extLst>
        </xdr:cNvPr>
        <xdr:cNvSpPr txBox="1"/>
      </xdr:nvSpPr>
      <xdr:spPr>
        <a:xfrm>
          <a:off x="8083550" y="197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 kern="1200"/>
        </a:p>
      </xdr:txBody>
    </xdr:sp>
    <xdr:clientData/>
  </xdr:oneCellAnchor>
  <xdr:twoCellAnchor>
    <xdr:from>
      <xdr:col>11</xdr:col>
      <xdr:colOff>0</xdr:colOff>
      <xdr:row>10</xdr:row>
      <xdr:rowOff>0</xdr:rowOff>
    </xdr:from>
    <xdr:to>
      <xdr:col>15</xdr:col>
      <xdr:colOff>469900</xdr:colOff>
      <xdr:row>21</xdr:row>
      <xdr:rowOff>31750</xdr:rowOff>
    </xdr:to>
    <xdr:sp macro="" textlink="">
      <xdr:nvSpPr>
        <xdr:cNvPr id="8194" name="Text Box 2">
          <a:extLst>
            <a:ext uri="{FF2B5EF4-FFF2-40B4-BE49-F238E27FC236}">
              <a16:creationId xmlns:a16="http://schemas.microsoft.com/office/drawing/2014/main" id="{25F3EFAF-B916-FEEC-C15C-F0E02162C533}"/>
            </a:ext>
          </a:extLst>
        </xdr:cNvPr>
        <xdr:cNvSpPr txBox="1">
          <a:spLocks noChangeArrowheads="1"/>
        </xdr:cNvSpPr>
      </xdr:nvSpPr>
      <xdr:spPr bwMode="auto">
        <a:xfrm>
          <a:off x="7848600" y="1841500"/>
          <a:ext cx="2908300" cy="2057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Key Adjustments for Diluted EPS: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weighted average potential equity shares (including stock options and partly paid shares):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2023-24: 4,29,870 shares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2022-23: 6,04,799 shares 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IN" sz="1100"/>
            <a:t>This adjustment includes the impact of employee stock option schemes and partly paid rights issue shares.</a:t>
          </a: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17</xdr:row>
      <xdr:rowOff>25400</xdr:rowOff>
    </xdr:from>
    <xdr:to>
      <xdr:col>7</xdr:col>
      <xdr:colOff>806450</xdr:colOff>
      <xdr:row>34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9428B-658E-AAE6-1CCD-91B3D0CCC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40</xdr:row>
      <xdr:rowOff>12700</xdr:rowOff>
    </xdr:from>
    <xdr:to>
      <xdr:col>8</xdr:col>
      <xdr:colOff>31750</xdr:colOff>
      <xdr:row>54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FDF40-35BA-F89E-0E49-5127F6465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0.62024</cdr:x>
      <cdr:y>0.07087</cdr:y>
    </cdr:from>
    <cdr:to>
      <cdr:x>0.83391</cdr:x>
      <cdr:y>0.35433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1A2B4B-02E6-6A81-4F2E-86800CB75728}"/>
            </a:ext>
          </a:extLst>
        </cdr:cNvPr>
        <cdr:cNvSpPr txBox="1"/>
      </cdr:nvSpPr>
      <cdr:spPr>
        <a:xfrm xmlns:a="http://schemas.openxmlformats.org/drawingml/2006/main">
          <a:off x="4552950" y="228600"/>
          <a:ext cx="15684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600" b="1"/>
            <a:t>Sales Growth  8%</a:t>
          </a:r>
        </a:p>
        <a:p xmlns:a="http://schemas.openxmlformats.org/drawingml/2006/main">
          <a:r>
            <a:rPr lang="en-IN" sz="1600" b="1"/>
            <a:t>Profit Growth 12%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ve\Desktop\COMMON%20SIZE.xlsx" TargetMode="External"/><Relationship Id="rId1" Type="http://schemas.openxmlformats.org/officeDocument/2006/relationships/externalLinkPath" Target="/Users/parve/Desktop/COMMON%20S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 refreshError="1"/>
      <sheetData sheetId="1">
        <row r="2">
          <cell r="B2">
            <v>395957</v>
          </cell>
          <cell r="C2">
            <v>433521</v>
          </cell>
          <cell r="D2">
            <v>374372</v>
          </cell>
          <cell r="E2">
            <v>272583</v>
          </cell>
          <cell r="F2">
            <v>303954</v>
          </cell>
          <cell r="G2">
            <v>390823</v>
          </cell>
          <cell r="H2">
            <v>568337</v>
          </cell>
          <cell r="I2">
            <v>596679</v>
          </cell>
          <cell r="J2">
            <v>466307</v>
          </cell>
          <cell r="K2">
            <v>694673</v>
          </cell>
          <cell r="L2">
            <v>876396</v>
          </cell>
          <cell r="M2">
            <v>899041</v>
          </cell>
        </row>
        <row r="3">
          <cell r="B3">
            <v>362802</v>
          </cell>
          <cell r="C3">
            <v>398586</v>
          </cell>
          <cell r="D3">
            <v>336923</v>
          </cell>
          <cell r="E3">
            <v>230802</v>
          </cell>
          <cell r="F3">
            <v>257647</v>
          </cell>
          <cell r="G3">
            <v>326508</v>
          </cell>
          <cell r="H3">
            <v>484087</v>
          </cell>
          <cell r="I3">
            <v>507413</v>
          </cell>
          <cell r="J3">
            <v>385517</v>
          </cell>
          <cell r="K3">
            <v>586092</v>
          </cell>
          <cell r="L3">
            <v>734078</v>
          </cell>
          <cell r="M3" t="str">
            <v>736,543</v>
          </cell>
        </row>
        <row r="4">
          <cell r="B4">
            <v>33155</v>
          </cell>
          <cell r="C4">
            <v>34935</v>
          </cell>
          <cell r="D4">
            <v>37449</v>
          </cell>
          <cell r="E4">
            <v>41781</v>
          </cell>
          <cell r="F4">
            <v>46307</v>
          </cell>
          <cell r="G4">
            <v>64315</v>
          </cell>
          <cell r="H4">
            <v>84250</v>
          </cell>
          <cell r="I4">
            <v>89266</v>
          </cell>
          <cell r="J4">
            <v>80790</v>
          </cell>
          <cell r="K4">
            <v>108581</v>
          </cell>
          <cell r="L4">
            <v>142318</v>
          </cell>
          <cell r="M4">
            <v>162498</v>
          </cell>
        </row>
        <row r="5">
          <cell r="B5">
            <v>11232</v>
          </cell>
          <cell r="C5">
            <v>11201</v>
          </cell>
          <cell r="D5">
            <v>11547</v>
          </cell>
          <cell r="E5">
            <v>11565</v>
          </cell>
          <cell r="F5">
            <v>11646</v>
          </cell>
          <cell r="G5">
            <v>16706</v>
          </cell>
          <cell r="H5">
            <v>20934</v>
          </cell>
          <cell r="I5">
            <v>22203</v>
          </cell>
          <cell r="J5">
            <v>26572</v>
          </cell>
          <cell r="K5">
            <v>29782</v>
          </cell>
          <cell r="L5">
            <v>40303</v>
          </cell>
          <cell r="M5" t="str">
            <v>50,832</v>
          </cell>
        </row>
        <row r="6">
          <cell r="B6">
            <v>6099</v>
          </cell>
          <cell r="C6">
            <v>6508</v>
          </cell>
          <cell r="D6">
            <v>6853</v>
          </cell>
          <cell r="E6">
            <v>12246</v>
          </cell>
          <cell r="F6">
            <v>9335</v>
          </cell>
          <cell r="G6">
            <v>10008</v>
          </cell>
          <cell r="H6">
            <v>8489</v>
          </cell>
          <cell r="I6">
            <v>13271</v>
          </cell>
          <cell r="J6">
            <v>16843</v>
          </cell>
          <cell r="K6">
            <v>15238</v>
          </cell>
          <cell r="L6">
            <v>11758</v>
          </cell>
          <cell r="M6">
            <v>16444</v>
          </cell>
        </row>
        <row r="7">
          <cell r="B7">
            <v>28022</v>
          </cell>
          <cell r="C7">
            <v>30242</v>
          </cell>
          <cell r="D7">
            <v>32755</v>
          </cell>
          <cell r="E7">
            <v>42462</v>
          </cell>
          <cell r="F7">
            <v>43996</v>
          </cell>
          <cell r="G7">
            <v>57617</v>
          </cell>
          <cell r="H7">
            <v>71805</v>
          </cell>
          <cell r="I7">
            <v>80334</v>
          </cell>
          <cell r="J7">
            <v>71061</v>
          </cell>
          <cell r="K7">
            <v>94037</v>
          </cell>
          <cell r="L7">
            <v>113773</v>
          </cell>
          <cell r="M7">
            <v>128110</v>
          </cell>
        </row>
        <row r="8">
          <cell r="B8">
            <v>3463</v>
          </cell>
          <cell r="C8">
            <v>3836</v>
          </cell>
          <cell r="D8">
            <v>3316</v>
          </cell>
          <cell r="E8">
            <v>3691</v>
          </cell>
          <cell r="F8">
            <v>3849</v>
          </cell>
          <cell r="G8">
            <v>8052</v>
          </cell>
          <cell r="H8">
            <v>16495</v>
          </cell>
          <cell r="I8">
            <v>22027</v>
          </cell>
          <cell r="J8">
            <v>21189</v>
          </cell>
          <cell r="K8">
            <v>14584</v>
          </cell>
          <cell r="L8">
            <v>19571</v>
          </cell>
          <cell r="M8" t="str">
            <v>23,118</v>
          </cell>
        </row>
        <row r="9">
          <cell r="B9">
            <v>1658</v>
          </cell>
          <cell r="C9">
            <v>2357</v>
          </cell>
          <cell r="D9">
            <v>1675</v>
          </cell>
          <cell r="E9">
            <v>-34</v>
          </cell>
          <cell r="F9">
            <v>-113</v>
          </cell>
          <cell r="G9">
            <v>-139</v>
          </cell>
          <cell r="H9">
            <v>-83</v>
          </cell>
          <cell r="I9">
            <v>-4701</v>
          </cell>
          <cell r="J9">
            <v>5589</v>
          </cell>
          <cell r="K9">
            <v>4362</v>
          </cell>
          <cell r="L9">
            <v>262</v>
          </cell>
          <cell r="M9">
            <v>-265</v>
          </cell>
        </row>
        <row r="10">
          <cell r="B10">
            <v>26217</v>
          </cell>
          <cell r="C10">
            <v>28763</v>
          </cell>
          <cell r="D10">
            <v>31114</v>
          </cell>
          <cell r="E10">
            <v>38737</v>
          </cell>
          <cell r="F10">
            <v>40034</v>
          </cell>
          <cell r="G10">
            <v>49426</v>
          </cell>
          <cell r="H10">
            <v>55227</v>
          </cell>
          <cell r="I10">
            <v>53606</v>
          </cell>
          <cell r="J10">
            <v>55461</v>
          </cell>
          <cell r="K10">
            <v>83815</v>
          </cell>
          <cell r="L10">
            <v>94464</v>
          </cell>
          <cell r="M10">
            <v>104727</v>
          </cell>
        </row>
        <row r="11">
          <cell r="B11">
            <v>5331</v>
          </cell>
          <cell r="C11">
            <v>6215</v>
          </cell>
          <cell r="D11">
            <v>7474</v>
          </cell>
          <cell r="E11">
            <v>8876</v>
          </cell>
          <cell r="F11">
            <v>10201</v>
          </cell>
          <cell r="G11">
            <v>13346</v>
          </cell>
          <cell r="H11">
            <v>15390</v>
          </cell>
          <cell r="I11">
            <v>13726</v>
          </cell>
          <cell r="J11">
            <v>1722</v>
          </cell>
          <cell r="K11">
            <v>15970</v>
          </cell>
          <cell r="L11">
            <v>20376</v>
          </cell>
          <cell r="M11">
            <v>25707</v>
          </cell>
        </row>
        <row r="12">
          <cell r="B12">
            <v>20886</v>
          </cell>
          <cell r="C12">
            <v>22548</v>
          </cell>
          <cell r="D12">
            <v>23640</v>
          </cell>
          <cell r="E12">
            <v>29861</v>
          </cell>
          <cell r="F12">
            <v>29833</v>
          </cell>
          <cell r="G12">
            <v>36080</v>
          </cell>
          <cell r="H12">
            <v>39837</v>
          </cell>
          <cell r="I12">
            <v>39880</v>
          </cell>
          <cell r="J12">
            <v>53739</v>
          </cell>
          <cell r="K12">
            <v>67845</v>
          </cell>
          <cell r="L12">
            <v>74088</v>
          </cell>
          <cell r="M12" t="str">
            <v>79,020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636EDB0-D376-4301-BAF5-FCFEDBEF96DB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87FA6C1-DCC0-42F5-95C6-C87ECBFBD756}" autoFormatId="16" applyNumberFormats="0" applyBorderFormats="0" applyFontFormats="0" applyPatternFormats="0" applyAlignmentFormats="0" applyWidthHeightFormats="0">
  <queryTableRefresh nextId="12">
    <queryTableFields count="11">
      <queryTableField id="1" name="S.No." tableColumnId="1"/>
      <queryTableField id="2" name="Name" tableColumnId="2"/>
      <queryTableField id="3" name="CMP_x000a_                  Rs." tableColumnId="3"/>
      <queryTableField id="4" name="P/E" tableColumnId="4"/>
      <queryTableField id="5" name="Mar Cap_x000a_                  Rs.Cr." tableColumnId="5"/>
      <queryTableField id="6" name="Div Yld_x000a_                  %" tableColumnId="6"/>
      <queryTableField id="7" name="NP Qtr_x000a_                  Rs.Cr." tableColumnId="7"/>
      <queryTableField id="8" name="Qtr Profit Var_x000a_                  %" tableColumnId="8"/>
      <queryTableField id="9" name="Sales Qtr_x000a_                  Rs.Cr." tableColumnId="9"/>
      <queryTableField id="10" name="Qtr Sales Var_x000a_                  %" tableColumnId="10"/>
      <queryTableField id="11" name="ROCE_x000a_                  %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7FF0044-A045-4CCE-A55E-7DD71C0E5211}" autoFormatId="16" applyNumberFormats="0" applyBorderFormats="0" applyFontFormats="0" applyPatternFormats="0" applyAlignmentFormats="0" applyWidthHeightFormats="0">
  <queryTableRefresh nextId="16" unboundColumnsRight="2">
    <queryTableFields count="14">
      <queryTableField id="1" name="Column1" tableColumnId="1"/>
      <queryTableField id="3" name="Mar 2013" tableColumnId="3"/>
      <queryTableField id="4" name="Mar 2014" tableColumnId="4"/>
      <queryTableField id="5" name="Mar 2015" tableColumnId="5"/>
      <queryTableField id="6" name="Mar 2016" tableColumnId="6"/>
      <queryTableField id="7" name="Mar 2017" tableColumnId="7"/>
      <queryTableField id="8" name="Mar 2018" tableColumnId="8"/>
      <queryTableField id="9" name="Mar 2019" tableColumnId="9"/>
      <queryTableField id="10" name="Mar 2020" tableColumnId="10"/>
      <queryTableField id="11" name="Mar 2021" tableColumnId="11"/>
      <queryTableField id="12" name="Mar 2022" tableColumnId="12"/>
      <queryTableField id="13" name="Mar 2023" tableColumnId="13"/>
      <queryTableField id="14" dataBound="0" tableColumnId="14"/>
      <queryTableField id="15" dataBound="0" tableColumnId="2"/>
    </queryTableFields>
    <queryTableDeletedFields count="1">
      <deletedField name="Mar 201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B41CD9C9-563D-460A-91DA-28E3C3188D57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Mar 2012" tableColumnId="2"/>
      <queryTableField id="3" name="Mar 2013" tableColumnId="3"/>
      <queryTableField id="4" name="Mar 2014" tableColumnId="4"/>
      <queryTableField id="5" name="Mar 2015" tableColumnId="5"/>
      <queryTableField id="6" name="Mar 2016" tableColumnId="6"/>
      <queryTableField id="7" name="Mar 2017" tableColumnId="7"/>
      <queryTableField id="8" name="Mar 2018" tableColumnId="8"/>
      <queryTableField id="9" name="Mar 2019" tableColumnId="9"/>
      <queryTableField id="10" name="Mar 2020" tableColumnId="10"/>
      <queryTableField id="11" name="Mar 2021" tableColumnId="11"/>
      <queryTableField id="12" name="Mar 2022" tableColumnId="12"/>
      <queryTableField id="13" name="Mar 2023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896CA73D-1D3F-4FC9-9163-6146719B6DD4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Sep 2020" tableColumnId="2"/>
      <queryTableField id="3" name="Dec 2020" tableColumnId="3"/>
      <queryTableField id="4" name="Mar 2021" tableColumnId="4"/>
      <queryTableField id="5" name="Jun 2021" tableColumnId="5"/>
      <queryTableField id="6" name="Sep 2021" tableColumnId="6"/>
      <queryTableField id="7" name="Dec 2021" tableColumnId="7"/>
      <queryTableField id="8" name="Mar 2022" tableColumnId="8"/>
      <queryTableField id="9" name="Jun 2022" tableColumnId="9"/>
      <queryTableField id="10" name="Sep 2022" tableColumnId="10"/>
      <queryTableField id="11" name="Dec 2022" tableColumnId="11"/>
      <queryTableField id="12" name="Mar 2023" tableColumnId="12"/>
      <queryTableField id="13" name="Jun 2023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7957EC03-A336-42AC-BC75-077D38CA6C87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CC5EAE-0A03-444B-8938-7776A954F4FF}" autoFormatId="16" applyNumberFormats="0" applyBorderFormats="0" applyFontFormats="0" applyPatternFormats="0" applyAlignmentFormats="0" applyWidthHeightFormats="0">
  <queryTableRefresh nextId="19" unboundColumnsRight="1">
    <queryTableFields count="15">
      <queryTableField id="1" name="Column1" tableColumnId="1"/>
      <queryTableField id="3" name="Mar 2013" tableColumnId="3"/>
      <queryTableField id="4" name="Mar 2014" tableColumnId="4"/>
      <queryTableField id="5" name="Mar 2015" tableColumnId="5"/>
      <queryTableField id="6" name="Mar 2016" tableColumnId="6"/>
      <queryTableField id="7" name="Mar 2017" tableColumnId="7"/>
      <queryTableField id="8" name="Mar 2018" tableColumnId="8"/>
      <queryTableField id="9" name="Mar 2019" tableColumnId="9"/>
      <queryTableField id="10" name="Mar 2020" tableColumnId="10"/>
      <queryTableField id="11" name="Mar 2021" tableColumnId="11"/>
      <queryTableField id="12" name="Mar 2022" tableColumnId="12"/>
      <queryTableField id="13" name="Mar 2023" tableColumnId="13"/>
      <queryTableField id="17" dataBound="0" tableColumnId="16"/>
      <queryTableField id="14" name="TTM" tableColumnId="14"/>
      <queryTableField id="15" dataBound="0" tableColumnId="15"/>
    </queryTableFields>
    <queryTableDeletedFields count="1">
      <deletedField name="Mar 2012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8A8924D-6B47-4782-9AC9-77BA20DC6E22}" autoFormatId="16" applyNumberFormats="0" applyBorderFormats="0" applyFontFormats="0" applyPatternFormats="0" applyAlignmentFormats="0" applyWidthHeightFormats="0">
  <queryTableRefresh nextId="16" unboundColumnsRight="1">
    <queryTableFields count="14">
      <queryTableField id="1" name="Column1" tableColumnId="1"/>
      <queryTableField id="3" name="Mar 2013" tableColumnId="3"/>
      <queryTableField id="4" name="Mar 2014" tableColumnId="4"/>
      <queryTableField id="5" name="Mar 2015" tableColumnId="5"/>
      <queryTableField id="6" name="Mar 2016" tableColumnId="6"/>
      <queryTableField id="7" name="Mar 2017" tableColumnId="7"/>
      <queryTableField id="8" name="Mar 2018" tableColumnId="8"/>
      <queryTableField id="9" name="Mar 2019" tableColumnId="9"/>
      <queryTableField id="10" name="Mar 2020" tableColumnId="10"/>
      <queryTableField id="11" name="Mar 2021" tableColumnId="11"/>
      <queryTableField id="12" name="Mar 2022" tableColumnId="12"/>
      <queryTableField id="13" name="Mar 2023" tableColumnId="13"/>
      <queryTableField id="14" name="TTM" tableColumnId="14"/>
      <queryTableField id="15" dataBound="0" tableColumnId="15"/>
    </queryTableFields>
    <queryTableDeletedFields count="1">
      <deletedField name="Mar 201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59CAE3-B93B-4156-94CC-2C54517E3D8D}" name="Table_2__2" displayName="Table_2__2" ref="A1:N14" tableType="queryTable" totalsRowShown="0">
  <autoFilter ref="A1:N14" xr:uid="{C859CAE3-B93B-4156-94CC-2C54517E3D8D}"/>
  <tableColumns count="14">
    <tableColumn id="1" xr3:uid="{E76975D0-E464-42A4-A426-69E840D3AB4C}" uniqueName="1" name="Column1" queryTableFieldId="1" dataDxfId="95"/>
    <tableColumn id="2" xr3:uid="{60C89279-A813-4FC7-83A8-B7A6B6B4F797}" uniqueName="2" name="Column2" queryTableFieldId="2" dataDxfId="94"/>
    <tableColumn id="3" xr3:uid="{DCB4F5AD-DF54-4109-9A6C-E7A06E0BC425}" uniqueName="3" name="Column3" queryTableFieldId="3" dataDxfId="93"/>
    <tableColumn id="4" xr3:uid="{6F82087B-A226-4904-A4B5-6C74E2180BCE}" uniqueName="4" name="Column4" queryTableFieldId="4" dataDxfId="92"/>
    <tableColumn id="5" xr3:uid="{94FAF914-F68E-49F8-93DD-64CA46716EAB}" uniqueName="5" name="Column5" queryTableFieldId="5" dataDxfId="91"/>
    <tableColumn id="6" xr3:uid="{C71817E4-BD95-4350-BC15-3D7AAB9FFCAC}" uniqueName="6" name="Column6" queryTableFieldId="6" dataDxfId="90"/>
    <tableColumn id="7" xr3:uid="{43B282F1-5D29-4E0E-8658-CB540CA6F1A7}" uniqueName="7" name="Column7" queryTableFieldId="7" dataDxfId="89"/>
    <tableColumn id="8" xr3:uid="{041700B7-99C3-4A05-BD08-72C7B1EEFA4A}" uniqueName="8" name="Column8" queryTableFieldId="8" dataDxfId="88"/>
    <tableColumn id="9" xr3:uid="{7C52B827-39E4-46D1-B179-34D60385C2A7}" uniqueName="9" name="Column9" queryTableFieldId="9" dataDxfId="87"/>
    <tableColumn id="10" xr3:uid="{4472E303-0C92-43CE-8FBD-0C70592C70E0}" uniqueName="10" name="Column10" queryTableFieldId="10" dataDxfId="86"/>
    <tableColumn id="11" xr3:uid="{A88FB9B4-14BE-44C4-82BE-5908161F22A9}" uniqueName="11" name="Column11" queryTableFieldId="11" dataDxfId="85"/>
    <tableColumn id="12" xr3:uid="{8829EB5B-984F-4714-9ECB-BEEBC7032FC5}" uniqueName="12" name="Column12" queryTableFieldId="12" dataDxfId="84"/>
    <tableColumn id="13" xr3:uid="{9E8DE071-8BEA-489D-8C53-A89FBE882532}" uniqueName="13" name="Column13" queryTableFieldId="13" dataDxfId="83"/>
    <tableColumn id="14" xr3:uid="{863AFC80-4179-4620-860D-B817CAB807C9}" uniqueName="14" name="Column14" queryTableFieldId="14" dataDxfId="8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6E1D36-8A69-4590-B03A-28B87D00C729}" name="Table_1__5" displayName="Table_1__5" ref="A1:K9" tableType="queryTable" totalsRowShown="0">
  <autoFilter ref="A1:K9" xr:uid="{376E1D36-8A69-4590-B03A-28B87D00C729}"/>
  <tableColumns count="11">
    <tableColumn id="1" xr3:uid="{299BA860-F509-4BB3-9070-931748E8CDF8}" uniqueName="1" name="S.No." queryTableFieldId="1"/>
    <tableColumn id="2" xr3:uid="{25440D03-9A6D-450B-8013-F02A9DA8310D}" uniqueName="2" name="Name" queryTableFieldId="2" dataDxfId="81"/>
    <tableColumn id="3" xr3:uid="{5D50BBB1-4927-4A7B-98D7-C70B4B47212C}" uniqueName="3" name="CMP_x000a_                  Rs." queryTableFieldId="3"/>
    <tableColumn id="4" xr3:uid="{8D9BCB55-5566-455D-9E08-625369BE3FC7}" uniqueName="4" name="P/E" queryTableFieldId="4"/>
    <tableColumn id="5" xr3:uid="{2B6E6BA2-44C6-4DE9-AF37-C085394FD262}" uniqueName="5" name="Mar Cap_x000a_                  Rs.Cr." queryTableFieldId="5" dataDxfId="80" dataCellStyle="Comma"/>
    <tableColumn id="6" xr3:uid="{B10C55A9-B2EC-4753-89D2-432CBF2A52A9}" uniqueName="6" name="Div Yld_x000a_                  %" queryTableFieldId="6"/>
    <tableColumn id="7" xr3:uid="{178735B2-9E80-4620-BB01-2FDB76E76DA3}" uniqueName="7" name="NP Qtr_x000a_                  Rs.Cr." queryTableFieldId="7" dataDxfId="79" dataCellStyle="Comma"/>
    <tableColumn id="8" xr3:uid="{C324FF9F-97A0-4C36-B2CB-5C47AFED15C2}" uniqueName="8" name="Qtr Profit Var_x000a_                  %" queryTableFieldId="8"/>
    <tableColumn id="9" xr3:uid="{EAF13D8C-D475-48F8-A433-2C8570561749}" uniqueName="9" name="Sales Qtr_x000a_                  Rs.Cr." queryTableFieldId="9" dataDxfId="78" dataCellStyle="Comma"/>
    <tableColumn id="10" xr3:uid="{A589AAA4-B8A4-41E9-8797-9AB595359040}" uniqueName="10" name="Qtr Sales Var_x000a_                  %" queryTableFieldId="10"/>
    <tableColumn id="11" xr3:uid="{D261685A-85D8-4961-A079-D5B64D213D6E}" uniqueName="11" name="ROCE_x000a_                  %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5E684-83FF-4D8E-814F-683856FBA7F4}" name="Table_6" displayName="Table_6" ref="A1:N22" tableType="queryTable" totalsRowCount="1" dataDxfId="60">
  <autoFilter ref="A1:N21" xr:uid="{D635E684-83FF-4D8E-814F-683856FBA7F4}"/>
  <tableColumns count="14">
    <tableColumn id="1" xr3:uid="{36121290-48D0-415C-9082-0F08F51CE0DC}" uniqueName="1" name="Particulars " queryTableFieldId="1" dataDxfId="59" totalsRowDxfId="58"/>
    <tableColumn id="3" xr3:uid="{750B8377-5521-4AB4-8530-6A6BAB2A3870}" uniqueName="3" name="Mar 2013" queryTableFieldId="3" dataDxfId="57" totalsRowDxfId="56" dataCellStyle="Comma" totalsRowCellStyle="Comma"/>
    <tableColumn id="4" xr3:uid="{7BDAE5BB-E07B-4C65-B154-7B070CE41BAE}" uniqueName="4" name="Mar 2014" queryTableFieldId="4" dataDxfId="55" totalsRowDxfId="54" dataCellStyle="Comma" totalsRowCellStyle="Comma"/>
    <tableColumn id="5" xr3:uid="{F867ABCC-D22D-442A-B620-6B1FC27CAF8A}" uniqueName="5" name="Mar 2015" queryTableFieldId="5" dataDxfId="53" totalsRowDxfId="52" dataCellStyle="Comma" totalsRowCellStyle="Comma"/>
    <tableColumn id="6" xr3:uid="{8FD64FFC-1B23-4A5A-8271-D5BAC62F3A23}" uniqueName="6" name="Mar 2016" queryTableFieldId="6" dataDxfId="51" totalsRowDxfId="50" dataCellStyle="Comma" totalsRowCellStyle="Comma"/>
    <tableColumn id="7" xr3:uid="{41E94F50-957A-4697-B50A-16D5347DFDB3}" uniqueName="7" name="Mar 2017" queryTableFieldId="7" dataDxfId="49" totalsRowDxfId="48" dataCellStyle="Comma" totalsRowCellStyle="Comma"/>
    <tableColumn id="8" xr3:uid="{A72E0F4A-5A7F-4F20-A519-EFC0908DA74B}" uniqueName="8" name="Mar 2018" queryTableFieldId="8" dataDxfId="47" totalsRowDxfId="46" dataCellStyle="Comma" totalsRowCellStyle="Comma"/>
    <tableColumn id="9" xr3:uid="{B59395F3-92BD-40AB-8055-642C37F6E23F}" uniqueName="9" name="Mar 2019" queryTableFieldId="9" dataDxfId="45" totalsRowDxfId="44" dataCellStyle="Comma" totalsRowCellStyle="Comma"/>
    <tableColumn id="10" xr3:uid="{2B78A39C-ACBA-4707-A828-FF07C875BEDA}" uniqueName="10" name="Mar 2020" queryTableFieldId="10" dataDxfId="43" totalsRowDxfId="42" dataCellStyle="Comma" totalsRowCellStyle="Comma"/>
    <tableColumn id="11" xr3:uid="{8B5E7A4A-D24F-4171-B132-D3EA23A7A596}" uniqueName="11" name="Mar 2021" queryTableFieldId="11" dataDxfId="41" totalsRowDxfId="40" dataCellStyle="Comma" totalsRowCellStyle="Comma"/>
    <tableColumn id="12" xr3:uid="{730C8AA8-C21A-4A6F-AD2F-D37C3D6ABF82}" uniqueName="12" name="Mar 2022" queryTableFieldId="12" dataDxfId="39" totalsRowDxfId="38" dataCellStyle="Comma" totalsRowCellStyle="Comma"/>
    <tableColumn id="13" xr3:uid="{8E7BFF20-5967-42D2-B6D2-E453C8E1D63C}" uniqueName="13" name="Mar 2023" queryTableFieldId="13" dataDxfId="37" totalsRowDxfId="36" dataCellStyle="Comma" totalsRowCellStyle="Comma"/>
    <tableColumn id="14" xr3:uid="{B4663D08-2382-4610-927D-417434AEAE54}" uniqueName="14" name="Mar-24" totalsRowLabel="   " queryTableFieldId="14" dataDxfId="35" totalsRowDxfId="34" dataCellStyle="Comma" totalsRowCellStyle="Comma"/>
    <tableColumn id="2" xr3:uid="{FD689E75-C521-4D93-A04D-ED224A950CB9}" uniqueName="2" name="Sep-24" queryTableFieldId="15" dataDxfId="33" totalsRowDxfId="32" dataCellStyle="Comma" totalsRowCellStyle="Comma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6F6A87-D6F4-4FA8-981F-8EF80C45D05B}" name="Table_8" displayName="Table_8" ref="A1:M7" tableType="queryTable" totalsRowShown="0">
  <autoFilter ref="A1:M7" xr:uid="{2F6F6A87-D6F4-4FA8-981F-8EF80C45D05B}"/>
  <tableColumns count="13">
    <tableColumn id="1" xr3:uid="{8DDE3477-D459-4AD6-8C3B-C0E88DEB8526}" uniqueName="1" name="Particulars" queryTableFieldId="1" dataDxfId="31"/>
    <tableColumn id="2" xr3:uid="{A2D2874C-FFE8-46C8-A92C-970E20B9EB71}" uniqueName="2" name="Mar 2012" queryTableFieldId="2"/>
    <tableColumn id="3" xr3:uid="{C6979F25-22A7-4AA6-9B5B-0C693AF9E867}" uniqueName="3" name="Mar 2013" queryTableFieldId="3"/>
    <tableColumn id="4" xr3:uid="{42936F0A-31D3-486A-BEA5-4156E153A499}" uniqueName="4" name="Mar 2014" queryTableFieldId="4"/>
    <tableColumn id="5" xr3:uid="{66D3F60B-76B3-4DA1-BEAD-3C13B406F12B}" uniqueName="5" name="Mar 2015" queryTableFieldId="5"/>
    <tableColumn id="6" xr3:uid="{88D7E195-6535-44D6-8E61-CC7C81D30920}" uniqueName="6" name="Mar 2016" queryTableFieldId="6"/>
    <tableColumn id="7" xr3:uid="{18377E2E-1919-4300-AA36-D55759512D7B}" uniqueName="7" name="Mar 2017" queryTableFieldId="7"/>
    <tableColumn id="8" xr3:uid="{0750FA26-3386-42CF-B171-92EE31247339}" uniqueName="8" name="Mar 2018" queryTableFieldId="8"/>
    <tableColumn id="9" xr3:uid="{74A4A58E-AC5E-45C1-92E2-96EB9A69CEE5}" uniqueName="9" name="Mar 2019" queryTableFieldId="9"/>
    <tableColumn id="10" xr3:uid="{1D5AF261-72B4-4E94-9F94-089409B7ED66}" uniqueName="10" name="Mar 2020" queryTableFieldId="10"/>
    <tableColumn id="11" xr3:uid="{DD30219C-5625-4D8B-9599-AE383AE18F32}" uniqueName="11" name="Mar 2021" queryTableFieldId="11"/>
    <tableColumn id="12" xr3:uid="{D7270D9F-7723-4192-A9A1-C2B3DCCD5118}" uniqueName="12" name="Mar 2022" queryTableFieldId="12"/>
    <tableColumn id="13" xr3:uid="{FAB46CE2-F954-47FF-BF10-6018188AA003}" uniqueName="13" name="Mar 2023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9566F6-9E7C-4786-98F7-B59B83FE641F}" name="Table_9" displayName="Table_9" ref="A1:M7" tableType="queryTable" totalsRowShown="0">
  <autoFilter ref="A1:M7" xr:uid="{A79566F6-9E7C-4786-98F7-B59B83FE641F}"/>
  <tableColumns count="13">
    <tableColumn id="1" xr3:uid="{D109197B-3647-4C37-A785-AD2DFFC48836}" uniqueName="1" name="Column1" queryTableFieldId="1" dataDxfId="30"/>
    <tableColumn id="2" xr3:uid="{A4606802-9F28-48F7-83D0-41C65B4EE966}" uniqueName="2" name="Sep 2020" queryTableFieldId="2"/>
    <tableColumn id="3" xr3:uid="{DB90C243-1F00-4A0E-AF29-6DD473470367}" uniqueName="3" name="Dec 2020" queryTableFieldId="3"/>
    <tableColumn id="4" xr3:uid="{95F1CA69-B0EB-4921-BFEF-E919A861D1F1}" uniqueName="4" name="Mar 2021" queryTableFieldId="4"/>
    <tableColumn id="5" xr3:uid="{5B08FED9-AACF-490A-B2D6-76F39C195D84}" uniqueName="5" name="Jun 2021" queryTableFieldId="5"/>
    <tableColumn id="6" xr3:uid="{D24BC238-29B5-438D-B63F-DF062FA7F0A4}" uniqueName="6" name="Sep 2021" queryTableFieldId="6"/>
    <tableColumn id="7" xr3:uid="{C6345C7C-984D-4828-B556-7D9468FFEB2B}" uniqueName="7" name="Dec 2021" queryTableFieldId="7"/>
    <tableColumn id="8" xr3:uid="{2A544B01-D039-4E0F-BF9B-861D6DCDF6B7}" uniqueName="8" name="Mar 2022" queryTableFieldId="8"/>
    <tableColumn id="9" xr3:uid="{E639FB63-473E-4BAC-8FDB-2C219A766495}" uniqueName="9" name="Jun 2022" queryTableFieldId="9"/>
    <tableColumn id="10" xr3:uid="{FD08278F-DE43-45E8-8251-1719BF5C1BFB}" uniqueName="10" name="Sep 2022" queryTableFieldId="10"/>
    <tableColumn id="11" xr3:uid="{8100B529-0146-47FC-A801-105691013404}" uniqueName="11" name="Dec 2022" queryTableFieldId="11"/>
    <tableColumn id="12" xr3:uid="{5B8A5B43-24D9-4AC4-B5E7-A99C495A2ABF}" uniqueName="12" name="Mar 2023" queryTableFieldId="12"/>
    <tableColumn id="13" xr3:uid="{F8AA8E18-4FEC-4C2F-BF68-C8FF7EA1900B}" uniqueName="13" name="Jun 2023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53FE30-0594-497A-9924-205A1B6FDF37}" name="Table_8__2" displayName="Table_8__2" ref="A1:N12" tableType="queryTable" totalsRowShown="0">
  <autoFilter ref="A1:N12" xr:uid="{7953FE30-0594-497A-9924-205A1B6FDF37}"/>
  <tableColumns count="14">
    <tableColumn id="1" xr3:uid="{C8146D29-6121-48EC-A584-3E7A63A7B783}" uniqueName="1" name="Column1" queryTableFieldId="1" dataDxfId="29"/>
    <tableColumn id="2" xr3:uid="{9AC13A42-D734-400C-BEC9-DF8FA96701AC}" uniqueName="2" name="Column2" queryTableFieldId="2" dataDxfId="28"/>
    <tableColumn id="3" xr3:uid="{2D76D852-3F88-4D0A-A3A9-D0EC4BE9DACC}" uniqueName="3" name="Column3" queryTableFieldId="3" dataDxfId="27"/>
    <tableColumn id="4" xr3:uid="{3F21D0F1-9731-4180-9D80-EB6D60C7DACF}" uniqueName="4" name="Column4" queryTableFieldId="4" dataDxfId="26"/>
    <tableColumn id="5" xr3:uid="{8D8E6B17-4E75-4A23-8A4C-2CA59592A127}" uniqueName="5" name="Column5" queryTableFieldId="5" dataDxfId="25"/>
    <tableColumn id="6" xr3:uid="{602926FE-B5C6-45B1-82E1-C04507BCADCE}" uniqueName="6" name="Column6" queryTableFieldId="6" dataDxfId="24"/>
    <tableColumn id="7" xr3:uid="{10D8A4AD-4443-40D3-A0B9-408806D696C9}" uniqueName="7" name="Column7" queryTableFieldId="7" dataDxfId="23"/>
    <tableColumn id="8" xr3:uid="{D7E1F25E-F46B-460C-928A-97AF8BA45F38}" uniqueName="8" name="Column8" queryTableFieldId="8" dataDxfId="22"/>
    <tableColumn id="9" xr3:uid="{A7A81D4A-9257-4D32-B059-9FD9558732AF}" uniqueName="9" name="Column9" queryTableFieldId="9" dataDxfId="21"/>
    <tableColumn id="10" xr3:uid="{BD56299B-998B-44F0-8DBA-054F09234941}" uniqueName="10" name="Column10" queryTableFieldId="10" dataDxfId="20"/>
    <tableColumn id="11" xr3:uid="{84B53321-6558-4779-B386-0D8488851D10}" uniqueName="11" name="Column11" queryTableFieldId="11" dataDxfId="19"/>
    <tableColumn id="12" xr3:uid="{A4E30487-5AB3-4008-A621-E04112E5C41E}" uniqueName="12" name="Column12" queryTableFieldId="12" dataDxfId="18"/>
    <tableColumn id="13" xr3:uid="{3041CC4B-5D10-4616-94A6-0B6263EA0C4F}" uniqueName="13" name="Column13" queryTableFieldId="13" dataDxfId="17"/>
    <tableColumn id="14" xr3:uid="{50B6B195-5BFA-4AF2-9313-68C6EAF68DD3}" uniqueName="14" name="Column14" queryTableFieldId="14" dataDxf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B99D5D-44A7-4CA8-81F0-EF09D63B39EF}" name="Table_1" displayName="Table_1" ref="A1:O29" tableType="queryTable" totalsRowShown="0" headerRowDxfId="77" dataDxfId="76">
  <autoFilter ref="A1:O29" xr:uid="{3EB99D5D-44A7-4CA8-81F0-EF09D63B39EF}"/>
  <tableColumns count="15">
    <tableColumn id="1" xr3:uid="{46D1A245-6851-40F6-9502-97E22B93CC01}" uniqueName="1" name="Particulars" queryTableFieldId="1" dataDxfId="75"/>
    <tableColumn id="3" xr3:uid="{4916ED59-5918-4967-99AF-270DF9F90148}" uniqueName="3" name="Mar 2013" queryTableFieldId="3" dataDxfId="74" dataCellStyle="Comma"/>
    <tableColumn id="4" xr3:uid="{A4D8BAD8-FB4C-4381-9D15-517B848B98ED}" uniqueName="4" name="Mar 2014" queryTableFieldId="4" dataDxfId="73" dataCellStyle="Comma"/>
    <tableColumn id="5" xr3:uid="{3054EE19-F313-44A0-A963-B2B4A220A74A}" uniqueName="5" name="Mar 2015" queryTableFieldId="5" dataDxfId="72" dataCellStyle="Comma"/>
    <tableColumn id="6" xr3:uid="{8849C1F8-AD66-447F-9EA4-92D9B627B517}" uniqueName="6" name="Mar 2016" queryTableFieldId="6" dataDxfId="71" dataCellStyle="Comma"/>
    <tableColumn id="7" xr3:uid="{948FA0F6-38A9-4DF5-9C91-1CFA7CD77389}" uniqueName="7" name="Mar 2017" queryTableFieldId="7" dataDxfId="70" dataCellStyle="Comma"/>
    <tableColumn id="8" xr3:uid="{4B6F56F7-F1BD-4998-BA47-8933F8E9CB49}" uniqueName="8" name="Mar 2018" queryTableFieldId="8" dataDxfId="69" dataCellStyle="Comma"/>
    <tableColumn id="9" xr3:uid="{DD2DCC06-DBB4-4E14-9AB8-567CAC6A05B5}" uniqueName="9" name="Mar 2019" queryTableFieldId="9" dataDxfId="68" dataCellStyle="Comma"/>
    <tableColumn id="10" xr3:uid="{913FFFF6-DBDB-411D-84B8-2E263B2CFC29}" uniqueName="10" name="Mar 2020" queryTableFieldId="10" dataDxfId="67" dataCellStyle="Comma"/>
    <tableColumn id="11" xr3:uid="{D06A0BFA-9FD5-42FD-BD02-5BE642FDB4B3}" uniqueName="11" name="Mar 2021" queryTableFieldId="11" dataDxfId="66" dataCellStyle="Comma"/>
    <tableColumn id="12" xr3:uid="{D5C0F47A-BBF2-4C3F-B454-8FA63541171B}" uniqueName="12" name="Mar 2022" queryTableFieldId="12" dataDxfId="65" dataCellStyle="Comma"/>
    <tableColumn id="13" xr3:uid="{2BAC2F87-C558-4534-B716-BF1FD56166FD}" uniqueName="13" name="Mar 2023" queryTableFieldId="13" dataDxfId="64" dataCellStyle="Comma"/>
    <tableColumn id="16" xr3:uid="{383304AB-3CDA-4D33-8C2D-8CA37BA1035E}" uniqueName="16" name="Mar-24" queryTableFieldId="17" dataDxfId="63" dataCellStyle="Comma"/>
    <tableColumn id="14" xr3:uid="{7AE3E2B5-218B-4EB5-B234-62A8817B458E}" uniqueName="14" name="TTM" queryTableFieldId="14" dataDxfId="62" dataCellStyle="Comma"/>
    <tableColumn id="15" xr3:uid="{149299B1-6B17-49F7-94BB-8BD08F4A1556}" uniqueName="15" name="Growth" queryTableFieldId="15" dataDxfId="61" dataCellStyle="Percent">
      <calculatedColumnFormula>RATE(12,,-#REF!,Table_1[[#This Row],[TTM]])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93EBB-B7C2-4CA3-A6CD-BD1DA641CD0C}" name="Table_15" displayName="Table_15" ref="A1:N16" tableType="queryTable" totalsRowShown="0" headerRowDxfId="15" dataDxfId="14">
  <autoFilter ref="A1:N16" xr:uid="{37993EBB-B7C2-4CA3-A6CD-BD1DA641CD0C}"/>
  <tableColumns count="14">
    <tableColumn id="1" xr3:uid="{3CF8D684-98A2-4418-9965-1323FB18CBE6}" uniqueName="1" name="Particulars" queryTableFieldId="1" dataDxfId="13"/>
    <tableColumn id="3" xr3:uid="{7944CDD6-0BB6-4F4D-974C-75E4EE274D52}" uniqueName="3" name="Mar 2013" queryTableFieldId="3" dataDxfId="12" dataCellStyle="Comma"/>
    <tableColumn id="4" xr3:uid="{945BC71C-AD43-4472-8A5B-8ED448B053E3}" uniqueName="4" name="Mar 2014" queryTableFieldId="4" dataDxfId="11" dataCellStyle="Comma"/>
    <tableColumn id="5" xr3:uid="{4A6242D5-75F8-40A8-BD53-245AC9D03053}" uniqueName="5" name="Mar 2015" queryTableFieldId="5" dataDxfId="10" dataCellStyle="Comma"/>
    <tableColumn id="6" xr3:uid="{C2D729BB-1B92-4AE9-9FF9-F8B3BE7EC007}" uniqueName="6" name="Mar 2016" queryTableFieldId="6" dataDxfId="9" dataCellStyle="Comma"/>
    <tableColumn id="7" xr3:uid="{90EA6DF0-B774-463F-BAB3-6A16AAB16764}" uniqueName="7" name="Mar 2017" queryTableFieldId="7" dataDxfId="8" dataCellStyle="Comma"/>
    <tableColumn id="8" xr3:uid="{9A7CDD8D-A4B4-40D2-94FD-D65FF7E58CD7}" uniqueName="8" name="Mar 2018" queryTableFieldId="8" dataDxfId="7" dataCellStyle="Comma"/>
    <tableColumn id="9" xr3:uid="{4D13387A-B49D-4EB8-AE2D-A56A85A28A12}" uniqueName="9" name="Mar 2019" queryTableFieldId="9" dataDxfId="6" dataCellStyle="Comma"/>
    <tableColumn id="10" xr3:uid="{438F49F5-C825-46C8-8676-6A361625F99C}" uniqueName="10" name="Mar 2020" queryTableFieldId="10" dataDxfId="5" dataCellStyle="Comma"/>
    <tableColumn id="11" xr3:uid="{560A3365-2A35-4796-9DC7-4678C1716CDE}" uniqueName="11" name="Mar 2021" queryTableFieldId="11" dataDxfId="4" dataCellStyle="Comma"/>
    <tableColumn id="12" xr3:uid="{390E9962-7F6B-4BC5-9C99-E735181083A4}" uniqueName="12" name="Mar 2022" queryTableFieldId="12" dataDxfId="3" dataCellStyle="Comma"/>
    <tableColumn id="13" xr3:uid="{4F914D31-5467-411F-BF70-2BBD68434AF3}" uniqueName="13" name="Mar 2023" queryTableFieldId="13" dataDxfId="2" dataCellStyle="Comma"/>
    <tableColumn id="14" xr3:uid="{6421929E-EE69-4FB5-AB56-F2FE1F507FE3}" uniqueName="14" name="TTM" queryTableFieldId="14" dataDxfId="1" dataCellStyle="Comma"/>
    <tableColumn id="15" xr3:uid="{86832821-B201-466E-9998-8CAE17181701}" uniqueName="15" name="Growth" queryTableFieldId="15" dataDxfId="0" dataCellStyle="Percent">
      <calculatedColumnFormula>RATE(12,,-#REF!,Table_15[[#This Row],[TTM]])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6.emf"/><Relationship Id="rId4" Type="http://schemas.openxmlformats.org/officeDocument/2006/relationships/package" Target="../embeddings/Microsoft_Word_Document.docx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B98D1-4CFA-4F86-8E0B-DC58781B57AF}">
  <dimension ref="A1:N14"/>
  <sheetViews>
    <sheetView workbookViewId="0">
      <selection activeCell="N12" sqref="N12"/>
    </sheetView>
  </sheetViews>
  <sheetFormatPr defaultRowHeight="14.5" x14ac:dyDescent="0.35"/>
  <cols>
    <col min="1" max="1" width="16.36328125" bestFit="1" customWidth="1"/>
    <col min="2" max="9" width="10.54296875" bestFit="1" customWidth="1"/>
    <col min="10" max="14" width="11.54296875" bestFit="1" customWidth="1"/>
  </cols>
  <sheetData>
    <row r="1" spans="1:14" x14ac:dyDescent="0.35">
      <c r="A1" t="s">
        <v>80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</row>
    <row r="2" spans="1:14" x14ac:dyDescent="0.35">
      <c r="A2" t="s">
        <v>162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148</v>
      </c>
      <c r="N2" t="s">
        <v>12</v>
      </c>
    </row>
    <row r="3" spans="1:14" x14ac:dyDescent="0.35">
      <c r="A3" t="s">
        <v>163</v>
      </c>
      <c r="B3" t="s">
        <v>179</v>
      </c>
      <c r="C3" t="s">
        <v>180</v>
      </c>
      <c r="D3" t="s">
        <v>181</v>
      </c>
      <c r="E3" t="s">
        <v>182</v>
      </c>
      <c r="F3" t="s">
        <v>183</v>
      </c>
      <c r="G3" t="s">
        <v>184</v>
      </c>
      <c r="H3" t="s">
        <v>185</v>
      </c>
      <c r="I3" t="s">
        <v>186</v>
      </c>
      <c r="J3" t="s">
        <v>187</v>
      </c>
      <c r="K3" t="s">
        <v>188</v>
      </c>
      <c r="L3" t="s">
        <v>189</v>
      </c>
      <c r="M3" t="s">
        <v>190</v>
      </c>
      <c r="N3" t="s">
        <v>191</v>
      </c>
    </row>
    <row r="4" spans="1:14" x14ac:dyDescent="0.35">
      <c r="A4" t="s">
        <v>164</v>
      </c>
      <c r="B4" t="s">
        <v>192</v>
      </c>
      <c r="C4" t="s">
        <v>193</v>
      </c>
      <c r="D4" t="s">
        <v>194</v>
      </c>
      <c r="E4" t="s">
        <v>195</v>
      </c>
      <c r="F4" t="s">
        <v>196</v>
      </c>
      <c r="G4" t="s">
        <v>197</v>
      </c>
      <c r="H4" t="s">
        <v>198</v>
      </c>
      <c r="I4" t="s">
        <v>199</v>
      </c>
      <c r="J4" t="s">
        <v>200</v>
      </c>
      <c r="K4" t="s">
        <v>201</v>
      </c>
      <c r="L4" t="s">
        <v>202</v>
      </c>
      <c r="M4" t="s">
        <v>203</v>
      </c>
      <c r="N4" t="s">
        <v>204</v>
      </c>
    </row>
    <row r="5" spans="1:14" x14ac:dyDescent="0.35">
      <c r="A5" t="s">
        <v>165</v>
      </c>
      <c r="B5" t="s">
        <v>205</v>
      </c>
      <c r="C5" t="s">
        <v>206</v>
      </c>
      <c r="D5" t="s">
        <v>207</v>
      </c>
      <c r="E5" t="s">
        <v>208</v>
      </c>
      <c r="F5" t="s">
        <v>209</v>
      </c>
      <c r="G5" t="s">
        <v>210</v>
      </c>
      <c r="H5" t="s">
        <v>211</v>
      </c>
      <c r="I5" t="s">
        <v>212</v>
      </c>
      <c r="J5" t="s">
        <v>213</v>
      </c>
      <c r="K5" t="s">
        <v>214</v>
      </c>
      <c r="L5" t="s">
        <v>215</v>
      </c>
      <c r="M5" t="s">
        <v>216</v>
      </c>
      <c r="N5" t="s">
        <v>217</v>
      </c>
    </row>
    <row r="6" spans="1:14" x14ac:dyDescent="0.35">
      <c r="A6" t="s">
        <v>13</v>
      </c>
      <c r="B6" t="s">
        <v>218</v>
      </c>
      <c r="C6" t="s">
        <v>218</v>
      </c>
      <c r="D6" t="s">
        <v>219</v>
      </c>
      <c r="E6" t="s">
        <v>167</v>
      </c>
      <c r="F6" t="s">
        <v>167</v>
      </c>
      <c r="G6" t="s">
        <v>166</v>
      </c>
      <c r="H6" t="s">
        <v>167</v>
      </c>
      <c r="I6" t="s">
        <v>167</v>
      </c>
      <c r="J6" t="s">
        <v>168</v>
      </c>
      <c r="K6" t="s">
        <v>166</v>
      </c>
      <c r="L6" t="s">
        <v>166</v>
      </c>
      <c r="M6" t="s">
        <v>169</v>
      </c>
      <c r="N6" t="s">
        <v>168</v>
      </c>
    </row>
    <row r="7" spans="1:14" x14ac:dyDescent="0.35">
      <c r="A7" t="s">
        <v>170</v>
      </c>
      <c r="B7" t="s">
        <v>220</v>
      </c>
      <c r="C7" t="s">
        <v>221</v>
      </c>
      <c r="D7" t="s">
        <v>222</v>
      </c>
      <c r="E7" t="s">
        <v>223</v>
      </c>
      <c r="F7" t="s">
        <v>224</v>
      </c>
      <c r="G7" t="s">
        <v>225</v>
      </c>
      <c r="H7" t="s">
        <v>226</v>
      </c>
      <c r="I7" t="s">
        <v>227</v>
      </c>
      <c r="J7" t="s">
        <v>228</v>
      </c>
      <c r="K7" t="s">
        <v>229</v>
      </c>
      <c r="L7" t="s">
        <v>230</v>
      </c>
      <c r="M7" t="s">
        <v>231</v>
      </c>
      <c r="N7" t="s">
        <v>232</v>
      </c>
    </row>
    <row r="8" spans="1:14" x14ac:dyDescent="0.35">
      <c r="A8" t="s">
        <v>14</v>
      </c>
      <c r="B8" t="s">
        <v>233</v>
      </c>
      <c r="C8" t="s">
        <v>234</v>
      </c>
      <c r="D8" t="s">
        <v>235</v>
      </c>
      <c r="E8" t="s">
        <v>236</v>
      </c>
      <c r="F8" t="s">
        <v>237</v>
      </c>
      <c r="G8" t="s">
        <v>238</v>
      </c>
      <c r="H8" t="s">
        <v>239</v>
      </c>
      <c r="I8" t="s">
        <v>240</v>
      </c>
      <c r="J8" t="s">
        <v>241</v>
      </c>
      <c r="K8" t="s">
        <v>242</v>
      </c>
      <c r="L8" t="s">
        <v>243</v>
      </c>
      <c r="M8" t="s">
        <v>244</v>
      </c>
      <c r="N8" t="s">
        <v>245</v>
      </c>
    </row>
    <row r="9" spans="1:14" x14ac:dyDescent="0.35">
      <c r="A9" t="s">
        <v>15</v>
      </c>
      <c r="B9" t="s">
        <v>246</v>
      </c>
      <c r="C9" t="s">
        <v>247</v>
      </c>
      <c r="D9" t="s">
        <v>248</v>
      </c>
      <c r="E9" t="s">
        <v>249</v>
      </c>
      <c r="F9" t="s">
        <v>250</v>
      </c>
      <c r="G9" t="s">
        <v>251</v>
      </c>
      <c r="H9" t="s">
        <v>252</v>
      </c>
      <c r="I9" t="s">
        <v>253</v>
      </c>
      <c r="J9" t="s">
        <v>254</v>
      </c>
      <c r="K9" t="s">
        <v>255</v>
      </c>
      <c r="L9" t="s">
        <v>256</v>
      </c>
      <c r="M9" t="s">
        <v>257</v>
      </c>
      <c r="N9" t="s">
        <v>258</v>
      </c>
    </row>
    <row r="10" spans="1:14" x14ac:dyDescent="0.35">
      <c r="A10" t="s">
        <v>16</v>
      </c>
      <c r="B10" t="s">
        <v>259</v>
      </c>
      <c r="C10" t="s">
        <v>260</v>
      </c>
      <c r="D10" t="s">
        <v>261</v>
      </c>
      <c r="E10" t="s">
        <v>262</v>
      </c>
      <c r="F10" t="s">
        <v>263</v>
      </c>
      <c r="G10" t="s">
        <v>264</v>
      </c>
      <c r="H10" t="s">
        <v>265</v>
      </c>
      <c r="I10" t="s">
        <v>266</v>
      </c>
      <c r="J10" t="s">
        <v>267</v>
      </c>
      <c r="K10" t="s">
        <v>268</v>
      </c>
      <c r="L10" t="s">
        <v>269</v>
      </c>
      <c r="M10" t="s">
        <v>270</v>
      </c>
      <c r="N10" t="s">
        <v>271</v>
      </c>
    </row>
    <row r="11" spans="1:14" x14ac:dyDescent="0.35">
      <c r="A11" t="s">
        <v>17</v>
      </c>
      <c r="B11" t="s">
        <v>172</v>
      </c>
      <c r="C11" t="s">
        <v>272</v>
      </c>
      <c r="D11" t="s">
        <v>174</v>
      </c>
      <c r="E11" t="s">
        <v>175</v>
      </c>
      <c r="F11" t="s">
        <v>177</v>
      </c>
      <c r="G11" t="s">
        <v>273</v>
      </c>
      <c r="H11" t="s">
        <v>173</v>
      </c>
      <c r="I11" t="s">
        <v>274</v>
      </c>
      <c r="J11" t="s">
        <v>275</v>
      </c>
      <c r="K11" t="s">
        <v>171</v>
      </c>
      <c r="L11" t="s">
        <v>272</v>
      </c>
      <c r="M11" t="s">
        <v>177</v>
      </c>
      <c r="N11" t="s">
        <v>162</v>
      </c>
    </row>
    <row r="12" spans="1:14" x14ac:dyDescent="0.35">
      <c r="A12" t="s">
        <v>178</v>
      </c>
      <c r="B12" t="s">
        <v>276</v>
      </c>
      <c r="C12" t="s">
        <v>277</v>
      </c>
      <c r="D12" t="s">
        <v>278</v>
      </c>
      <c r="E12" t="s">
        <v>279</v>
      </c>
      <c r="F12" t="s">
        <v>280</v>
      </c>
      <c r="G12" t="s">
        <v>281</v>
      </c>
      <c r="H12" t="s">
        <v>282</v>
      </c>
      <c r="I12" t="s">
        <v>283</v>
      </c>
      <c r="J12" t="s">
        <v>284</v>
      </c>
      <c r="K12" t="s">
        <v>285</v>
      </c>
      <c r="L12" t="s">
        <v>286</v>
      </c>
      <c r="M12" t="s">
        <v>287</v>
      </c>
      <c r="N12" t="s">
        <v>288</v>
      </c>
    </row>
    <row r="13" spans="1:14" x14ac:dyDescent="0.35">
      <c r="A13" t="s">
        <v>18</v>
      </c>
      <c r="B13" t="s">
        <v>289</v>
      </c>
      <c r="C13" t="s">
        <v>290</v>
      </c>
      <c r="D13" t="s">
        <v>291</v>
      </c>
      <c r="E13" t="s">
        <v>292</v>
      </c>
      <c r="F13" t="s">
        <v>293</v>
      </c>
      <c r="G13" t="s">
        <v>294</v>
      </c>
      <c r="H13" t="s">
        <v>295</v>
      </c>
      <c r="I13" t="s">
        <v>296</v>
      </c>
      <c r="J13" t="s">
        <v>297</v>
      </c>
      <c r="K13" t="s">
        <v>298</v>
      </c>
      <c r="L13" t="s">
        <v>299</v>
      </c>
      <c r="M13" t="s">
        <v>300</v>
      </c>
      <c r="N13" t="s">
        <v>301</v>
      </c>
    </row>
    <row r="14" spans="1:14" x14ac:dyDescent="0.35">
      <c r="A14" t="s">
        <v>19</v>
      </c>
      <c r="B14" t="s">
        <v>302</v>
      </c>
      <c r="C14" t="s">
        <v>303</v>
      </c>
      <c r="D14" t="s">
        <v>303</v>
      </c>
      <c r="E14" t="s">
        <v>219</v>
      </c>
      <c r="F14" t="s">
        <v>176</v>
      </c>
      <c r="G14" t="s">
        <v>219</v>
      </c>
      <c r="H14" t="s">
        <v>219</v>
      </c>
      <c r="I14" t="s">
        <v>219</v>
      </c>
      <c r="J14" t="s">
        <v>304</v>
      </c>
      <c r="K14" t="s">
        <v>304</v>
      </c>
      <c r="L14" t="s">
        <v>304</v>
      </c>
      <c r="M14" t="s">
        <v>219</v>
      </c>
      <c r="N14" t="s">
        <v>162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BF5B-21AE-4B4B-BE09-7347D44FF81E}">
  <dimension ref="A1:N25"/>
  <sheetViews>
    <sheetView workbookViewId="0">
      <selection activeCell="A18" sqref="A18"/>
    </sheetView>
  </sheetViews>
  <sheetFormatPr defaultRowHeight="14.5" x14ac:dyDescent="0.35"/>
  <cols>
    <col min="1" max="1" width="24.7265625" customWidth="1"/>
    <col min="2" max="10" width="11.7265625" bestFit="1" customWidth="1"/>
    <col min="11" max="13" width="13.26953125" bestFit="1" customWidth="1"/>
  </cols>
  <sheetData>
    <row r="1" spans="1:14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35">
      <c r="A2" t="s">
        <v>81</v>
      </c>
      <c r="B2">
        <v>17</v>
      </c>
      <c r="C2">
        <v>9</v>
      </c>
      <c r="D2">
        <v>8</v>
      </c>
      <c r="E2">
        <v>5</v>
      </c>
      <c r="F2">
        <v>6</v>
      </c>
      <c r="G2">
        <v>10</v>
      </c>
      <c r="H2">
        <v>16</v>
      </c>
      <c r="I2">
        <v>19</v>
      </c>
      <c r="J2">
        <v>12</v>
      </c>
      <c r="K2">
        <v>15</v>
      </c>
      <c r="L2">
        <v>12</v>
      </c>
      <c r="M2">
        <v>12</v>
      </c>
    </row>
    <row r="3" spans="1:14" x14ac:dyDescent="0.35">
      <c r="A3" t="s">
        <v>82</v>
      </c>
      <c r="B3">
        <v>57</v>
      </c>
      <c r="C3">
        <v>60</v>
      </c>
      <c r="D3">
        <v>57</v>
      </c>
      <c r="E3">
        <v>66</v>
      </c>
      <c r="F3">
        <v>90</v>
      </c>
      <c r="G3">
        <v>84</v>
      </c>
      <c r="H3">
        <v>83</v>
      </c>
      <c r="I3">
        <v>63</v>
      </c>
      <c r="J3">
        <v>67</v>
      </c>
      <c r="K3">
        <v>102</v>
      </c>
      <c r="L3">
        <v>83</v>
      </c>
      <c r="M3">
        <v>87</v>
      </c>
    </row>
    <row r="4" spans="1:14" x14ac:dyDescent="0.35">
      <c r="A4" t="s">
        <v>83</v>
      </c>
      <c r="B4">
        <v>49</v>
      </c>
      <c r="C4">
        <v>55</v>
      </c>
      <c r="D4">
        <v>61</v>
      </c>
      <c r="E4">
        <v>74</v>
      </c>
      <c r="F4">
        <v>117</v>
      </c>
      <c r="G4">
        <v>132</v>
      </c>
      <c r="H4">
        <v>146</v>
      </c>
      <c r="I4">
        <v>100</v>
      </c>
      <c r="J4">
        <v>87</v>
      </c>
      <c r="K4">
        <v>136</v>
      </c>
      <c r="L4">
        <v>123</v>
      </c>
      <c r="M4">
        <v>91</v>
      </c>
    </row>
    <row r="5" spans="1:14" x14ac:dyDescent="0.35">
      <c r="A5" t="s">
        <v>84</v>
      </c>
      <c r="B5">
        <f>+B2+B3-B4</f>
        <v>25</v>
      </c>
      <c r="C5">
        <f>+C2+C3-C4</f>
        <v>14</v>
      </c>
      <c r="D5">
        <f t="shared" ref="D5:M5" si="0">+D2+D3-D4</f>
        <v>4</v>
      </c>
      <c r="E5">
        <f t="shared" si="0"/>
        <v>-3</v>
      </c>
      <c r="F5">
        <f t="shared" si="0"/>
        <v>-21</v>
      </c>
      <c r="G5">
        <f t="shared" si="0"/>
        <v>-38</v>
      </c>
      <c r="H5">
        <f t="shared" si="0"/>
        <v>-47</v>
      </c>
      <c r="I5">
        <f t="shared" si="0"/>
        <v>-18</v>
      </c>
      <c r="J5">
        <f t="shared" si="0"/>
        <v>-8</v>
      </c>
      <c r="K5">
        <f t="shared" si="0"/>
        <v>-19</v>
      </c>
      <c r="L5">
        <f t="shared" si="0"/>
        <v>-28</v>
      </c>
      <c r="M5">
        <f t="shared" si="0"/>
        <v>8</v>
      </c>
    </row>
    <row r="6" spans="1:14" x14ac:dyDescent="0.35">
      <c r="A6" t="s">
        <v>85</v>
      </c>
      <c r="B6">
        <v>15</v>
      </c>
      <c r="C6">
        <v>-1</v>
      </c>
      <c r="D6">
        <v>-3</v>
      </c>
      <c r="E6">
        <v>-37</v>
      </c>
      <c r="F6">
        <v>-117</v>
      </c>
      <c r="G6">
        <v>-141</v>
      </c>
      <c r="H6">
        <v>-144</v>
      </c>
      <c r="I6">
        <v>-67</v>
      </c>
      <c r="J6">
        <v>-101</v>
      </c>
      <c r="K6">
        <v>12</v>
      </c>
      <c r="L6">
        <v>-13</v>
      </c>
      <c r="M6">
        <v>-9</v>
      </c>
    </row>
    <row r="7" spans="1:14" x14ac:dyDescent="0.35">
      <c r="A7" s="43" t="s">
        <v>86</v>
      </c>
      <c r="B7" s="43">
        <v>0.11</v>
      </c>
      <c r="C7" s="43">
        <v>0.1</v>
      </c>
      <c r="D7" s="43">
        <v>0.1</v>
      </c>
      <c r="E7" s="43">
        <v>0.09</v>
      </c>
      <c r="F7" s="43">
        <v>0.1</v>
      </c>
      <c r="G7" s="43">
        <v>0.1</v>
      </c>
      <c r="H7" s="43">
        <v>0.11</v>
      </c>
      <c r="I7" s="43">
        <v>0.12</v>
      </c>
      <c r="J7" s="43">
        <v>0.11</v>
      </c>
      <c r="K7" s="43">
        <v>0.08</v>
      </c>
      <c r="L7" s="43">
        <v>0.08</v>
      </c>
      <c r="M7" s="43">
        <v>0.09</v>
      </c>
    </row>
    <row r="8" spans="1:14" x14ac:dyDescent="0.3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</row>
    <row r="9" spans="1:14" ht="18.5" x14ac:dyDescent="0.45">
      <c r="A9" s="48" t="s">
        <v>47</v>
      </c>
      <c r="B9" s="44" t="e">
        <f>+('Income Statement'!#REF!/365)*B2</f>
        <v>#REF!</v>
      </c>
      <c r="C9" s="44">
        <f>+('Income Statement'!B2/365)*C2</f>
        <v>9763.3232876712318</v>
      </c>
      <c r="D9" s="44">
        <f>+('Income Statement'!C2/365)*D2</f>
        <v>9501.830136986302</v>
      </c>
      <c r="E9" s="44">
        <f>+('Income Statement'!D2/365)*E2</f>
        <v>5128.3835616438355</v>
      </c>
      <c r="F9" s="44">
        <f>+('Income Statement'!E2/365)*F2</f>
        <v>4480.8164383561643</v>
      </c>
      <c r="G9" s="44">
        <f>+('Income Statement'!F2/365)*G2</f>
        <v>8327.5068493150684</v>
      </c>
      <c r="H9" s="44">
        <f>+('Income Statement'!G2/365)*H2</f>
        <v>17131.967123287672</v>
      </c>
      <c r="I9" s="44">
        <f>+('Income Statement'!H2/365)*I2</f>
        <v>29584.665753424659</v>
      </c>
      <c r="J9" s="44">
        <f>+('Income Statement'!I2/365)*J2</f>
        <v>19616.843835616437</v>
      </c>
      <c r="K9" s="44">
        <f>+('Income Statement'!J2/365)*K2</f>
        <v>19163.301369863013</v>
      </c>
      <c r="L9" s="44">
        <f>+('Income Statement'!K2/365)*L2</f>
        <v>22838.564383561643</v>
      </c>
      <c r="M9" s="44">
        <f>+('Income Statement'!L2/365)*M2</f>
        <v>28813.019178082192</v>
      </c>
      <c r="N9" s="44"/>
    </row>
    <row r="10" spans="1:14" x14ac:dyDescent="0.35">
      <c r="A10" s="43" t="s">
        <v>46</v>
      </c>
      <c r="B10" s="49" t="e">
        <f>+('Income Statement'!#REF!/365)*B3</f>
        <v>#REF!</v>
      </c>
      <c r="C10" s="49">
        <f>+('Income Statement'!B3/365)*C3</f>
        <v>59638.684931506847</v>
      </c>
      <c r="D10" s="49">
        <f>+('Income Statement'!C3/365)*D3</f>
        <v>62244.936986301371</v>
      </c>
      <c r="E10" s="49">
        <f>+('Income Statement'!D3/365)*E3</f>
        <v>60923.063013698629</v>
      </c>
      <c r="F10" s="49">
        <f>+('Income Statement'!E3/365)*F3</f>
        <v>56910.082191780821</v>
      </c>
      <c r="G10" s="49">
        <f>+('Income Statement'!F3/365)*G3</f>
        <v>59294.10410958904</v>
      </c>
      <c r="H10" s="49">
        <f>+('Income Statement'!G3/365)*H3</f>
        <v>74247.024657534246</v>
      </c>
      <c r="I10" s="49">
        <f>+('Income Statement'!H3/365)*I3</f>
        <v>83554.742465753428</v>
      </c>
      <c r="J10" s="49">
        <f>+('Income Statement'!I3/365)*J3</f>
        <v>93141.56438356165</v>
      </c>
      <c r="K10" s="49">
        <f>+('Income Statement'!J3/365)*K3</f>
        <v>107733.51780821919</v>
      </c>
      <c r="L10" s="49">
        <f>+('Income Statement'!K3/365)*L3</f>
        <v>133275.71506849315</v>
      </c>
      <c r="M10" s="49">
        <f>+('Income Statement'!L3/365)*M3</f>
        <v>174972.01643835616</v>
      </c>
    </row>
    <row r="11" spans="1:14" x14ac:dyDescent="0.3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</row>
    <row r="12" spans="1:14" x14ac:dyDescent="0.35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</row>
    <row r="13" spans="1:14" x14ac:dyDescent="0.35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</row>
    <row r="14" spans="1:14" x14ac:dyDescent="0.35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</row>
    <row r="15" spans="1:14" x14ac:dyDescent="0.3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</row>
    <row r="16" spans="1:14" x14ac:dyDescent="0.3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</row>
    <row r="18" spans="1:13" x14ac:dyDescent="0.35">
      <c r="A18" t="s">
        <v>46</v>
      </c>
      <c r="B18" s="44" t="e">
        <f>+'Balance Sheet'!#REF!</f>
        <v>#REF!</v>
      </c>
      <c r="C18" s="44">
        <f>+'Balance Sheet'!B15</f>
        <v>54601</v>
      </c>
      <c r="D18" s="44">
        <f>+'Balance Sheet'!C15</f>
        <v>56720</v>
      </c>
      <c r="E18" s="44">
        <f>+'Balance Sheet'!D15</f>
        <v>53248</v>
      </c>
      <c r="F18" s="44">
        <f>+'Balance Sheet'!E15</f>
        <v>46486</v>
      </c>
      <c r="G18" s="44">
        <f>+'Balance Sheet'!F15</f>
        <v>48951</v>
      </c>
      <c r="H18" s="44">
        <f>+'Balance Sheet'!G15</f>
        <v>60837</v>
      </c>
      <c r="I18" s="44">
        <f>+'Balance Sheet'!H15</f>
        <v>67561</v>
      </c>
      <c r="J18" s="44">
        <f>+'Balance Sheet'!I15</f>
        <v>73903</v>
      </c>
      <c r="K18" s="44">
        <f>+'Balance Sheet'!J15</f>
        <v>81672</v>
      </c>
      <c r="L18" s="44">
        <f>+'Balance Sheet'!K15</f>
        <v>107778</v>
      </c>
      <c r="M18" s="44">
        <f>+'Balance Sheet'!L15</f>
        <v>140008</v>
      </c>
    </row>
    <row r="19" spans="1:13" x14ac:dyDescent="0.35">
      <c r="A19" t="s">
        <v>102</v>
      </c>
      <c r="B19" s="44" t="e">
        <f>+'Balance Sheet'!#REF!</f>
        <v>#REF!</v>
      </c>
      <c r="C19" s="44">
        <f>+'Balance Sheet'!B16</f>
        <v>9750</v>
      </c>
      <c r="D19" s="44">
        <f>+'Balance Sheet'!C16</f>
        <v>9411</v>
      </c>
      <c r="E19" s="44">
        <f>+'Balance Sheet'!D16</f>
        <v>5315</v>
      </c>
      <c r="F19" s="44">
        <f>+'Balance Sheet'!E16</f>
        <v>4465</v>
      </c>
      <c r="G19" s="44">
        <f>+'Balance Sheet'!F16</f>
        <v>8177</v>
      </c>
      <c r="H19" s="44">
        <f>+'Balance Sheet'!G16</f>
        <v>17555</v>
      </c>
      <c r="I19" s="44">
        <f>+'Balance Sheet'!H16</f>
        <v>30089</v>
      </c>
      <c r="J19" s="44">
        <f>+'Balance Sheet'!I16</f>
        <v>19656</v>
      </c>
      <c r="K19" s="44">
        <f>+'Balance Sheet'!J16</f>
        <v>19014</v>
      </c>
      <c r="L19" s="44">
        <f>+'Balance Sheet'!K16</f>
        <v>23640</v>
      </c>
      <c r="M19" s="44">
        <f>+'Balance Sheet'!L16</f>
        <v>28448</v>
      </c>
    </row>
    <row r="20" spans="1:13" x14ac:dyDescent="0.35">
      <c r="A20" s="6" t="s">
        <v>103</v>
      </c>
      <c r="B20" s="45" t="e">
        <f>+B18+B19</f>
        <v>#REF!</v>
      </c>
      <c r="C20" s="45">
        <f t="shared" ref="C20:M20" si="1">+C18+C19</f>
        <v>64351</v>
      </c>
      <c r="D20" s="45">
        <f t="shared" si="1"/>
        <v>66131</v>
      </c>
      <c r="E20" s="45">
        <f t="shared" si="1"/>
        <v>58563</v>
      </c>
      <c r="F20" s="45">
        <f t="shared" si="1"/>
        <v>50951</v>
      </c>
      <c r="G20" s="45">
        <f t="shared" si="1"/>
        <v>57128</v>
      </c>
      <c r="H20" s="45">
        <f t="shared" si="1"/>
        <v>78392</v>
      </c>
      <c r="I20" s="45">
        <f t="shared" si="1"/>
        <v>97650</v>
      </c>
      <c r="J20" s="45">
        <f t="shared" si="1"/>
        <v>93559</v>
      </c>
      <c r="K20" s="45">
        <f t="shared" si="1"/>
        <v>100686</v>
      </c>
      <c r="L20" s="45">
        <f t="shared" si="1"/>
        <v>131418</v>
      </c>
      <c r="M20" s="45">
        <f t="shared" si="1"/>
        <v>168456</v>
      </c>
    </row>
    <row r="21" spans="1:13" x14ac:dyDescent="0.35">
      <c r="A21" t="s">
        <v>104</v>
      </c>
      <c r="B21" s="44" t="e">
        <f>+'Balance Sheet'!#REF!</f>
        <v>#REF!</v>
      </c>
      <c r="C21" s="44">
        <f>+'Balance Sheet'!B8</f>
        <v>49700</v>
      </c>
      <c r="D21" s="44">
        <f>+'Balance Sheet'!C8</f>
        <v>60860</v>
      </c>
      <c r="E21" s="44">
        <f>+'Balance Sheet'!D8</f>
        <v>59407</v>
      </c>
      <c r="F21" s="44">
        <f>+'Balance Sheet'!E8</f>
        <v>60296</v>
      </c>
      <c r="G21" s="44">
        <f>+'Balance Sheet'!F8</f>
        <v>76595</v>
      </c>
      <c r="H21" s="44">
        <f>+'Balance Sheet'!G8</f>
        <v>106861</v>
      </c>
      <c r="I21" s="44">
        <f>+'Balance Sheet'!H8</f>
        <v>108309</v>
      </c>
      <c r="J21" s="44">
        <f>+'Balance Sheet'!I8</f>
        <v>96799</v>
      </c>
      <c r="K21" s="44">
        <f>+'Balance Sheet'!J8</f>
        <v>108897</v>
      </c>
      <c r="L21" s="44">
        <f>+'Balance Sheet'!K8</f>
        <v>159330</v>
      </c>
      <c r="M21" s="44">
        <f>+'Balance Sheet'!L8</f>
        <v>147172</v>
      </c>
    </row>
    <row r="22" spans="1:13" x14ac:dyDescent="0.35">
      <c r="A22" s="6" t="s">
        <v>105</v>
      </c>
      <c r="B22" s="45" t="e">
        <f>+B20-B21</f>
        <v>#REF!</v>
      </c>
      <c r="C22" s="45">
        <f t="shared" ref="C22:M22" si="2">+C20-C21</f>
        <v>14651</v>
      </c>
      <c r="D22" s="45">
        <f t="shared" si="2"/>
        <v>5271</v>
      </c>
      <c r="E22" s="45">
        <f t="shared" si="2"/>
        <v>-844</v>
      </c>
      <c r="F22" s="45">
        <f t="shared" si="2"/>
        <v>-9345</v>
      </c>
      <c r="G22" s="45">
        <f t="shared" si="2"/>
        <v>-19467</v>
      </c>
      <c r="H22" s="45">
        <f t="shared" si="2"/>
        <v>-28469</v>
      </c>
      <c r="I22" s="45">
        <f t="shared" si="2"/>
        <v>-10659</v>
      </c>
      <c r="J22" s="45">
        <f t="shared" si="2"/>
        <v>-3240</v>
      </c>
      <c r="K22" s="45">
        <f t="shared" si="2"/>
        <v>-8211</v>
      </c>
      <c r="L22" s="45">
        <f t="shared" si="2"/>
        <v>-27912</v>
      </c>
      <c r="M22" s="45">
        <f t="shared" si="2"/>
        <v>21284</v>
      </c>
    </row>
    <row r="23" spans="1:13" x14ac:dyDescent="0.35">
      <c r="A23" t="s">
        <v>106</v>
      </c>
      <c r="B23" s="46" t="e">
        <f>+B21-B22</f>
        <v>#REF!</v>
      </c>
      <c r="C23" t="e">
        <f t="shared" ref="C23:M23" si="3">+(C22+B22)/2</f>
        <v>#REF!</v>
      </c>
      <c r="D23">
        <f t="shared" si="3"/>
        <v>9961</v>
      </c>
      <c r="E23">
        <f t="shared" si="3"/>
        <v>2213.5</v>
      </c>
      <c r="F23">
        <f t="shared" si="3"/>
        <v>-5094.5</v>
      </c>
      <c r="G23">
        <f t="shared" si="3"/>
        <v>-14406</v>
      </c>
      <c r="H23">
        <f t="shared" si="3"/>
        <v>-23968</v>
      </c>
      <c r="I23">
        <f t="shared" si="3"/>
        <v>-19564</v>
      </c>
      <c r="J23">
        <f t="shared" si="3"/>
        <v>-6949.5</v>
      </c>
      <c r="K23">
        <f t="shared" si="3"/>
        <v>-5725.5</v>
      </c>
      <c r="L23">
        <f t="shared" si="3"/>
        <v>-18061.5</v>
      </c>
      <c r="M23">
        <f t="shared" si="3"/>
        <v>-3314</v>
      </c>
    </row>
    <row r="24" spans="1:13" x14ac:dyDescent="0.35">
      <c r="A24" s="6" t="s">
        <v>107</v>
      </c>
      <c r="B24" s="44" t="e">
        <f>+'Income Statement'!#REF!</f>
        <v>#REF!</v>
      </c>
      <c r="C24" s="44">
        <f>+'Income Statement'!B2</f>
        <v>395957</v>
      </c>
      <c r="D24" s="44">
        <f>+'Income Statement'!C2</f>
        <v>433521</v>
      </c>
      <c r="E24" s="44">
        <f>+'Income Statement'!D2</f>
        <v>374372</v>
      </c>
      <c r="F24" s="44">
        <f>+'Income Statement'!E2</f>
        <v>272583</v>
      </c>
      <c r="G24" s="44">
        <f>+'Income Statement'!F2</f>
        <v>303954</v>
      </c>
      <c r="H24" s="44">
        <f>+'Income Statement'!G2</f>
        <v>390823</v>
      </c>
      <c r="I24" s="44">
        <f>+'Income Statement'!H2</f>
        <v>568337</v>
      </c>
      <c r="J24" s="44">
        <f>+'Income Statement'!I2</f>
        <v>596679</v>
      </c>
      <c r="K24" s="44">
        <f>+'Income Statement'!J2</f>
        <v>466307</v>
      </c>
      <c r="L24" s="44">
        <f>+'Income Statement'!K2</f>
        <v>694673</v>
      </c>
      <c r="M24" s="44">
        <f>+'Income Statement'!L2</f>
        <v>876396</v>
      </c>
    </row>
    <row r="25" spans="1:13" x14ac:dyDescent="0.35">
      <c r="A25" t="s">
        <v>108</v>
      </c>
      <c r="B25" s="47" t="e">
        <f>+B23*365/B24</f>
        <v>#REF!</v>
      </c>
      <c r="C25" s="47" t="e">
        <f t="shared" ref="C25:M25" si="4">+C23*365/C24</f>
        <v>#REF!</v>
      </c>
      <c r="D25" s="47">
        <f t="shared" si="4"/>
        <v>8.3865948823701739</v>
      </c>
      <c r="E25" s="47">
        <f t="shared" si="4"/>
        <v>2.158087410383255</v>
      </c>
      <c r="F25" s="47">
        <f t="shared" si="4"/>
        <v>-6.8217478712905795</v>
      </c>
      <c r="G25" s="47">
        <f t="shared" si="4"/>
        <v>-17.299295288102805</v>
      </c>
      <c r="H25" s="47">
        <f t="shared" si="4"/>
        <v>-22.384353019141656</v>
      </c>
      <c r="I25" s="47">
        <f t="shared" si="4"/>
        <v>-12.564481988679251</v>
      </c>
      <c r="J25" s="47">
        <f t="shared" si="4"/>
        <v>-4.2511425741479085</v>
      </c>
      <c r="K25" s="47">
        <f t="shared" si="4"/>
        <v>-4.481612971711769</v>
      </c>
      <c r="L25" s="47">
        <f t="shared" si="4"/>
        <v>-9.4900010508541435</v>
      </c>
      <c r="M25" s="47">
        <f t="shared" si="4"/>
        <v>-1.3802094030552399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494F3-EF92-456B-865A-103E7AE301E8}">
  <dimension ref="A1:M7"/>
  <sheetViews>
    <sheetView workbookViewId="0">
      <selection activeCell="C18" sqref="C18"/>
    </sheetView>
  </sheetViews>
  <sheetFormatPr defaultRowHeight="14.5" x14ac:dyDescent="0.35"/>
  <cols>
    <col min="1" max="1" width="17.54296875" bestFit="1" customWidth="1"/>
    <col min="2" max="3" width="10.54296875" bestFit="1" customWidth="1"/>
    <col min="4" max="4" width="11" bestFit="1" customWidth="1"/>
    <col min="5" max="5" width="10.453125" bestFit="1" customWidth="1"/>
    <col min="6" max="7" width="10.54296875" bestFit="1" customWidth="1"/>
    <col min="8" max="8" width="11" bestFit="1" customWidth="1"/>
    <col min="9" max="9" width="10.453125" bestFit="1" customWidth="1"/>
    <col min="10" max="11" width="10.54296875" bestFit="1" customWidth="1"/>
    <col min="12" max="12" width="11" bestFit="1" customWidth="1"/>
    <col min="13" max="13" width="10.453125" bestFit="1" customWidth="1"/>
  </cols>
  <sheetData>
    <row r="1" spans="1:13" x14ac:dyDescent="0.35">
      <c r="A1" t="s">
        <v>80</v>
      </c>
      <c r="B1" t="s">
        <v>87</v>
      </c>
      <c r="C1" t="s">
        <v>88</v>
      </c>
      <c r="D1" t="s">
        <v>9</v>
      </c>
      <c r="E1" t="s">
        <v>89</v>
      </c>
      <c r="F1" t="s">
        <v>90</v>
      </c>
      <c r="G1" t="s">
        <v>91</v>
      </c>
      <c r="H1" t="s">
        <v>10</v>
      </c>
      <c r="I1" t="s">
        <v>92</v>
      </c>
      <c r="J1" t="s">
        <v>93</v>
      </c>
      <c r="K1" t="s">
        <v>94</v>
      </c>
      <c r="L1" t="s">
        <v>11</v>
      </c>
      <c r="M1" t="s">
        <v>95</v>
      </c>
    </row>
    <row r="2" spans="1:13" x14ac:dyDescent="0.35">
      <c r="A2" t="s">
        <v>96</v>
      </c>
      <c r="B2">
        <v>0.50490000000000002</v>
      </c>
      <c r="C2">
        <v>0.50539999999999996</v>
      </c>
      <c r="D2">
        <v>0.50580000000000003</v>
      </c>
      <c r="E2">
        <v>0.50590000000000002</v>
      </c>
      <c r="F2">
        <v>0.50609999999999999</v>
      </c>
      <c r="G2">
        <v>0.50609999999999999</v>
      </c>
      <c r="H2">
        <v>0.50660000000000005</v>
      </c>
      <c r="I2">
        <v>0.50619999999999998</v>
      </c>
      <c r="J2">
        <v>0.50560000000000005</v>
      </c>
      <c r="K2">
        <v>0.50490000000000002</v>
      </c>
      <c r="L2">
        <v>0.50409999999999999</v>
      </c>
      <c r="M2">
        <v>0.50390000000000001</v>
      </c>
    </row>
    <row r="3" spans="1:13" x14ac:dyDescent="0.35">
      <c r="A3" t="s">
        <v>97</v>
      </c>
      <c r="B3">
        <v>0.25230000000000002</v>
      </c>
      <c r="C3">
        <v>0.25180000000000002</v>
      </c>
      <c r="D3">
        <v>0.25659999999999999</v>
      </c>
      <c r="E3">
        <v>0.25109999999999999</v>
      </c>
      <c r="F3">
        <v>0.25409999999999999</v>
      </c>
      <c r="G3">
        <v>0.2475</v>
      </c>
      <c r="H3">
        <v>0.24229999999999999</v>
      </c>
      <c r="I3">
        <v>0.23899999999999999</v>
      </c>
      <c r="J3">
        <v>0.23580000000000001</v>
      </c>
      <c r="K3">
        <v>0.23480000000000001</v>
      </c>
      <c r="L3">
        <v>0.22489999999999999</v>
      </c>
      <c r="M3">
        <v>0.22550000000000001</v>
      </c>
    </row>
    <row r="4" spans="1:13" x14ac:dyDescent="0.35">
      <c r="A4" t="s">
        <v>98</v>
      </c>
      <c r="B4">
        <v>0.13150000000000001</v>
      </c>
      <c r="C4">
        <v>0.129</v>
      </c>
      <c r="D4">
        <v>0.12620000000000001</v>
      </c>
      <c r="E4">
        <v>0.13089999999999999</v>
      </c>
      <c r="F4">
        <v>0.13200000000000001</v>
      </c>
      <c r="G4">
        <v>0.13619999999999999</v>
      </c>
      <c r="H4">
        <v>0.14230000000000001</v>
      </c>
      <c r="I4">
        <v>0.1467</v>
      </c>
      <c r="J4">
        <v>0.14910000000000001</v>
      </c>
      <c r="K4">
        <v>0.15260000000000001</v>
      </c>
      <c r="L4">
        <v>0.16059999999999999</v>
      </c>
      <c r="M4">
        <v>0.1613</v>
      </c>
    </row>
    <row r="5" spans="1:13" x14ac:dyDescent="0.35">
      <c r="A5" t="s">
        <v>99</v>
      </c>
      <c r="B5">
        <v>2E-3</v>
      </c>
      <c r="C5">
        <v>2E-3</v>
      </c>
      <c r="D5">
        <v>2E-3</v>
      </c>
      <c r="E5">
        <v>1.8E-3</v>
      </c>
      <c r="F5">
        <v>1.8E-3</v>
      </c>
      <c r="G5">
        <v>1.6999999999999999E-3</v>
      </c>
      <c r="H5">
        <v>1.6999999999999999E-3</v>
      </c>
      <c r="I5">
        <v>1.6999999999999999E-3</v>
      </c>
      <c r="J5">
        <v>1.6000000000000001E-3</v>
      </c>
      <c r="K5">
        <v>1.6000000000000001E-3</v>
      </c>
      <c r="L5">
        <v>1.6000000000000001E-3</v>
      </c>
      <c r="M5">
        <v>1.6999999999999999E-3</v>
      </c>
    </row>
    <row r="6" spans="1:13" x14ac:dyDescent="0.35">
      <c r="A6" t="s">
        <v>100</v>
      </c>
      <c r="B6">
        <v>0.10929999999999999</v>
      </c>
      <c r="C6">
        <v>0.1119</v>
      </c>
      <c r="D6">
        <v>0.1094</v>
      </c>
      <c r="E6">
        <v>0.1103</v>
      </c>
      <c r="F6">
        <v>0.106</v>
      </c>
      <c r="G6">
        <v>0.1085</v>
      </c>
      <c r="H6">
        <v>0.1071</v>
      </c>
      <c r="I6">
        <v>0.10639999999999999</v>
      </c>
      <c r="J6">
        <v>0.10780000000000001</v>
      </c>
      <c r="K6">
        <v>0.10589999999999999</v>
      </c>
      <c r="L6">
        <v>0.1089</v>
      </c>
      <c r="M6">
        <v>0.1076</v>
      </c>
    </row>
    <row r="7" spans="1:13" x14ac:dyDescent="0.35">
      <c r="A7" t="s">
        <v>101</v>
      </c>
      <c r="B7">
        <v>2795739</v>
      </c>
      <c r="C7">
        <v>3132451</v>
      </c>
      <c r="D7">
        <v>3031272</v>
      </c>
      <c r="E7">
        <v>3204334</v>
      </c>
      <c r="F7">
        <v>3043511</v>
      </c>
      <c r="G7">
        <v>3306662</v>
      </c>
      <c r="H7">
        <v>3327847</v>
      </c>
      <c r="I7">
        <v>3306732</v>
      </c>
      <c r="J7">
        <v>3485825</v>
      </c>
      <c r="K7">
        <v>3362915</v>
      </c>
      <c r="L7">
        <v>3639396</v>
      </c>
      <c r="M7">
        <v>3506867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1699-D7DC-401A-BBA2-49A62CE42113}">
  <dimension ref="A1:N12"/>
  <sheetViews>
    <sheetView topLeftCell="A2" workbookViewId="0">
      <selection activeCell="A2" sqref="A1:XFD1048576"/>
    </sheetView>
  </sheetViews>
  <sheetFormatPr defaultRowHeight="14.5" x14ac:dyDescent="0.35"/>
  <cols>
    <col min="1" max="1" width="18.26953125" customWidth="1"/>
    <col min="2" max="9" width="10.54296875" bestFit="1" customWidth="1"/>
    <col min="10" max="14" width="11.54296875" bestFit="1" customWidth="1"/>
  </cols>
  <sheetData>
    <row r="1" spans="1:14" hidden="1" x14ac:dyDescent="0.35">
      <c r="A1" t="s">
        <v>80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</row>
    <row r="2" spans="1:14" x14ac:dyDescent="0.35">
      <c r="A2" t="s">
        <v>162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148</v>
      </c>
      <c r="N2" t="s">
        <v>307</v>
      </c>
    </row>
    <row r="3" spans="1:14" x14ac:dyDescent="0.35">
      <c r="A3" t="s">
        <v>308</v>
      </c>
      <c r="B3" t="s">
        <v>309</v>
      </c>
      <c r="C3" t="s">
        <v>310</v>
      </c>
      <c r="D3" t="s">
        <v>311</v>
      </c>
      <c r="E3" t="s">
        <v>312</v>
      </c>
      <c r="F3" t="s">
        <v>313</v>
      </c>
      <c r="G3" t="s">
        <v>314</v>
      </c>
      <c r="H3" t="s">
        <v>315</v>
      </c>
      <c r="I3" t="s">
        <v>316</v>
      </c>
      <c r="J3" t="s">
        <v>317</v>
      </c>
      <c r="K3" t="s">
        <v>318</v>
      </c>
      <c r="L3" t="s">
        <v>319</v>
      </c>
      <c r="M3" t="s">
        <v>319</v>
      </c>
      <c r="N3" t="s">
        <v>319</v>
      </c>
    </row>
    <row r="4" spans="1:14" x14ac:dyDescent="0.35">
      <c r="A4" t="s">
        <v>20</v>
      </c>
      <c r="B4" t="s">
        <v>320</v>
      </c>
      <c r="C4" t="s">
        <v>321</v>
      </c>
      <c r="D4" t="s">
        <v>322</v>
      </c>
      <c r="E4" t="s">
        <v>323</v>
      </c>
      <c r="F4" t="s">
        <v>324</v>
      </c>
      <c r="G4" t="s">
        <v>325</v>
      </c>
      <c r="H4" t="s">
        <v>326</v>
      </c>
      <c r="I4" t="s">
        <v>327</v>
      </c>
      <c r="J4" t="s">
        <v>328</v>
      </c>
      <c r="K4" t="s">
        <v>329</v>
      </c>
      <c r="L4" t="s">
        <v>330</v>
      </c>
      <c r="M4" t="s">
        <v>331</v>
      </c>
      <c r="N4" t="s">
        <v>332</v>
      </c>
    </row>
    <row r="5" spans="1:14" x14ac:dyDescent="0.35">
      <c r="A5" t="s">
        <v>333</v>
      </c>
      <c r="B5" t="s">
        <v>334</v>
      </c>
      <c r="C5" t="s">
        <v>335</v>
      </c>
      <c r="D5" t="s">
        <v>336</v>
      </c>
      <c r="E5" t="s">
        <v>337</v>
      </c>
      <c r="F5" t="s">
        <v>338</v>
      </c>
      <c r="G5" t="s">
        <v>339</v>
      </c>
      <c r="H5" t="s">
        <v>340</v>
      </c>
      <c r="I5" t="s">
        <v>341</v>
      </c>
      <c r="J5" t="s">
        <v>342</v>
      </c>
      <c r="K5" t="s">
        <v>343</v>
      </c>
      <c r="L5" t="s">
        <v>344</v>
      </c>
      <c r="M5" t="s">
        <v>345</v>
      </c>
      <c r="N5" t="s">
        <v>346</v>
      </c>
    </row>
    <row r="6" spans="1:14" x14ac:dyDescent="0.35">
      <c r="A6" t="s">
        <v>347</v>
      </c>
      <c r="B6" t="s">
        <v>348</v>
      </c>
      <c r="C6" t="s">
        <v>349</v>
      </c>
      <c r="D6" t="s">
        <v>350</v>
      </c>
      <c r="E6" t="s">
        <v>351</v>
      </c>
      <c r="F6" t="s">
        <v>352</v>
      </c>
      <c r="G6" t="s">
        <v>353</v>
      </c>
      <c r="H6" t="s">
        <v>354</v>
      </c>
      <c r="I6" t="s">
        <v>355</v>
      </c>
      <c r="J6" t="s">
        <v>356</v>
      </c>
      <c r="K6" t="s">
        <v>357</v>
      </c>
      <c r="L6" t="s">
        <v>358</v>
      </c>
      <c r="M6" t="s">
        <v>359</v>
      </c>
      <c r="N6" t="s">
        <v>360</v>
      </c>
    </row>
    <row r="7" spans="1:14" x14ac:dyDescent="0.35">
      <c r="A7" t="s">
        <v>21</v>
      </c>
      <c r="B7" t="s">
        <v>361</v>
      </c>
      <c r="C7" t="s">
        <v>362</v>
      </c>
      <c r="D7" t="s">
        <v>363</v>
      </c>
      <c r="E7" t="s">
        <v>364</v>
      </c>
      <c r="F7" t="s">
        <v>365</v>
      </c>
      <c r="G7" t="s">
        <v>366</v>
      </c>
      <c r="H7" t="s">
        <v>367</v>
      </c>
      <c r="I7" t="s">
        <v>368</v>
      </c>
      <c r="J7" t="s">
        <v>369</v>
      </c>
      <c r="K7" t="s">
        <v>370</v>
      </c>
      <c r="L7" t="s">
        <v>371</v>
      </c>
      <c r="M7" t="s">
        <v>372</v>
      </c>
      <c r="N7" t="s">
        <v>373</v>
      </c>
    </row>
    <row r="8" spans="1:14" x14ac:dyDescent="0.35">
      <c r="A8" t="s">
        <v>374</v>
      </c>
      <c r="B8" t="s">
        <v>375</v>
      </c>
      <c r="C8" t="s">
        <v>376</v>
      </c>
      <c r="D8" t="s">
        <v>377</v>
      </c>
      <c r="E8" t="s">
        <v>378</v>
      </c>
      <c r="F8" t="s">
        <v>379</v>
      </c>
      <c r="G8" t="s">
        <v>380</v>
      </c>
      <c r="H8" t="s">
        <v>381</v>
      </c>
      <c r="I8" t="s">
        <v>382</v>
      </c>
      <c r="J8" t="s">
        <v>383</v>
      </c>
      <c r="K8" t="s">
        <v>384</v>
      </c>
      <c r="L8" t="s">
        <v>385</v>
      </c>
      <c r="M8" t="s">
        <v>386</v>
      </c>
      <c r="N8" t="s">
        <v>387</v>
      </c>
    </row>
    <row r="9" spans="1:14" x14ac:dyDescent="0.35">
      <c r="A9" t="s">
        <v>22</v>
      </c>
      <c r="B9" t="s">
        <v>388</v>
      </c>
      <c r="C9" t="s">
        <v>389</v>
      </c>
      <c r="D9" t="s">
        <v>390</v>
      </c>
      <c r="E9" t="s">
        <v>391</v>
      </c>
      <c r="F9" t="s">
        <v>392</v>
      </c>
      <c r="G9" t="s">
        <v>393</v>
      </c>
      <c r="H9" t="s">
        <v>394</v>
      </c>
      <c r="I9" t="s">
        <v>395</v>
      </c>
      <c r="J9" t="s">
        <v>396</v>
      </c>
      <c r="K9" t="s">
        <v>397</v>
      </c>
      <c r="L9" t="s">
        <v>398</v>
      </c>
      <c r="M9" t="s">
        <v>399</v>
      </c>
      <c r="N9" t="s">
        <v>400</v>
      </c>
    </row>
    <row r="10" spans="1:14" x14ac:dyDescent="0.35">
      <c r="A10" t="s">
        <v>23</v>
      </c>
      <c r="B10" t="s">
        <v>401</v>
      </c>
      <c r="C10" t="s">
        <v>402</v>
      </c>
      <c r="D10" t="s">
        <v>403</v>
      </c>
      <c r="E10" t="s">
        <v>404</v>
      </c>
      <c r="F10" t="s">
        <v>405</v>
      </c>
      <c r="G10" t="s">
        <v>406</v>
      </c>
      <c r="H10" t="s">
        <v>407</v>
      </c>
      <c r="I10" t="s">
        <v>408</v>
      </c>
      <c r="J10" t="s">
        <v>409</v>
      </c>
      <c r="K10" t="s">
        <v>410</v>
      </c>
      <c r="L10" t="s">
        <v>411</v>
      </c>
      <c r="M10" t="s">
        <v>412</v>
      </c>
      <c r="N10" t="s">
        <v>413</v>
      </c>
    </row>
    <row r="11" spans="1:14" x14ac:dyDescent="0.35">
      <c r="A11" t="s">
        <v>414</v>
      </c>
      <c r="B11" t="s">
        <v>415</v>
      </c>
      <c r="C11" t="s">
        <v>416</v>
      </c>
      <c r="D11" t="s">
        <v>417</v>
      </c>
      <c r="E11" t="s">
        <v>418</v>
      </c>
      <c r="F11" t="s">
        <v>419</v>
      </c>
      <c r="G11" t="s">
        <v>420</v>
      </c>
      <c r="H11" t="s">
        <v>421</v>
      </c>
      <c r="I11" t="s">
        <v>422</v>
      </c>
      <c r="J11" t="s">
        <v>423</v>
      </c>
      <c r="K11" t="s">
        <v>424</v>
      </c>
      <c r="L11" t="s">
        <v>425</v>
      </c>
      <c r="M11" t="s">
        <v>426</v>
      </c>
      <c r="N11" t="s">
        <v>427</v>
      </c>
    </row>
    <row r="12" spans="1:14" x14ac:dyDescent="0.35">
      <c r="A12" t="s">
        <v>24</v>
      </c>
      <c r="B12" t="s">
        <v>361</v>
      </c>
      <c r="C12" t="s">
        <v>362</v>
      </c>
      <c r="D12" t="s">
        <v>363</v>
      </c>
      <c r="E12" t="s">
        <v>364</v>
      </c>
      <c r="F12" t="s">
        <v>365</v>
      </c>
      <c r="G12" t="s">
        <v>366</v>
      </c>
      <c r="H12" t="s">
        <v>367</v>
      </c>
      <c r="I12" t="s">
        <v>368</v>
      </c>
      <c r="J12" t="s">
        <v>369</v>
      </c>
      <c r="K12" t="s">
        <v>370</v>
      </c>
      <c r="L12" t="s">
        <v>371</v>
      </c>
      <c r="M12" t="s">
        <v>372</v>
      </c>
      <c r="N12" t="s">
        <v>373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6EEC-92C3-4213-ABCC-DAE1FEE145CF}">
  <dimension ref="A1:AB32"/>
  <sheetViews>
    <sheetView zoomScale="56" workbookViewId="0">
      <pane xSplit="1" topLeftCell="B1" activePane="topRight" state="frozen"/>
      <selection pane="topRight" activeCell="B3" sqref="B3"/>
    </sheetView>
  </sheetViews>
  <sheetFormatPr defaultColWidth="8.7265625" defaultRowHeight="18.5" x14ac:dyDescent="0.45"/>
  <cols>
    <col min="1" max="1" width="33.81640625" style="1" customWidth="1"/>
    <col min="2" max="2" width="11.90625" style="71" customWidth="1"/>
    <col min="3" max="3" width="12.1796875" style="1" customWidth="1"/>
    <col min="4" max="4" width="14.08984375" style="1" customWidth="1"/>
    <col min="5" max="5" width="12.7265625" style="1" customWidth="1"/>
    <col min="6" max="6" width="13.26953125" style="1" customWidth="1"/>
    <col min="7" max="7" width="14" style="1" customWidth="1"/>
    <col min="8" max="8" width="11" style="1" bestFit="1" customWidth="1"/>
    <col min="9" max="10" width="12.26953125" style="1" bestFit="1" customWidth="1"/>
    <col min="11" max="11" width="12" style="1" customWidth="1"/>
    <col min="12" max="12" width="14.26953125" style="1" bestFit="1" customWidth="1"/>
    <col min="13" max="14" width="14.26953125" style="1" customWidth="1"/>
    <col min="15" max="15" width="8.7265625" style="1" customWidth="1"/>
    <col min="16" max="16384" width="8.7265625" style="1"/>
  </cols>
  <sheetData>
    <row r="1" spans="1:28" x14ac:dyDescent="0.45">
      <c r="A1" s="32" t="s">
        <v>53</v>
      </c>
      <c r="B1" s="67"/>
      <c r="C1" s="32"/>
      <c r="D1" s="32"/>
      <c r="E1" s="32"/>
      <c r="F1" s="32"/>
      <c r="G1" s="32"/>
      <c r="H1" s="32"/>
      <c r="I1" s="32"/>
      <c r="J1" s="32"/>
      <c r="K1" s="32"/>
      <c r="L1" s="32"/>
      <c r="M1" s="64"/>
      <c r="N1" s="64"/>
    </row>
    <row r="2" spans="1:28" x14ac:dyDescent="0.45">
      <c r="A2" s="32" t="s">
        <v>54</v>
      </c>
      <c r="B2" s="68">
        <v>2013</v>
      </c>
      <c r="C2" s="41">
        <v>2014</v>
      </c>
      <c r="D2" s="41">
        <v>2015</v>
      </c>
      <c r="E2" s="41">
        <v>2016</v>
      </c>
      <c r="F2" s="41">
        <v>2017</v>
      </c>
      <c r="G2" s="41">
        <v>2018</v>
      </c>
      <c r="H2" s="42">
        <v>2019</v>
      </c>
      <c r="I2" s="42">
        <v>2020</v>
      </c>
      <c r="J2" s="42">
        <v>2021</v>
      </c>
      <c r="K2" s="42">
        <v>2022</v>
      </c>
      <c r="L2" s="42">
        <v>2023</v>
      </c>
      <c r="M2" s="82">
        <v>2024</v>
      </c>
      <c r="N2" s="65">
        <v>45536</v>
      </c>
      <c r="O2" s="25" t="s">
        <v>79</v>
      </c>
      <c r="P2" s="21"/>
      <c r="Q2" s="21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 x14ac:dyDescent="0.45">
      <c r="A3" s="32" t="s">
        <v>55</v>
      </c>
      <c r="B3" s="33">
        <f>+'Balance Sheet'!B5/'Balance Sheet'!B4</f>
        <v>0.58893740902474523</v>
      </c>
      <c r="C3" s="33">
        <f>+'Balance Sheet'!C5/'Balance Sheet'!C4</f>
        <v>0.69838992988972604</v>
      </c>
      <c r="D3" s="33">
        <f>+'Balance Sheet'!D5/'Balance Sheet'!D4</f>
        <v>0.77003098412349713</v>
      </c>
      <c r="E3" s="33">
        <f>+'Balance Sheet'!E5/'Balance Sheet'!E4</f>
        <v>0.8408937794745116</v>
      </c>
      <c r="F3" s="33">
        <f>+'Balance Sheet'!F5/'Balance Sheet'!F4</f>
        <v>0.82467795941738808</v>
      </c>
      <c r="G3" s="33">
        <f>+'Balance Sheet'!G5/'Balance Sheet'!G4</f>
        <v>0.81716557753504182</v>
      </c>
      <c r="H3" s="33">
        <f>+'Balance Sheet'!H5/'Balance Sheet'!H4</f>
        <v>0.79489656740168224</v>
      </c>
      <c r="I3" s="33">
        <f>+'Balance Sheet'!I5/'Balance Sheet'!I4</f>
        <v>0.79064978204049285</v>
      </c>
      <c r="J3" s="33">
        <f>+'Balance Sheet'!J5/'Balance Sheet'!J4</f>
        <v>0.39841924555680602</v>
      </c>
      <c r="K3" s="33">
        <f>+'Balance Sheet'!K5/'Balance Sheet'!K4</f>
        <v>0.40944726325715053</v>
      </c>
      <c r="L3" s="33">
        <f>+'Balance Sheet'!L5/'Balance Sheet'!L4</f>
        <v>0.63092843413347632</v>
      </c>
      <c r="M3" s="33">
        <f>+'Balance Sheet'!M5/'Balance Sheet'!M4</f>
        <v>0.57845241410947457</v>
      </c>
      <c r="N3" s="33">
        <f>+'Balance Sheet'!N5/'Balance Sheet'!N4</f>
        <v>0.43629713967732131</v>
      </c>
      <c r="O3" s="22" t="s">
        <v>123</v>
      </c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x14ac:dyDescent="0.45">
      <c r="A4" s="32" t="s">
        <v>56</v>
      </c>
      <c r="B4" s="34">
        <f>+'Income Statement'!B11/'Income Statement'!B12</f>
        <v>8.0918278948888247</v>
      </c>
      <c r="C4" s="34">
        <f>+'Income Statement'!C11/'Income Statement'!C12</f>
        <v>7.8837330552659024</v>
      </c>
      <c r="D4" s="34">
        <f>+'Income Statement'!D11/'Income Statement'!D12</f>
        <v>9.8778648974668268</v>
      </c>
      <c r="E4" s="34">
        <f>+'Income Statement'!E11/'Income Statement'!E12</f>
        <v>11.504199403955568</v>
      </c>
      <c r="F4" s="34">
        <f>+'Income Statement'!F11/'Income Statement'!F12</f>
        <v>11.430501428942582</v>
      </c>
      <c r="G4" s="34">
        <f>+'Income Statement'!G11/'Income Statement'!G12</f>
        <v>7.1556135121708895</v>
      </c>
      <c r="H4" s="34">
        <f>+'Income Statement'!H11/'Income Statement'!H12</f>
        <v>4.3531373143376779</v>
      </c>
      <c r="I4" s="34">
        <f>+'Income Statement'!I11/'Income Statement'!I12</f>
        <v>3.6470695056067552</v>
      </c>
      <c r="J4" s="34">
        <f>+'Income Statement'!J11/'Income Statement'!J12</f>
        <v>3.3536740761715986</v>
      </c>
      <c r="K4" s="34">
        <f>+'Income Statement'!K11/'Income Statement'!K12</f>
        <v>6.4479566648381788</v>
      </c>
      <c r="L4" s="34">
        <f>+'Income Statement'!L11/'Income Statement'!L12</f>
        <v>5.8133462776557154</v>
      </c>
      <c r="M4" s="34">
        <f>+'Income Statement'!M11/'Income Statement'!M12</f>
        <v>5.5415693399082961</v>
      </c>
      <c r="N4" s="34">
        <f>+'Income Statement'!N11/'Income Statement'!N12</f>
        <v>5.3825759162303664</v>
      </c>
      <c r="O4" s="22" t="s">
        <v>71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x14ac:dyDescent="0.45">
      <c r="A5" s="32" t="s">
        <v>57</v>
      </c>
      <c r="B5" s="35">
        <f>+'Income Statement'!B8</f>
        <v>9.9137027505511968E-2</v>
      </c>
      <c r="C5" s="35">
        <f>+'Income Statement'!C8</f>
        <v>9.5596291759799404E-2</v>
      </c>
      <c r="D5" s="35">
        <f>+'Income Statement'!D8</f>
        <v>0.11833684143044886</v>
      </c>
      <c r="E5" s="35">
        <f>+'Income Statement'!E8</f>
        <v>0.19820384983656356</v>
      </c>
      <c r="F5" s="35">
        <f>+'Income Statement'!F8</f>
        <v>0.18306059469524993</v>
      </c>
      <c r="G5" s="35">
        <f>+'Income Statement'!G8</f>
        <v>0.19017048638386175</v>
      </c>
      <c r="H5" s="35">
        <f>+'Income Statement'!H8</f>
        <v>0.16317607335084641</v>
      </c>
      <c r="I5" s="35">
        <f>+'Income Statement'!I8</f>
        <v>0.17184616854288487</v>
      </c>
      <c r="J5" s="35">
        <f>+'Income Statement'!J8</f>
        <v>0.20937493968565773</v>
      </c>
      <c r="K5" s="35">
        <f>+'Income Statement'!K8</f>
        <v>0.1782406974216646</v>
      </c>
      <c r="L5" s="35">
        <f>+'Income Statement'!L8</f>
        <v>0.17580637063610513</v>
      </c>
      <c r="M5" s="35">
        <f>+'Income Statement'!M8</f>
        <v>0.19903652892359747</v>
      </c>
      <c r="N5" s="35">
        <f>+'Income Statement'!N8</f>
        <v>0.19336843158076178</v>
      </c>
      <c r="O5" s="22" t="s">
        <v>72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x14ac:dyDescent="0.45">
      <c r="A6" s="32" t="s">
        <v>58</v>
      </c>
      <c r="B6" s="35">
        <f>+'Income Statement'!B11/'Income Statement'!B2</f>
        <v>7.0770310917599638E-2</v>
      </c>
      <c r="C6" s="35">
        <f>+'Income Statement'!C11/'Income Statement'!C2</f>
        <v>6.9759019747601611E-2</v>
      </c>
      <c r="D6" s="35">
        <f>+'Income Statement'!D11/'Income Statement'!D2</f>
        <v>8.7493188593164017E-2</v>
      </c>
      <c r="E6" s="35">
        <f>+'Income Statement'!E11/'Income Statement'!E2</f>
        <v>0.15577640571862517</v>
      </c>
      <c r="F6" s="35">
        <f>+'Income Statement'!F11/'Income Statement'!F2</f>
        <v>0.14474558650322089</v>
      </c>
      <c r="G6" s="35">
        <f>+'Income Statement'!G11/'Income Statement'!G2</f>
        <v>0.14742479332076158</v>
      </c>
      <c r="H6" s="35">
        <f>+'Income Statement'!H11/'Income Statement'!H2</f>
        <v>0.12634229339282854</v>
      </c>
      <c r="I6" s="35">
        <f>+'Income Statement'!I11/'Income Statement'!I2</f>
        <v>0.13463520586445979</v>
      </c>
      <c r="J6" s="35">
        <f>+'Income Statement'!J11/'Income Statement'!J2</f>
        <v>0.15239102136575261</v>
      </c>
      <c r="K6" s="35">
        <f>+'Income Statement'!K11/'Income Statement'!K2</f>
        <v>0.13536872744442349</v>
      </c>
      <c r="L6" s="35">
        <f>+'Income Statement'!L11/'Income Statement'!L2</f>
        <v>0.12981916850373576</v>
      </c>
      <c r="M6" s="35">
        <f>+'Income Statement'!M11/'Income Statement'!M2</f>
        <v>0.14249628214953489</v>
      </c>
      <c r="N6" s="35">
        <f>+'Income Statement'!N11/'Income Statement'!N2</f>
        <v>0.13673526714178402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x14ac:dyDescent="0.45">
      <c r="A7" s="32" t="s">
        <v>429</v>
      </c>
      <c r="B7" s="84">
        <f>+'Balance Sheet'!B4/'Income Statement'!B27</f>
        <v>264.28885722496284</v>
      </c>
      <c r="C7" s="84">
        <f>+'Balance Sheet'!C4/'Income Statement'!C27</f>
        <v>288.14164139954647</v>
      </c>
      <c r="D7" s="84">
        <f>+'Balance Sheet'!D4/'Income Statement'!D27</f>
        <v>316.53890605109058</v>
      </c>
      <c r="E7" s="84">
        <f>+'Balance Sheet'!E4/'Income Statement'!E27</f>
        <v>334.97578349302404</v>
      </c>
      <c r="F7" s="84">
        <f>+'Balance Sheet'!F4/'Income Statement'!F27</f>
        <v>380.20450787599077</v>
      </c>
      <c r="G7" s="84">
        <f>+'Balance Sheet'!G4/'Income Statement'!G27</f>
        <v>434.38074400554405</v>
      </c>
      <c r="H7" s="84">
        <f>+'Balance Sheet'!H4/'Income Statement'!H27</f>
        <v>572.53227240577951</v>
      </c>
      <c r="I7" s="84">
        <f>+'Balance Sheet'!I4/'Income Statement'!I27</f>
        <v>664.26440006098494</v>
      </c>
      <c r="J7" s="84">
        <f>+'Balance Sheet'!J4/'Income Statement'!J27</f>
        <v>1104.5295961569777</v>
      </c>
      <c r="K7" s="84">
        <f>+'Balance Sheet'!K4/'Income Statement'!K27</f>
        <v>1152.3100881311259</v>
      </c>
      <c r="L7" s="84">
        <f>+'Balance Sheet'!L4/'Income Statement'!L27</f>
        <v>1058.106510749303</v>
      </c>
      <c r="M7" s="84">
        <f>+'Balance Sheet'!M4/'Income Statement'!M27</f>
        <v>586.46045824094608</v>
      </c>
      <c r="N7" s="84">
        <f>+'Balance Sheet'!N4/'Income Statement'!N27</f>
        <v>605.6563192904656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x14ac:dyDescent="0.45">
      <c r="A8" s="32" t="s">
        <v>59</v>
      </c>
      <c r="B8" s="72">
        <f>+'Income Statement'!B2/(('Balance Sheet'!B21))</f>
        <v>1.0927262340730275</v>
      </c>
      <c r="C8" s="72">
        <f>+'Income Statement'!C2/(('Balance Sheet'!C21+'Balance Sheet'!B21)/2)</f>
        <v>1.0958569261880688</v>
      </c>
      <c r="D8" s="72">
        <f>+'Income Statement'!D2/(('Balance Sheet'!D21+'Balance Sheet'!C21)/2)</f>
        <v>0.80222943892239496</v>
      </c>
      <c r="E8" s="72">
        <f>+'Income Statement'!E2/(('Balance Sheet'!E21+'Balance Sheet'!D21)/2)</f>
        <v>0.49404114064285537</v>
      </c>
      <c r="F8" s="72">
        <f>+'Income Statement'!F2/(('Balance Sheet'!F21+'Balance Sheet'!E21)/2)</f>
        <v>0.46554485031769821</v>
      </c>
      <c r="G8" s="72">
        <f>+'Income Statement'!G2/(('Balance Sheet'!G21+'Balance Sheet'!F21)/2)</f>
        <v>0.51489287419923258</v>
      </c>
      <c r="H8" s="72">
        <f>+'Income Statement'!H2/(('Balance Sheet'!H21+'Balance Sheet'!G21)/2)</f>
        <v>0.62837753047012468</v>
      </c>
      <c r="I8" s="72">
        <f>+'Income Statement'!I2/(('Balance Sheet'!I21+'Balance Sheet'!H21)/2)</f>
        <v>0.55231562797220279</v>
      </c>
      <c r="J8" s="72">
        <f>+'Income Statement'!J2/(('Balance Sheet'!J21+'Balance Sheet'!I21)/2)</f>
        <v>0.37558757671923576</v>
      </c>
      <c r="K8" s="72">
        <f>+'Income Statement'!K2/(('Balance Sheet'!K21+'Balance Sheet'!J21)/2)</f>
        <v>0.49290538467023831</v>
      </c>
      <c r="L8" s="72">
        <f>+'Income Statement'!L2/(('Balance Sheet'!L21+'Balance Sheet'!K21)/2)</f>
        <v>0.56459647016077286</v>
      </c>
      <c r="M8" s="72">
        <f>+'Income Statement'!M2/(('Balance Sheet'!M21+'Balance Sheet'!L21)/2)</f>
        <v>0.53499537330441271</v>
      </c>
      <c r="N8" s="72">
        <f>+'Income Statement'!N2/(('Balance Sheet'!N21+'Balance Sheet'!M21)/2)</f>
        <v>0.52649466930295497</v>
      </c>
      <c r="O8" s="22" t="s">
        <v>73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x14ac:dyDescent="0.45">
      <c r="A9" s="32" t="s">
        <v>60</v>
      </c>
      <c r="B9" s="72">
        <f>+('Balance Sheet'!B15+'Balance Sheet'!B16)/'Balance Sheet'!B8</f>
        <v>1.2947887323943661</v>
      </c>
      <c r="C9" s="72">
        <f>+('Balance Sheet'!C15+'Balance Sheet'!C16)/'Balance Sheet'!C8</f>
        <v>1.0866086099244168</v>
      </c>
      <c r="D9" s="72">
        <f>+('Balance Sheet'!D15+'Balance Sheet'!D16)/'Balance Sheet'!D8</f>
        <v>0.98579292002625951</v>
      </c>
      <c r="E9" s="72">
        <f>+('Balance Sheet'!E15+'Balance Sheet'!E16)/'Balance Sheet'!E8</f>
        <v>0.8450145946663129</v>
      </c>
      <c r="F9" s="72">
        <f>+('Balance Sheet'!F15+'Balance Sheet'!F16)/'Balance Sheet'!F8</f>
        <v>0.74584502904889349</v>
      </c>
      <c r="G9" s="72">
        <f>+('Balance Sheet'!G15+'Balance Sheet'!G16)/'Balance Sheet'!G8</f>
        <v>0.73358849346347121</v>
      </c>
      <c r="H9" s="72">
        <f>+('Balance Sheet'!H15+'Balance Sheet'!H16)/'Balance Sheet'!H8</f>
        <v>0.90158712572362409</v>
      </c>
      <c r="I9" s="72">
        <f>+('Balance Sheet'!I15+'Balance Sheet'!I16)/'Balance Sheet'!I8</f>
        <v>0.96652857984070084</v>
      </c>
      <c r="J9" s="72">
        <f>+('Balance Sheet'!J15+'Balance Sheet'!J16)/'Balance Sheet'!J8</f>
        <v>0.92459847378715665</v>
      </c>
      <c r="K9" s="72">
        <f>+('Balance Sheet'!K15+'Balance Sheet'!K16)/'Balance Sheet'!K8</f>
        <v>0.8248164187535304</v>
      </c>
      <c r="L9" s="121">
        <f>+BS!C23/BS!C46</f>
        <v>1.0746772526614494</v>
      </c>
      <c r="M9" s="121">
        <f>+BS!B23/BS!B46</f>
        <v>1.1830373433123536</v>
      </c>
      <c r="N9" s="72">
        <f>+('Balance Sheet'!N15+'Balance Sheet'!N16)/'Balance Sheet'!N8</f>
        <v>1.0882523807354081</v>
      </c>
      <c r="O9" s="22" t="s">
        <v>74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x14ac:dyDescent="0.45">
      <c r="A10" s="32" t="s">
        <v>61</v>
      </c>
      <c r="B10" s="67"/>
      <c r="C10" s="36"/>
      <c r="D10" s="36"/>
      <c r="E10" s="36" t="s">
        <v>36</v>
      </c>
      <c r="F10" s="36" t="s">
        <v>36</v>
      </c>
      <c r="G10" s="36"/>
      <c r="H10" s="36"/>
      <c r="I10" s="36"/>
      <c r="J10" s="36"/>
      <c r="K10" s="36"/>
      <c r="L10" s="36"/>
      <c r="M10" s="36"/>
      <c r="N10" s="36"/>
      <c r="O10" s="22" t="s">
        <v>75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x14ac:dyDescent="0.45">
      <c r="A11" s="32" t="s">
        <v>62</v>
      </c>
      <c r="B11" s="67"/>
      <c r="C11" s="36"/>
      <c r="D11" s="36"/>
      <c r="E11" s="36" t="s">
        <v>36</v>
      </c>
      <c r="F11" s="36" t="s">
        <v>36</v>
      </c>
      <c r="G11" s="36"/>
      <c r="H11" s="36"/>
      <c r="I11" s="36"/>
      <c r="J11" s="36"/>
      <c r="K11" s="36"/>
      <c r="L11" s="36"/>
      <c r="M11" s="36"/>
      <c r="N11" s="36"/>
      <c r="O11" s="23" t="s">
        <v>36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x14ac:dyDescent="0.45">
      <c r="A12" s="32" t="s">
        <v>63</v>
      </c>
      <c r="B12" s="69">
        <f>+'Income Statement'!B2/'Balance Sheet'!B16</f>
        <v>40.61097435897436</v>
      </c>
      <c r="C12" s="37">
        <f>+'Income Statement'!C2/(('Balance Sheet'!C16+'Balance Sheet'!B16)/2)</f>
        <v>45.250352278064817</v>
      </c>
      <c r="D12" s="37">
        <f>+'Income Statement'!D2/(('Balance Sheet'!D16+'Balance Sheet'!C16)/2)</f>
        <v>50.845035990764636</v>
      </c>
      <c r="E12" s="37">
        <f>+'Income Statement'!E2/(('Balance Sheet'!E16+'Balance Sheet'!D16)/2)</f>
        <v>55.742944785276073</v>
      </c>
      <c r="F12" s="37">
        <f>+'Income Statement'!F2/(('Balance Sheet'!F16+'Balance Sheet'!E16)/2)</f>
        <v>48.08637873754153</v>
      </c>
      <c r="G12" s="37">
        <f>+'Income Statement'!G2/(('Balance Sheet'!G16+'Balance Sheet'!F16)/2)</f>
        <v>30.376418467278096</v>
      </c>
      <c r="H12" s="37">
        <f>+'Income Statement'!H2/(('Balance Sheet'!H16+'Balance Sheet'!G16)/2)</f>
        <v>23.857652590042818</v>
      </c>
      <c r="I12" s="37">
        <f>+'Income Statement'!I2/(('Balance Sheet'!I16+'Balance Sheet'!H16)/2)</f>
        <v>23.989506483063625</v>
      </c>
      <c r="J12" s="37">
        <f>+'Income Statement'!J2/(('Balance Sheet'!J16+'Balance Sheet'!I16)/2)</f>
        <v>24.11724851305922</v>
      </c>
      <c r="K12" s="37">
        <f>+'Income Statement'!K2/(('Balance Sheet'!K16+'Balance Sheet'!J16)/2)</f>
        <v>32.572466826088998</v>
      </c>
      <c r="L12" s="37">
        <f>+'Income Statement'!L2/(('Balance Sheet'!L16+'Balance Sheet'!K16)/2)</f>
        <v>33.650591307018892</v>
      </c>
      <c r="M12" s="122">
        <f>'Profit &amp; Loss Account'!B5/(('Balance Sheet'!M16+'Balance Sheet'!L16)/2)</f>
        <v>33.295226047007127</v>
      </c>
      <c r="N12" s="37">
        <f>+'Income Statement'!N2/'Balance Sheet'!N16</f>
        <v>31.202084924139307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x14ac:dyDescent="0.45">
      <c r="A13" s="32" t="s">
        <v>64</v>
      </c>
      <c r="B13" s="69">
        <f t="shared" ref="B13:N13" si="0">365/B12</f>
        <v>8.9877183633576365</v>
      </c>
      <c r="C13" s="34">
        <f t="shared" si="0"/>
        <v>8.0662355456829093</v>
      </c>
      <c r="D13" s="34">
        <f t="shared" si="0"/>
        <v>7.1786752214375005</v>
      </c>
      <c r="E13" s="34">
        <f t="shared" si="0"/>
        <v>6.547913846424759</v>
      </c>
      <c r="F13" s="34">
        <f t="shared" si="0"/>
        <v>7.5905071162083733</v>
      </c>
      <c r="G13" s="34">
        <f t="shared" si="0"/>
        <v>12.015899780719149</v>
      </c>
      <c r="H13" s="34">
        <f t="shared" si="0"/>
        <v>15.299074316822589</v>
      </c>
      <c r="I13" s="34">
        <f t="shared" si="0"/>
        <v>15.21498577962355</v>
      </c>
      <c r="J13" s="34">
        <f t="shared" si="0"/>
        <v>15.134396438397879</v>
      </c>
      <c r="K13" s="34">
        <f t="shared" si="0"/>
        <v>11.205783152648799</v>
      </c>
      <c r="L13" s="34">
        <f t="shared" si="0"/>
        <v>10.846763335295917</v>
      </c>
      <c r="M13" s="34">
        <f t="shared" si="0"/>
        <v>10.962532571026333</v>
      </c>
      <c r="N13" s="34">
        <f t="shared" si="0"/>
        <v>11.697936240075416</v>
      </c>
      <c r="O13" s="23">
        <f>+AVERAGE(B13:L13)</f>
        <v>10.735268445147186</v>
      </c>
      <c r="P13" s="22" t="s">
        <v>76</v>
      </c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x14ac:dyDescent="0.45">
      <c r="A14" s="32" t="s">
        <v>65</v>
      </c>
      <c r="B14" s="35">
        <f>+'Income Statement'!B17/'Income Statement'!B2</f>
        <v>5.2748151945792091E-2</v>
      </c>
      <c r="C14" s="35">
        <f>+'Income Statement'!C17/'Income Statement'!C2</f>
        <v>5.2011321250873661E-2</v>
      </c>
      <c r="D14" s="35">
        <f>+'Income Statement'!D17/'Income Statement'!D2</f>
        <v>6.3145748079450392E-2</v>
      </c>
      <c r="E14" s="35">
        <f>+'Income Statement'!E17/'Income Statement'!E2</f>
        <v>0.10954828437576812</v>
      </c>
      <c r="F14" s="35">
        <f>+'Income Statement'!F17/'Income Statement'!F2</f>
        <v>9.8149720023424591E-2</v>
      </c>
      <c r="G14" s="35">
        <f>+'Income Statement'!G17/'Income Statement'!G2</f>
        <v>9.2318005849195153E-2</v>
      </c>
      <c r="H14" s="35">
        <f>+'Income Statement'!H17/'Income Statement'!H2</f>
        <v>7.0093975933293098E-2</v>
      </c>
      <c r="I14" s="35">
        <f>+'Income Statement'!I17/'Income Statement'!I2</f>
        <v>6.6836607288005778E-2</v>
      </c>
      <c r="J14" s="35">
        <f>+'Income Statement'!J17/'Income Statement'!J2</f>
        <v>0.11524382005845935</v>
      </c>
      <c r="K14" s="35">
        <f>+'Income Statement'!K17/'Income Statement'!K2</f>
        <v>9.7664656608217104E-2</v>
      </c>
      <c r="L14" s="35">
        <f>+'Income Statement'!L17/'Income Statement'!L2</f>
        <v>8.4537127052154507E-2</v>
      </c>
      <c r="M14" s="40">
        <f>+'Income Statement'!M17/'Income Statement'!M2</f>
        <v>8.789365557299389E-2</v>
      </c>
      <c r="N14" s="35">
        <f>+'Income Statement'!N17/'Income Statement'!N2</f>
        <v>8.5058276000757577E-2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x14ac:dyDescent="0.45">
      <c r="A15" s="32" t="s">
        <v>66</v>
      </c>
      <c r="B15" s="35">
        <f>+'Income Statement'!B11/'Balance Sheet'!B6</f>
        <v>9.6870095480409577E-2</v>
      </c>
      <c r="C15" s="38">
        <f>+'Income Statement'!C11/(('Balance Sheet'!C6+'Balance Sheet'!B6)/2)</f>
        <v>9.6508499781402274E-2</v>
      </c>
      <c r="D15" s="38">
        <f>+'Income Statement'!D11/(('Balance Sheet'!D6+'Balance Sheet'!C6)/2)</f>
        <v>9.0458686712749828E-2</v>
      </c>
      <c r="E15" s="38">
        <f>+'Income Statement'!E11/(('Balance Sheet'!E6+'Balance Sheet'!D6)/2)</f>
        <v>0.10445499495707362</v>
      </c>
      <c r="F15" s="38">
        <f>+'Income Statement'!F11/(('Balance Sheet'!F6+'Balance Sheet'!E6)/2)</f>
        <v>9.696579661338206E-2</v>
      </c>
      <c r="G15" s="38">
        <f>+'Income Statement'!G11/(('Balance Sheet'!G6+'Balance Sheet'!F6)/2)</f>
        <v>0.11358329398846563</v>
      </c>
      <c r="H15" s="38">
        <f>+'Income Statement'!H11/(('Balance Sheet'!H6+'Balance Sheet'!G6)/2)</f>
        <v>0.11692959065279786</v>
      </c>
      <c r="I15" s="38">
        <f>+'Income Statement'!I11/(('Balance Sheet'!I6+'Balance Sheet'!H6)/2)</f>
        <v>0.10717451846910699</v>
      </c>
      <c r="J15" s="38">
        <f>+'Income Statement'!J11/(('Balance Sheet'!J6+'Balance Sheet'!I6)/2)</f>
        <v>7.9690125729421857E-2</v>
      </c>
      <c r="K15" s="38">
        <f>+'Income Statement'!K11/(('Balance Sheet'!K6+'Balance Sheet'!J6)/2)</f>
        <v>9.0516932279065557E-2</v>
      </c>
      <c r="L15" s="38">
        <f>+'Income Statement'!L11/(('Balance Sheet'!L6+'Balance Sheet'!K6)/2)</f>
        <v>0.10040954399453883</v>
      </c>
      <c r="M15" s="38">
        <f>+'Income Statement'!M11/(('Balance Sheet'!M6+'Balance Sheet'!L6)/2)</f>
        <v>0.10587568305559321</v>
      </c>
      <c r="N15" s="38">
        <f>+'Income Statement'!N11/(('Balance Sheet'!N6+'Balance Sheet'!M6)/2)</f>
        <v>0.10579266912264093</v>
      </c>
      <c r="O15" s="22" t="s">
        <v>77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x14ac:dyDescent="0.45">
      <c r="A16" s="32" t="s">
        <v>67</v>
      </c>
      <c r="B16" s="38">
        <f>+'Income Statement'!B17/'Balance Sheet'!B4</f>
        <v>0.11472357254675784</v>
      </c>
      <c r="C16" s="38">
        <f>+'Income Statement'!C17/(('Balance Sheet'!B4+'Balance Sheet'!C4)/2)</f>
        <v>0.11844240982082355</v>
      </c>
      <c r="D16" s="38">
        <f>+'Income Statement'!D17/(('Balance Sheet'!C4+'Balance Sheet'!D4)/2)</f>
        <v>0.11333074455998043</v>
      </c>
      <c r="E16" s="38">
        <f>+'Income Statement'!E17/(('Balance Sheet'!D4+'Balance Sheet'!E4)/2)</f>
        <v>0.13269933674773082</v>
      </c>
      <c r="F16" s="38">
        <f>+'Income Statement'!F17/(('Balance Sheet'!E4+'Balance Sheet'!F4)/2)</f>
        <v>0.12047287815613864</v>
      </c>
      <c r="G16" s="38">
        <f>+'Income Statement'!G17/(('Balance Sheet'!F4+'Balance Sheet'!G4)/2)</f>
        <v>0.12950117997541344</v>
      </c>
      <c r="H16" s="38">
        <f>+'Income Statement'!H17/(('Balance Sheet'!G4+'Balance Sheet'!H4)/2)</f>
        <v>0.11706125903223247</v>
      </c>
      <c r="I16" s="38">
        <f>+'Income Statement'!I17/(('Balance Sheet'!H4+'Balance Sheet'!I4)/2)</f>
        <v>9.5374982960211796E-2</v>
      </c>
      <c r="J16" s="38">
        <f>+'Income Statement'!J17/(('Balance Sheet'!I4+'Balance Sheet'!J4)/2)</f>
        <v>9.351296137428676E-2</v>
      </c>
      <c r="K16" s="38">
        <f>+'Income Statement'!K17/(('Balance Sheet'!J4+'Balance Sheet'!K4)/2)</f>
        <v>9.1703685381139002E-2</v>
      </c>
      <c r="L16" s="38">
        <f>+'Income Statement'!L17/(('Balance Sheet'!K4+'Balance Sheet'!L4)/2)</f>
        <v>9.90907188049409E-2</v>
      </c>
      <c r="M16" s="38">
        <f>+'Income Statement'!M17/(('Balance Sheet'!L4+'Balance Sheet'!M4)/2)</f>
        <v>0.10470711622794668</v>
      </c>
      <c r="N16" s="38">
        <f>+'Income Statement'!N17/(('Balance Sheet'!M4+'Balance Sheet'!N4)/2)</f>
        <v>9.9124948695978876E-2</v>
      </c>
      <c r="O16" s="22" t="s">
        <v>77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x14ac:dyDescent="0.45">
      <c r="A17" s="32" t="s">
        <v>68</v>
      </c>
      <c r="B17" s="69">
        <f>+'Income Statement'!B18</f>
        <v>30.31</v>
      </c>
      <c r="C17" s="69">
        <f>+'Income Statement'!C18</f>
        <v>32.619999999999997</v>
      </c>
      <c r="D17" s="69">
        <f>+'Income Statement'!D18</f>
        <v>34.14</v>
      </c>
      <c r="E17" s="69">
        <f>+'Income Statement'!E18</f>
        <v>43.03</v>
      </c>
      <c r="F17" s="69">
        <f>+'Income Statement'!F18</f>
        <v>43.11</v>
      </c>
      <c r="G17" s="69">
        <f>+'Income Statement'!G18</f>
        <v>53.39</v>
      </c>
      <c r="H17" s="69">
        <f>+'Income Statement'!H18</f>
        <v>58.55</v>
      </c>
      <c r="I17" s="69">
        <f>+'Income Statement'!I18</f>
        <v>58.2</v>
      </c>
      <c r="J17" s="69">
        <f>+'Income Statement'!J18</f>
        <v>77.5</v>
      </c>
      <c r="K17" s="69">
        <f>+'Income Statement'!K18</f>
        <v>89.74</v>
      </c>
      <c r="L17" s="69">
        <f>+'Income Statement'!L18</f>
        <v>98.59</v>
      </c>
      <c r="M17" s="83" t="str">
        <f>+'Income Statement'!M18</f>
        <v>51.45</v>
      </c>
      <c r="N17" s="83" t="str">
        <f>+'Income Statement'!N18</f>
        <v>51.14</v>
      </c>
      <c r="O17" s="24">
        <f>+Table_1[[#This Row],[Growth]]</f>
        <v>0.11834600817234059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x14ac:dyDescent="0.45">
      <c r="A18" s="32" t="s">
        <v>69</v>
      </c>
      <c r="B18" s="39">
        <f>+'Balance Sheet'!B7</f>
        <v>949</v>
      </c>
      <c r="C18" s="39">
        <f>+'Balance Sheet'!C7</f>
        <v>959</v>
      </c>
      <c r="D18" s="39">
        <f>+'Balance Sheet'!D7</f>
        <v>3038</v>
      </c>
      <c r="E18" s="39">
        <f>+'Balance Sheet'!E7</f>
        <v>3356</v>
      </c>
      <c r="F18" s="39">
        <f>+'Balance Sheet'!F7</f>
        <v>2917</v>
      </c>
      <c r="G18" s="39">
        <f>+'Balance Sheet'!G7</f>
        <v>3539</v>
      </c>
      <c r="H18" s="39">
        <f>+'Balance Sheet'!H7</f>
        <v>8280</v>
      </c>
      <c r="I18" s="39">
        <f>+'Balance Sheet'!I7</f>
        <v>12181</v>
      </c>
      <c r="J18" s="39">
        <f>+'Balance Sheet'!J7</f>
        <v>99260</v>
      </c>
      <c r="K18" s="39">
        <f>+'Balance Sheet'!K7</f>
        <v>109499</v>
      </c>
      <c r="L18" s="39">
        <f>+'Balance Sheet'!L7</f>
        <v>113009</v>
      </c>
      <c r="M18" s="39">
        <f>+'Balance Sheet'!M7</f>
        <v>132307</v>
      </c>
      <c r="N18" s="39">
        <f>+'Balance Sheet'!N7</f>
        <v>134871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x14ac:dyDescent="0.45">
      <c r="A19" s="32" t="s">
        <v>70</v>
      </c>
      <c r="B19" s="69">
        <f>+B18/'Balance Sheet'!B21</f>
        <v>2.6189641706935427E-3</v>
      </c>
      <c r="C19" s="40">
        <f>+C18/'Balance Sheet'!C21</f>
        <v>2.2362496298179053E-3</v>
      </c>
      <c r="D19" s="40">
        <f>+D18/'Balance Sheet'!D21</f>
        <v>6.0219708772889635E-3</v>
      </c>
      <c r="E19" s="40">
        <f>+E18/'Balance Sheet'!E21</f>
        <v>5.6026991787938834E-3</v>
      </c>
      <c r="F19" s="40">
        <f>+F18/'Balance Sheet'!F21</f>
        <v>4.1270398216190669E-3</v>
      </c>
      <c r="G19" s="40">
        <f>+G18/'Balance Sheet'!G21</f>
        <v>4.3622800216449953E-3</v>
      </c>
      <c r="H19" s="40">
        <f>+H18/'Balance Sheet'!H21</f>
        <v>8.2996702184176506E-3</v>
      </c>
      <c r="I19" s="40">
        <f>+I18/'Balance Sheet'!I21</f>
        <v>1.0473639634914425E-2</v>
      </c>
      <c r="J19" s="40">
        <f>+J18/'Balance Sheet'!J21</f>
        <v>7.5193266998215991E-2</v>
      </c>
      <c r="K19" s="40">
        <f>+K18/'Balance Sheet'!K21</f>
        <v>7.3066457051878322E-2</v>
      </c>
      <c r="L19" s="40">
        <f>+L18/'Balance Sheet'!L21</f>
        <v>7.0371920228260859E-2</v>
      </c>
      <c r="M19" s="40">
        <f>+M18/'Balance Sheet'!M21</f>
        <v>7.5386542134460138E-2</v>
      </c>
      <c r="N19" s="40">
        <f>+N18/'Balance Sheet'!N21</f>
        <v>7.4304055427648702E-2</v>
      </c>
      <c r="O19" s="22" t="s">
        <v>78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x14ac:dyDescent="0.45">
      <c r="A20" s="64" t="s">
        <v>122</v>
      </c>
      <c r="B20" s="66">
        <f>+'Balance Sheet'!B5-'Balance Sheet'!B17</f>
        <v>56763</v>
      </c>
      <c r="C20" s="66">
        <f>+'Balance Sheet'!C5-'Balance Sheet'!C17</f>
        <v>100777</v>
      </c>
      <c r="D20" s="66">
        <f>+'Balance Sheet'!D5-'Balance Sheet'!D17</f>
        <v>155706</v>
      </c>
      <c r="E20" s="66">
        <f>+'Balance Sheet'!E5-'Balance Sheet'!E17</f>
        <v>183686</v>
      </c>
      <c r="F20" s="66">
        <f>+'Balance Sheet'!F5-'Balance Sheet'!F17</f>
        <v>214452</v>
      </c>
      <c r="G20" s="66">
        <f>+'Balance Sheet'!G5-'Balance Sheet'!G17</f>
        <v>235588</v>
      </c>
      <c r="H20" s="66">
        <f>+'Balance Sheet'!H5-'Balance Sheet'!H17</f>
        <v>296633</v>
      </c>
      <c r="I20" s="66">
        <f>+'Balance Sheet'!I5-'Balance Sheet'!I17</f>
        <v>324213</v>
      </c>
      <c r="J20" s="66">
        <f>+'Balance Sheet'!J5-'Balance Sheet'!J17</f>
        <v>261565</v>
      </c>
      <c r="K20" s="66">
        <f>+'Balance Sheet'!K5-'Balance Sheet'!K17</f>
        <v>282980</v>
      </c>
      <c r="L20" s="66">
        <f>+'Balance Sheet'!L5-'Balance Sheet'!L17</f>
        <v>383000</v>
      </c>
      <c r="M20" s="66">
        <f>+'Balance Sheet'!M5-'Balance Sheet'!M17</f>
        <v>361766</v>
      </c>
      <c r="N20" s="66">
        <f>+'Balance Sheet'!N5-'Balance Sheet'!N17</f>
        <v>267172</v>
      </c>
    </row>
    <row r="21" spans="1:28" x14ac:dyDescent="0.45">
      <c r="B21" s="70"/>
      <c r="C21" s="8"/>
      <c r="D21" s="8"/>
      <c r="E21" s="8"/>
      <c r="F21" s="8"/>
      <c r="G21" s="8"/>
      <c r="H21" s="8"/>
      <c r="I21" s="8"/>
      <c r="J21" s="8"/>
      <c r="K21" s="8"/>
    </row>
    <row r="23" spans="1:28" x14ac:dyDescent="0.45">
      <c r="A23" s="1" t="s">
        <v>141</v>
      </c>
      <c r="L23" s="1">
        <f>+L24/L25</f>
        <v>5.9250966559854064</v>
      </c>
    </row>
    <row r="24" spans="1:28" x14ac:dyDescent="0.45">
      <c r="A24" s="1" t="s">
        <v>142</v>
      </c>
      <c r="B24" s="2">
        <f>+'Income Statement'!B3</f>
        <v>362802</v>
      </c>
      <c r="L24" s="1">
        <f>+'Income Statement'!L3</f>
        <v>734078</v>
      </c>
    </row>
    <row r="25" spans="1:28" x14ac:dyDescent="0.45">
      <c r="A25" s="1" t="s">
        <v>143</v>
      </c>
      <c r="B25" s="2">
        <f>+('Balance Sheet'!K15+'Balance Sheet'!J15)/2</f>
        <v>94725</v>
      </c>
      <c r="L25" s="1">
        <f>+('Balance Sheet'!L15+'Balance Sheet'!K15)/2</f>
        <v>123893</v>
      </c>
    </row>
    <row r="26" spans="1:28" x14ac:dyDescent="0.45">
      <c r="B26" s="55">
        <f>+B24/B25</f>
        <v>3.830055423594616</v>
      </c>
    </row>
    <row r="27" spans="1:28" x14ac:dyDescent="0.45">
      <c r="J27" s="1" t="s">
        <v>144</v>
      </c>
      <c r="L27" s="2">
        <v>450241</v>
      </c>
      <c r="M27" s="2"/>
    </row>
    <row r="28" spans="1:28" x14ac:dyDescent="0.45">
      <c r="J28" s="1" t="s">
        <v>145</v>
      </c>
      <c r="L28" s="2">
        <v>168505</v>
      </c>
      <c r="M28" s="2"/>
    </row>
    <row r="29" spans="1:28" x14ac:dyDescent="0.45">
      <c r="J29" s="1" t="s">
        <v>146</v>
      </c>
      <c r="L29" s="2">
        <v>-30263</v>
      </c>
      <c r="M29" s="2"/>
    </row>
    <row r="30" spans="1:28" x14ac:dyDescent="0.45">
      <c r="L30" s="2">
        <f>SUM(L27:L29)</f>
        <v>588483</v>
      </c>
      <c r="M30" s="2"/>
    </row>
    <row r="31" spans="1:28" x14ac:dyDescent="0.45">
      <c r="J31" s="1" t="s">
        <v>147</v>
      </c>
      <c r="L31" s="1">
        <f>+L25</f>
        <v>123893</v>
      </c>
    </row>
    <row r="32" spans="1:28" x14ac:dyDescent="0.45">
      <c r="L32" s="1">
        <f>+L30/L31</f>
        <v>4.7499293745409341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AA1A-B635-4174-9FAA-E891D32EEDBE}">
  <dimension ref="A1:T29"/>
  <sheetViews>
    <sheetView zoomScale="64" workbookViewId="0">
      <pane xSplit="1" topLeftCell="B1" activePane="topRight" state="frozen"/>
      <selection activeCell="A2" sqref="A2"/>
      <selection pane="topRight" activeCell="B26" sqref="B26"/>
    </sheetView>
  </sheetViews>
  <sheetFormatPr defaultRowHeight="14.5" x14ac:dyDescent="0.35"/>
  <cols>
    <col min="1" max="1" width="27.54296875" customWidth="1"/>
    <col min="2" max="2" width="16.54296875" customWidth="1"/>
    <col min="3" max="3" width="15" customWidth="1"/>
    <col min="4" max="4" width="15.453125" customWidth="1"/>
    <col min="5" max="5" width="16.1796875" customWidth="1"/>
    <col min="6" max="6" width="13.81640625" customWidth="1"/>
    <col min="7" max="7" width="13.54296875" customWidth="1"/>
    <col min="8" max="8" width="13.26953125" customWidth="1"/>
    <col min="9" max="9" width="13.54296875" customWidth="1"/>
    <col min="10" max="10" width="12.81640625" customWidth="1"/>
    <col min="11" max="11" width="13.453125" customWidth="1"/>
    <col min="12" max="13" width="15.81640625" customWidth="1"/>
    <col min="14" max="14" width="14.453125" customWidth="1"/>
    <col min="15" max="15" width="11.26953125" customWidth="1"/>
  </cols>
  <sheetData>
    <row r="1" spans="1:20" ht="18.5" x14ac:dyDescent="0.45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9" t="s">
        <v>305</v>
      </c>
      <c r="N1" s="1" t="s">
        <v>12</v>
      </c>
      <c r="O1" s="1" t="s">
        <v>35</v>
      </c>
    </row>
    <row r="2" spans="1:20" ht="18.5" x14ac:dyDescent="0.45">
      <c r="A2" s="1" t="s">
        <v>25</v>
      </c>
      <c r="B2" s="2">
        <v>395957</v>
      </c>
      <c r="C2" s="2">
        <v>433521</v>
      </c>
      <c r="D2" s="2">
        <v>374372</v>
      </c>
      <c r="E2" s="2">
        <v>272583</v>
      </c>
      <c r="F2" s="2">
        <v>303954</v>
      </c>
      <c r="G2" s="2">
        <v>390823</v>
      </c>
      <c r="H2" s="2">
        <v>568337</v>
      </c>
      <c r="I2" s="2">
        <v>596679</v>
      </c>
      <c r="J2" s="2">
        <v>466307</v>
      </c>
      <c r="K2" s="2">
        <v>694673</v>
      </c>
      <c r="L2" s="2">
        <v>876396</v>
      </c>
      <c r="M2" s="2">
        <v>899041</v>
      </c>
      <c r="N2" s="74" t="str">
        <f>+'Table 2 (2)'!N3</f>
        <v>939,838</v>
      </c>
      <c r="O2" s="78">
        <f>RATE(12,,-Table_1[[#This Row],[Mar 2013]],Table_1[[#This Row],[TTM]])</f>
        <v>7.4691336708642142E-2</v>
      </c>
    </row>
    <row r="3" spans="1:20" ht="18.5" x14ac:dyDescent="0.45">
      <c r="A3" s="1" t="s">
        <v>26</v>
      </c>
      <c r="B3" s="2">
        <v>362802</v>
      </c>
      <c r="C3" s="2">
        <v>398586</v>
      </c>
      <c r="D3" s="2">
        <v>336923</v>
      </c>
      <c r="E3" s="2">
        <v>230802</v>
      </c>
      <c r="F3" s="2">
        <v>257647</v>
      </c>
      <c r="G3" s="2">
        <v>326508</v>
      </c>
      <c r="H3" s="2">
        <v>484087</v>
      </c>
      <c r="I3" s="2">
        <v>507413</v>
      </c>
      <c r="J3" s="2">
        <v>385517</v>
      </c>
      <c r="K3" s="2">
        <v>586092</v>
      </c>
      <c r="L3" s="2">
        <v>734078</v>
      </c>
      <c r="M3" s="75" t="str">
        <f>+'Table 2 (2)'!M4</f>
        <v>736,543</v>
      </c>
      <c r="N3" s="74" t="str">
        <f>+'Table 2 (2)'!N4</f>
        <v>775,710</v>
      </c>
      <c r="O3" s="3" t="s">
        <v>36</v>
      </c>
    </row>
    <row r="4" spans="1:20" ht="18.5" x14ac:dyDescent="0.45">
      <c r="A4" s="80" t="s">
        <v>165</v>
      </c>
      <c r="B4" s="2">
        <f t="shared" ref="B4:M4" si="0">+B2-B3</f>
        <v>33155</v>
      </c>
      <c r="C4" s="2">
        <f t="shared" si="0"/>
        <v>34935</v>
      </c>
      <c r="D4" s="2">
        <f t="shared" si="0"/>
        <v>37449</v>
      </c>
      <c r="E4" s="2">
        <f t="shared" si="0"/>
        <v>41781</v>
      </c>
      <c r="F4" s="2">
        <f t="shared" si="0"/>
        <v>46307</v>
      </c>
      <c r="G4" s="2">
        <f t="shared" si="0"/>
        <v>64315</v>
      </c>
      <c r="H4" s="2">
        <f t="shared" si="0"/>
        <v>84250</v>
      </c>
      <c r="I4" s="2">
        <f t="shared" si="0"/>
        <v>89266</v>
      </c>
      <c r="J4" s="2">
        <f t="shared" si="0"/>
        <v>80790</v>
      </c>
      <c r="K4" s="2">
        <f t="shared" si="0"/>
        <v>108581</v>
      </c>
      <c r="L4" s="2">
        <f t="shared" si="0"/>
        <v>142318</v>
      </c>
      <c r="M4" s="2">
        <f t="shared" si="0"/>
        <v>162498</v>
      </c>
      <c r="N4" s="74" t="str">
        <f>+'Table 2 (2)'!N5</f>
        <v>164,128</v>
      </c>
      <c r="O4" s="78">
        <f>+RATE(12,,-Table_1[[#This Row],[Mar 2013]],Table_1[[#This Row],[TTM]])</f>
        <v>0.14257873533471827</v>
      </c>
    </row>
    <row r="5" spans="1:20" ht="18.5" x14ac:dyDescent="0.45">
      <c r="A5" s="1" t="s">
        <v>13</v>
      </c>
      <c r="B5" s="3">
        <f t="shared" ref="B5:M5" si="1">+B4/B2</f>
        <v>8.3733839785633285E-2</v>
      </c>
      <c r="C5" s="3">
        <f t="shared" si="1"/>
        <v>8.0584331554872768E-2</v>
      </c>
      <c r="D5" s="3">
        <f t="shared" si="1"/>
        <v>0.10003151945124102</v>
      </c>
      <c r="E5" s="3">
        <f t="shared" si="1"/>
        <v>0.15327808410649232</v>
      </c>
      <c r="F5" s="3">
        <f t="shared" si="1"/>
        <v>0.15234871066016567</v>
      </c>
      <c r="G5" s="3">
        <f t="shared" si="1"/>
        <v>0.16456298631349742</v>
      </c>
      <c r="H5" s="3">
        <f t="shared" si="1"/>
        <v>0.14823951282425743</v>
      </c>
      <c r="I5" s="3">
        <f t="shared" si="1"/>
        <v>0.1496047288408005</v>
      </c>
      <c r="J5" s="3">
        <f t="shared" si="1"/>
        <v>0.17325495864312568</v>
      </c>
      <c r="K5" s="3">
        <f t="shared" si="1"/>
        <v>0.15630519683361813</v>
      </c>
      <c r="L5" s="3">
        <f t="shared" si="1"/>
        <v>0.16239006111392568</v>
      </c>
      <c r="M5" s="3">
        <f t="shared" si="1"/>
        <v>0.18074592816122959</v>
      </c>
      <c r="N5" s="74" t="str">
        <f>+'Table 2 (2)'!N6</f>
        <v>17%</v>
      </c>
      <c r="O5" s="3" t="s">
        <v>36</v>
      </c>
    </row>
    <row r="6" spans="1:20" ht="18.5" x14ac:dyDescent="0.45">
      <c r="A6" s="1" t="s">
        <v>32</v>
      </c>
      <c r="B6" s="2">
        <f>+B10</f>
        <v>6099</v>
      </c>
      <c r="C6" s="2">
        <f t="shared" ref="C6:L6" si="2">+C10</f>
        <v>6508</v>
      </c>
      <c r="D6" s="2">
        <f t="shared" si="2"/>
        <v>6853</v>
      </c>
      <c r="E6" s="2">
        <f t="shared" si="2"/>
        <v>12246</v>
      </c>
      <c r="F6" s="2">
        <f t="shared" si="2"/>
        <v>9335</v>
      </c>
      <c r="G6" s="2">
        <f t="shared" si="2"/>
        <v>10008</v>
      </c>
      <c r="H6" s="2">
        <f t="shared" si="2"/>
        <v>8489</v>
      </c>
      <c r="I6" s="2">
        <f t="shared" si="2"/>
        <v>13271</v>
      </c>
      <c r="J6" s="2">
        <f t="shared" si="2"/>
        <v>16843</v>
      </c>
      <c r="K6" s="2">
        <f t="shared" si="2"/>
        <v>15238</v>
      </c>
      <c r="L6" s="2">
        <f t="shared" si="2"/>
        <v>11758</v>
      </c>
      <c r="M6" s="2">
        <f>+M10</f>
        <v>16444</v>
      </c>
      <c r="N6" s="74">
        <v>17607</v>
      </c>
      <c r="O6" s="3" t="s">
        <v>36</v>
      </c>
    </row>
    <row r="7" spans="1:20" ht="18.5" x14ac:dyDescent="0.45">
      <c r="A7" s="80" t="s">
        <v>661</v>
      </c>
      <c r="B7" s="2">
        <f>+B4+B6</f>
        <v>39254</v>
      </c>
      <c r="C7" s="2">
        <f t="shared" ref="C7:N7" si="3">+C4+C6</f>
        <v>41443</v>
      </c>
      <c r="D7" s="2">
        <f t="shared" si="3"/>
        <v>44302</v>
      </c>
      <c r="E7" s="2">
        <f t="shared" si="3"/>
        <v>54027</v>
      </c>
      <c r="F7" s="2">
        <f t="shared" si="3"/>
        <v>55642</v>
      </c>
      <c r="G7" s="2">
        <f t="shared" si="3"/>
        <v>74323</v>
      </c>
      <c r="H7" s="2">
        <f t="shared" si="3"/>
        <v>92739</v>
      </c>
      <c r="I7" s="2">
        <f t="shared" si="3"/>
        <v>102537</v>
      </c>
      <c r="J7" s="2">
        <f t="shared" si="3"/>
        <v>97633</v>
      </c>
      <c r="K7" s="2">
        <f t="shared" si="3"/>
        <v>123819</v>
      </c>
      <c r="L7" s="2">
        <f t="shared" si="3"/>
        <v>154076</v>
      </c>
      <c r="M7" s="2">
        <f t="shared" si="3"/>
        <v>178942</v>
      </c>
      <c r="N7" s="2">
        <f t="shared" si="3"/>
        <v>181735</v>
      </c>
      <c r="O7" s="78">
        <f>+RATE(12,,-Table_1[[#This Row],[Mar 2013]],Table_1[[#This Row],[TTM]])</f>
        <v>0.13622119965446913</v>
      </c>
    </row>
    <row r="8" spans="1:20" ht="18.5" x14ac:dyDescent="0.45">
      <c r="A8" s="1" t="s">
        <v>662</v>
      </c>
      <c r="B8" s="3">
        <f>+B7/B2</f>
        <v>9.9137027505511968E-2</v>
      </c>
      <c r="C8" s="3">
        <f t="shared" ref="C8:N8" si="4">+C7/C2</f>
        <v>9.5596291759799404E-2</v>
      </c>
      <c r="D8" s="3">
        <f t="shared" si="4"/>
        <v>0.11833684143044886</v>
      </c>
      <c r="E8" s="3">
        <f t="shared" si="4"/>
        <v>0.19820384983656356</v>
      </c>
      <c r="F8" s="3">
        <f t="shared" si="4"/>
        <v>0.18306059469524993</v>
      </c>
      <c r="G8" s="3">
        <f t="shared" si="4"/>
        <v>0.19017048638386175</v>
      </c>
      <c r="H8" s="3">
        <f t="shared" si="4"/>
        <v>0.16317607335084641</v>
      </c>
      <c r="I8" s="3">
        <f t="shared" si="4"/>
        <v>0.17184616854288487</v>
      </c>
      <c r="J8" s="3">
        <f t="shared" si="4"/>
        <v>0.20937493968565773</v>
      </c>
      <c r="K8" s="3">
        <f t="shared" si="4"/>
        <v>0.1782406974216646</v>
      </c>
      <c r="L8" s="3">
        <f t="shared" si="4"/>
        <v>0.17580637063610513</v>
      </c>
      <c r="M8" s="3">
        <f t="shared" si="4"/>
        <v>0.19903652892359747</v>
      </c>
      <c r="N8" s="3">
        <f t="shared" si="4"/>
        <v>0.19336843158076178</v>
      </c>
      <c r="O8" s="3" t="s">
        <v>36</v>
      </c>
    </row>
    <row r="9" spans="1:20" ht="18.5" x14ac:dyDescent="0.45">
      <c r="A9" s="1" t="s">
        <v>15</v>
      </c>
      <c r="B9" s="2">
        <v>11232</v>
      </c>
      <c r="C9" s="2">
        <v>11201</v>
      </c>
      <c r="D9" s="2">
        <v>11547</v>
      </c>
      <c r="E9" s="2">
        <v>11565</v>
      </c>
      <c r="F9" s="2">
        <v>11646</v>
      </c>
      <c r="G9" s="2">
        <v>16706</v>
      </c>
      <c r="H9" s="2">
        <v>20934</v>
      </c>
      <c r="I9" s="2">
        <v>22203</v>
      </c>
      <c r="J9" s="2">
        <v>26572</v>
      </c>
      <c r="K9" s="2">
        <v>29782</v>
      </c>
      <c r="L9" s="2">
        <v>40303</v>
      </c>
      <c r="M9" s="142" t="str">
        <f>+'Table 2 (2)'!M9</f>
        <v>50,832</v>
      </c>
      <c r="N9" s="74" t="str">
        <f>+'Table 2 (2)'!N9</f>
        <v>53,226</v>
      </c>
      <c r="O9" s="3" t="s">
        <v>36</v>
      </c>
    </row>
    <row r="10" spans="1:20" ht="18.5" x14ac:dyDescent="0.45">
      <c r="A10" s="1" t="s">
        <v>32</v>
      </c>
      <c r="B10" s="2">
        <v>6099</v>
      </c>
      <c r="C10" s="2">
        <v>6508</v>
      </c>
      <c r="D10" s="2">
        <v>6853</v>
      </c>
      <c r="E10" s="2">
        <v>12246</v>
      </c>
      <c r="F10" s="2">
        <v>9335</v>
      </c>
      <c r="G10" s="2">
        <v>10008</v>
      </c>
      <c r="H10" s="2">
        <v>8489</v>
      </c>
      <c r="I10" s="2">
        <v>13271</v>
      </c>
      <c r="J10" s="2">
        <v>16843</v>
      </c>
      <c r="K10" s="2">
        <v>15238</v>
      </c>
      <c r="L10" s="2">
        <v>11758</v>
      </c>
      <c r="M10" s="74">
        <v>16444</v>
      </c>
      <c r="N10" s="74">
        <v>17607</v>
      </c>
      <c r="O10" s="3" t="s">
        <v>36</v>
      </c>
    </row>
    <row r="11" spans="1:20" ht="18.5" x14ac:dyDescent="0.45">
      <c r="A11" s="80" t="s">
        <v>30</v>
      </c>
      <c r="B11" s="2">
        <f t="shared" ref="B11:N11" si="5">+B4-B9+B10</f>
        <v>28022</v>
      </c>
      <c r="C11" s="2">
        <f t="shared" si="5"/>
        <v>30242</v>
      </c>
      <c r="D11" s="2">
        <f t="shared" si="5"/>
        <v>32755</v>
      </c>
      <c r="E11" s="2">
        <f t="shared" si="5"/>
        <v>42462</v>
      </c>
      <c r="F11" s="2">
        <f t="shared" si="5"/>
        <v>43996</v>
      </c>
      <c r="G11" s="2">
        <f t="shared" si="5"/>
        <v>57617</v>
      </c>
      <c r="H11" s="2">
        <f t="shared" si="5"/>
        <v>71805</v>
      </c>
      <c r="I11" s="2">
        <f t="shared" si="5"/>
        <v>80334</v>
      </c>
      <c r="J11" s="2">
        <f t="shared" si="5"/>
        <v>71061</v>
      </c>
      <c r="K11" s="2">
        <f t="shared" si="5"/>
        <v>94037</v>
      </c>
      <c r="L11" s="2">
        <f t="shared" si="5"/>
        <v>113773</v>
      </c>
      <c r="M11" s="2">
        <f t="shared" si="5"/>
        <v>128110</v>
      </c>
      <c r="N11" s="2">
        <f t="shared" si="5"/>
        <v>128509</v>
      </c>
      <c r="O11" s="78">
        <f>RATE(12,,-Table_1[[#This Row],[Mar 2013]],Table_1[[#This Row],[TTM]])</f>
        <v>0.13532325748161395</v>
      </c>
    </row>
    <row r="12" spans="1:20" ht="18.5" x14ac:dyDescent="0.45">
      <c r="A12" s="1" t="s">
        <v>14</v>
      </c>
      <c r="B12" s="2">
        <v>3463</v>
      </c>
      <c r="C12" s="2">
        <v>3836</v>
      </c>
      <c r="D12" s="2">
        <v>3316</v>
      </c>
      <c r="E12" s="2">
        <v>3691</v>
      </c>
      <c r="F12" s="2">
        <v>3849</v>
      </c>
      <c r="G12" s="2">
        <v>8052</v>
      </c>
      <c r="H12" s="2">
        <v>16495</v>
      </c>
      <c r="I12" s="2">
        <v>22027</v>
      </c>
      <c r="J12" s="2">
        <v>21189</v>
      </c>
      <c r="K12" s="2">
        <v>14584</v>
      </c>
      <c r="L12" s="2">
        <v>19571</v>
      </c>
      <c r="M12" s="74" t="str">
        <f>+'Table 2 (2)'!M8</f>
        <v>23,118</v>
      </c>
      <c r="N12" s="74" t="str">
        <f>+'Table 2 (2)'!N8</f>
        <v>23,875</v>
      </c>
      <c r="O12" s="3" t="s">
        <v>36</v>
      </c>
    </row>
    <row r="13" spans="1:20" ht="18.5" x14ac:dyDescent="0.45">
      <c r="A13" s="1" t="s">
        <v>31</v>
      </c>
      <c r="B13" s="2">
        <v>1658</v>
      </c>
      <c r="C13" s="2">
        <v>2357</v>
      </c>
      <c r="D13" s="2">
        <v>1675</v>
      </c>
      <c r="E13" s="2">
        <v>-34</v>
      </c>
      <c r="F13" s="2">
        <v>-113</v>
      </c>
      <c r="G13" s="2">
        <v>-139</v>
      </c>
      <c r="H13" s="2">
        <v>-83</v>
      </c>
      <c r="I13" s="2">
        <v>-4701</v>
      </c>
      <c r="J13" s="2">
        <v>5589</v>
      </c>
      <c r="K13" s="2">
        <v>4362</v>
      </c>
      <c r="L13" s="2">
        <v>262</v>
      </c>
      <c r="M13" s="74">
        <v>-265</v>
      </c>
      <c r="N13" s="74">
        <v>0</v>
      </c>
      <c r="O13" s="3" t="s">
        <v>36</v>
      </c>
      <c r="Q13">
        <f>+Table_1[[#This Row],[Mar-24]]</f>
        <v>-265</v>
      </c>
      <c r="R13" s="141">
        <v>0.25</v>
      </c>
      <c r="S13">
        <f>+Q13*R13</f>
        <v>-66.25</v>
      </c>
      <c r="T13">
        <f>+Q13-S13</f>
        <v>-198.75</v>
      </c>
    </row>
    <row r="14" spans="1:20" ht="18.5" x14ac:dyDescent="0.45">
      <c r="A14" s="80" t="s">
        <v>306</v>
      </c>
      <c r="B14" s="2">
        <f t="shared" ref="B14:M14" si="6">+B11-B12+B13</f>
        <v>26217</v>
      </c>
      <c r="C14" s="2">
        <f t="shared" si="6"/>
        <v>28763</v>
      </c>
      <c r="D14" s="2">
        <f t="shared" si="6"/>
        <v>31114</v>
      </c>
      <c r="E14" s="2">
        <f t="shared" si="6"/>
        <v>38737</v>
      </c>
      <c r="F14" s="2">
        <f t="shared" si="6"/>
        <v>40034</v>
      </c>
      <c r="G14" s="2">
        <f t="shared" si="6"/>
        <v>49426</v>
      </c>
      <c r="H14" s="2">
        <f t="shared" si="6"/>
        <v>55227</v>
      </c>
      <c r="I14" s="2">
        <f t="shared" si="6"/>
        <v>53606</v>
      </c>
      <c r="J14" s="2">
        <f t="shared" si="6"/>
        <v>55461</v>
      </c>
      <c r="K14" s="2">
        <f t="shared" si="6"/>
        <v>83815</v>
      </c>
      <c r="L14" s="2">
        <f t="shared" si="6"/>
        <v>94464</v>
      </c>
      <c r="M14" s="2">
        <f t="shared" si="6"/>
        <v>104727</v>
      </c>
      <c r="N14" s="74" t="str">
        <f>+'Table 2 (2)'!N10</f>
        <v>104,634</v>
      </c>
      <c r="O14" s="3" t="s">
        <v>36</v>
      </c>
      <c r="Q14">
        <v>262</v>
      </c>
      <c r="R14" s="141">
        <v>0.22</v>
      </c>
      <c r="S14">
        <f>+Q14*R14</f>
        <v>57.64</v>
      </c>
      <c r="T14">
        <f>+Q14-S14</f>
        <v>204.36</v>
      </c>
    </row>
    <row r="15" spans="1:20" ht="18.5" x14ac:dyDescent="0.45">
      <c r="A15" s="1" t="s">
        <v>17</v>
      </c>
      <c r="B15" s="3">
        <v>0.2</v>
      </c>
      <c r="C15" s="3">
        <v>0.22</v>
      </c>
      <c r="D15" s="3">
        <v>0.24</v>
      </c>
      <c r="E15" s="3">
        <v>0.23</v>
      </c>
      <c r="F15" s="3">
        <v>0.25</v>
      </c>
      <c r="G15" s="3">
        <v>0.27</v>
      </c>
      <c r="H15" s="3">
        <v>0.28000000000000003</v>
      </c>
      <c r="I15" s="3">
        <v>0.26</v>
      </c>
      <c r="J15" s="3">
        <v>0.03</v>
      </c>
      <c r="K15" s="3">
        <v>0.19</v>
      </c>
      <c r="L15" s="3">
        <v>0.22</v>
      </c>
      <c r="M15" s="3">
        <v>0.25</v>
      </c>
      <c r="N15" s="76">
        <f>+N16/N14</f>
        <v>0.23599403635529559</v>
      </c>
      <c r="O15" s="3" t="s">
        <v>36</v>
      </c>
    </row>
    <row r="16" spans="1:20" ht="18.5" x14ac:dyDescent="0.45">
      <c r="A16" s="1" t="s">
        <v>33</v>
      </c>
      <c r="B16" s="2">
        <f t="shared" ref="B16:L16" si="7">+B14-B17</f>
        <v>5331</v>
      </c>
      <c r="C16" s="2">
        <f t="shared" si="7"/>
        <v>6215</v>
      </c>
      <c r="D16" s="2">
        <f t="shared" si="7"/>
        <v>7474</v>
      </c>
      <c r="E16" s="2">
        <f t="shared" si="7"/>
        <v>8876</v>
      </c>
      <c r="F16" s="2">
        <f t="shared" si="7"/>
        <v>10201</v>
      </c>
      <c r="G16" s="2">
        <f t="shared" si="7"/>
        <v>13346</v>
      </c>
      <c r="H16" s="2">
        <f t="shared" si="7"/>
        <v>15390</v>
      </c>
      <c r="I16" s="2">
        <f t="shared" si="7"/>
        <v>13726</v>
      </c>
      <c r="J16" s="2">
        <f t="shared" si="7"/>
        <v>1722</v>
      </c>
      <c r="K16" s="2">
        <f t="shared" si="7"/>
        <v>15970</v>
      </c>
      <c r="L16" s="2">
        <f t="shared" si="7"/>
        <v>20376</v>
      </c>
      <c r="M16" s="2">
        <f>+M14-M17</f>
        <v>25707</v>
      </c>
      <c r="N16" s="74">
        <f>+N14-N17</f>
        <v>24693</v>
      </c>
      <c r="O16" s="3" t="s">
        <v>36</v>
      </c>
    </row>
    <row r="17" spans="1:15" ht="18.5" x14ac:dyDescent="0.45">
      <c r="A17" s="1" t="s">
        <v>27</v>
      </c>
      <c r="B17" s="2">
        <v>20886</v>
      </c>
      <c r="C17" s="2">
        <v>22548</v>
      </c>
      <c r="D17" s="2">
        <v>23640</v>
      </c>
      <c r="E17" s="2">
        <v>29861</v>
      </c>
      <c r="F17" s="2">
        <v>29833</v>
      </c>
      <c r="G17" s="2">
        <v>36080</v>
      </c>
      <c r="H17" s="2">
        <v>39837</v>
      </c>
      <c r="I17" s="2">
        <v>39880</v>
      </c>
      <c r="J17" s="2">
        <v>53739</v>
      </c>
      <c r="K17" s="2">
        <v>67845</v>
      </c>
      <c r="L17" s="2">
        <v>74088</v>
      </c>
      <c r="M17" s="74" t="str">
        <f>+'Table 2 (2)'!M12</f>
        <v>79,020</v>
      </c>
      <c r="N17" s="74" t="str">
        <f>+'Table 2 (2)'!N12</f>
        <v>79,941</v>
      </c>
      <c r="O17" s="78">
        <f>RATE(12,,-Table_1[[#This Row],[Mar 2013]],Table_1[[#This Row],[TTM]])</f>
        <v>0.11834600817234059</v>
      </c>
    </row>
    <row r="18" spans="1:15" ht="18.5" x14ac:dyDescent="0.45">
      <c r="A18" s="1" t="s">
        <v>18</v>
      </c>
      <c r="B18" s="55">
        <v>30.31</v>
      </c>
      <c r="C18" s="55">
        <v>32.619999999999997</v>
      </c>
      <c r="D18" s="55">
        <v>34.14</v>
      </c>
      <c r="E18" s="55">
        <v>43.03</v>
      </c>
      <c r="F18" s="55">
        <v>43.11</v>
      </c>
      <c r="G18" s="55">
        <v>53.39</v>
      </c>
      <c r="H18" s="55">
        <v>58.55</v>
      </c>
      <c r="I18" s="55">
        <v>58.2</v>
      </c>
      <c r="J18" s="55">
        <v>77.5</v>
      </c>
      <c r="K18" s="55">
        <v>89.74</v>
      </c>
      <c r="L18" s="55">
        <v>98.59</v>
      </c>
      <c r="M18" s="75" t="str">
        <f>+'Table 2 (2)'!M13</f>
        <v>51.45</v>
      </c>
      <c r="N18" s="74" t="str">
        <f>+'Table 2 (2)'!N13</f>
        <v>51.14</v>
      </c>
      <c r="O18" s="78" t="s">
        <v>36</v>
      </c>
    </row>
    <row r="19" spans="1:15" ht="18.5" x14ac:dyDescent="0.45">
      <c r="A19" s="1" t="s">
        <v>19</v>
      </c>
      <c r="B19" s="3">
        <v>0.13</v>
      </c>
      <c r="C19" s="3">
        <v>0.12</v>
      </c>
      <c r="D19" s="3">
        <v>0.12</v>
      </c>
      <c r="E19" s="3">
        <v>0.1</v>
      </c>
      <c r="F19" s="3">
        <v>0.11</v>
      </c>
      <c r="G19" s="3">
        <v>0.1</v>
      </c>
      <c r="H19" s="3">
        <v>0.1</v>
      </c>
      <c r="I19" s="3">
        <v>0.1</v>
      </c>
      <c r="J19" s="3">
        <v>0.09</v>
      </c>
      <c r="K19" s="3">
        <v>0.09</v>
      </c>
      <c r="L19" s="3">
        <v>0.09</v>
      </c>
      <c r="M19" s="76" t="str">
        <f>+'Table 2 (2)'!M14</f>
        <v>10%</v>
      </c>
      <c r="N19" s="77"/>
      <c r="O19" s="31" t="s">
        <v>36</v>
      </c>
    </row>
    <row r="20" spans="1:15" ht="18.5" x14ac:dyDescent="0.45">
      <c r="A20" s="50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6"/>
      <c r="O20" s="31"/>
    </row>
    <row r="21" spans="1:15" ht="18.5" x14ac:dyDescent="0.45">
      <c r="A21" s="51" t="s">
        <v>109</v>
      </c>
      <c r="B21" s="53">
        <v>20886</v>
      </c>
      <c r="C21" s="53">
        <v>22548</v>
      </c>
      <c r="D21" s="53">
        <v>23640</v>
      </c>
      <c r="E21" s="53">
        <v>29861</v>
      </c>
      <c r="F21" s="53">
        <v>29833</v>
      </c>
      <c r="G21" s="53">
        <v>36080</v>
      </c>
      <c r="H21" s="53">
        <v>39837</v>
      </c>
      <c r="I21" s="53">
        <v>39880</v>
      </c>
      <c r="J21" s="53">
        <v>53739</v>
      </c>
      <c r="K21" s="53">
        <v>67845</v>
      </c>
      <c r="L21" s="53">
        <v>74088</v>
      </c>
      <c r="M21" s="53">
        <v>79020</v>
      </c>
      <c r="N21" s="57"/>
      <c r="O21" s="31"/>
    </row>
    <row r="22" spans="1:15" ht="18.5" x14ac:dyDescent="0.45">
      <c r="A22" s="51" t="s">
        <v>110</v>
      </c>
      <c r="B22" s="53">
        <v>-7</v>
      </c>
      <c r="C22" s="53">
        <v>-55</v>
      </c>
      <c r="D22" s="53">
        <v>-74</v>
      </c>
      <c r="E22" s="53">
        <v>-116</v>
      </c>
      <c r="F22" s="53">
        <v>68</v>
      </c>
      <c r="G22" s="53">
        <v>-5</v>
      </c>
      <c r="H22" s="53">
        <v>-249</v>
      </c>
      <c r="I22" s="53">
        <v>-526</v>
      </c>
      <c r="J22" s="53">
        <v>-4611</v>
      </c>
      <c r="K22" s="53">
        <v>-7140</v>
      </c>
      <c r="L22" s="53">
        <f>-'Profit &amp; Loss Account'!C75</f>
        <v>-7386</v>
      </c>
      <c r="M22" s="53">
        <f>-'Profit &amp; Loss Account'!B75</f>
        <v>-9399</v>
      </c>
      <c r="N22" s="57"/>
      <c r="O22" s="31"/>
    </row>
    <row r="23" spans="1:15" ht="18.5" x14ac:dyDescent="0.45">
      <c r="A23" s="51" t="s">
        <v>111</v>
      </c>
      <c r="B23" s="53">
        <f>+B21+B22</f>
        <v>20879</v>
      </c>
      <c r="C23" s="53">
        <f>+C21+C22</f>
        <v>22493</v>
      </c>
      <c r="D23" s="53">
        <f>+D21+D22</f>
        <v>23566</v>
      </c>
      <c r="E23" s="53">
        <f>+E21+E22</f>
        <v>29745</v>
      </c>
      <c r="F23" s="53">
        <f t="shared" ref="F23:M23" si="8">+F21+F22</f>
        <v>29901</v>
      </c>
      <c r="G23" s="53">
        <f t="shared" si="8"/>
        <v>36075</v>
      </c>
      <c r="H23" s="53">
        <f t="shared" si="8"/>
        <v>39588</v>
      </c>
      <c r="I23" s="53">
        <f t="shared" si="8"/>
        <v>39354</v>
      </c>
      <c r="J23" s="53">
        <f t="shared" si="8"/>
        <v>49128</v>
      </c>
      <c r="K23" s="53">
        <f t="shared" si="8"/>
        <v>60705</v>
      </c>
      <c r="L23" s="53">
        <f t="shared" si="8"/>
        <v>66702</v>
      </c>
      <c r="M23" s="53">
        <f t="shared" si="8"/>
        <v>69621</v>
      </c>
      <c r="N23" s="57"/>
      <c r="O23" s="31"/>
    </row>
    <row r="24" spans="1:15" ht="18.5" x14ac:dyDescent="0.45">
      <c r="A24" s="51" t="s">
        <v>112</v>
      </c>
      <c r="B24" s="53">
        <v>-1321</v>
      </c>
      <c r="C24" s="53">
        <v>-1848</v>
      </c>
      <c r="D24" s="53">
        <v>-1273</v>
      </c>
      <c r="E24" s="53">
        <v>26</v>
      </c>
      <c r="F24" s="53">
        <v>84</v>
      </c>
      <c r="G24" s="53">
        <v>101</v>
      </c>
      <c r="H24" s="53">
        <v>60</v>
      </c>
      <c r="I24" s="53">
        <v>3497</v>
      </c>
      <c r="J24" s="53">
        <v>-5367</v>
      </c>
      <c r="K24" s="53">
        <v>-2186</v>
      </c>
      <c r="L24" s="53">
        <v>122</v>
      </c>
      <c r="M24" s="53">
        <v>-200</v>
      </c>
      <c r="N24" s="57"/>
      <c r="O24" s="31"/>
    </row>
    <row r="25" spans="1:15" ht="18.5" x14ac:dyDescent="0.45">
      <c r="A25" s="51" t="s">
        <v>113</v>
      </c>
      <c r="B25" s="53">
        <f>+B23+B24</f>
        <v>19558</v>
      </c>
      <c r="C25" s="53">
        <f>+C23+C24</f>
        <v>20645</v>
      </c>
      <c r="D25" s="53">
        <f t="shared" ref="D25:M25" si="9">+D23+D24</f>
        <v>22293</v>
      </c>
      <c r="E25" s="53">
        <f t="shared" si="9"/>
        <v>29771</v>
      </c>
      <c r="F25" s="53">
        <f t="shared" si="9"/>
        <v>29985</v>
      </c>
      <c r="G25" s="53">
        <f t="shared" si="9"/>
        <v>36176</v>
      </c>
      <c r="H25" s="53">
        <f t="shared" si="9"/>
        <v>39648</v>
      </c>
      <c r="I25" s="53">
        <f t="shared" si="9"/>
        <v>42851</v>
      </c>
      <c r="J25" s="53">
        <f t="shared" si="9"/>
        <v>43761</v>
      </c>
      <c r="K25" s="53">
        <f t="shared" si="9"/>
        <v>58519</v>
      </c>
      <c r="L25" s="53">
        <f t="shared" si="9"/>
        <v>66824</v>
      </c>
      <c r="M25" s="53">
        <f t="shared" si="9"/>
        <v>69421</v>
      </c>
      <c r="N25" s="57"/>
      <c r="O25" s="31"/>
    </row>
    <row r="26" spans="1:15" ht="18.5" x14ac:dyDescent="0.45">
      <c r="A26" s="51" t="s">
        <v>18</v>
      </c>
      <c r="B26" s="54">
        <f t="shared" ref="B26:M26" si="10">+B23/B27</f>
        <v>30.31</v>
      </c>
      <c r="C26" s="54">
        <f t="shared" si="10"/>
        <v>32.619999999999997</v>
      </c>
      <c r="D26" s="54">
        <f t="shared" si="10"/>
        <v>34.14</v>
      </c>
      <c r="E26" s="54">
        <f t="shared" si="10"/>
        <v>43.03</v>
      </c>
      <c r="F26" s="54">
        <f t="shared" si="10"/>
        <v>43.11</v>
      </c>
      <c r="G26" s="54">
        <f t="shared" si="10"/>
        <v>53.39</v>
      </c>
      <c r="H26" s="54">
        <f t="shared" si="10"/>
        <v>58.55</v>
      </c>
      <c r="I26" s="54">
        <f t="shared" si="10"/>
        <v>58.2</v>
      </c>
      <c r="J26" s="54">
        <f t="shared" si="10"/>
        <v>77.5</v>
      </c>
      <c r="K26" s="54">
        <f t="shared" si="10"/>
        <v>89.74</v>
      </c>
      <c r="L26" s="54">
        <f t="shared" si="10"/>
        <v>98.59</v>
      </c>
      <c r="M26" s="54">
        <f t="shared" si="10"/>
        <v>51.456762749445673</v>
      </c>
      <c r="N26" s="56"/>
      <c r="O26" s="31" t="s">
        <v>36</v>
      </c>
    </row>
    <row r="27" spans="1:15" ht="18.5" x14ac:dyDescent="0.45">
      <c r="A27" s="1" t="s">
        <v>114</v>
      </c>
      <c r="B27" s="2">
        <f t="shared" ref="B27:L27" si="11">+B23/B18</f>
        <v>688.84856483008912</v>
      </c>
      <c r="C27" s="2">
        <f t="shared" si="11"/>
        <v>689.54629061925209</v>
      </c>
      <c r="D27" s="2">
        <f t="shared" si="11"/>
        <v>690.27533684827176</v>
      </c>
      <c r="E27" s="2">
        <f t="shared" si="11"/>
        <v>691.26191029514291</v>
      </c>
      <c r="F27" s="2">
        <f t="shared" si="11"/>
        <v>693.59777313848292</v>
      </c>
      <c r="G27" s="2">
        <f t="shared" si="11"/>
        <v>675.68833114815504</v>
      </c>
      <c r="H27" s="2">
        <f t="shared" si="11"/>
        <v>676.14005123825791</v>
      </c>
      <c r="I27" s="2">
        <f t="shared" si="11"/>
        <v>676.18556701030923</v>
      </c>
      <c r="J27" s="2">
        <f t="shared" si="11"/>
        <v>633.90967741935481</v>
      </c>
      <c r="K27" s="2">
        <f t="shared" si="11"/>
        <v>676.45420102518392</v>
      </c>
      <c r="L27" s="2">
        <f t="shared" si="11"/>
        <v>676.55948879196671</v>
      </c>
      <c r="M27" s="2">
        <v>1353</v>
      </c>
      <c r="N27" s="2">
        <v>1353</v>
      </c>
      <c r="O27" s="56" t="s">
        <v>36</v>
      </c>
    </row>
    <row r="28" spans="1:15" ht="18.5" x14ac:dyDescent="0.45">
      <c r="A28" s="1"/>
      <c r="B28" s="2" t="s">
        <v>36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 t="s">
        <v>36</v>
      </c>
      <c r="N28" s="2"/>
      <c r="O28" s="3" t="s">
        <v>36</v>
      </c>
    </row>
    <row r="29" spans="1:15" ht="18.5" x14ac:dyDescent="0.4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 t="s">
        <v>36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BC92-9B8B-48A8-AEF7-5E4B09DFCE8E}">
  <dimension ref="B108"/>
  <sheetViews>
    <sheetView topLeftCell="A13" workbookViewId="0">
      <selection activeCell="P22" sqref="P22"/>
    </sheetView>
  </sheetViews>
  <sheetFormatPr defaultRowHeight="14.5" x14ac:dyDescent="0.35"/>
  <sheetData>
    <row r="108" spans="2:2" x14ac:dyDescent="0.35">
      <c r="B108" t="s">
        <v>36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6146" r:id="rId4">
          <objectPr defaultSize="0" r:id="rId5">
            <anchor moveWithCells="1">
              <from>
                <xdr:col>1</xdr:col>
                <xdr:colOff>114300</xdr:colOff>
                <xdr:row>92</xdr:row>
                <xdr:rowOff>127000</xdr:rowOff>
              </from>
              <to>
                <xdr:col>10</xdr:col>
                <xdr:colOff>355600</xdr:colOff>
                <xdr:row>96</xdr:row>
                <xdr:rowOff>101600</xdr:rowOff>
              </to>
            </anchor>
          </objectPr>
        </oleObject>
      </mc:Choice>
      <mc:Fallback>
        <oleObject progId="Word.Document.12" shapeId="6146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BD58-6D52-4AD3-8F06-CAFD2110D58C}">
  <dimension ref="C7:H25"/>
  <sheetViews>
    <sheetView topLeftCell="A12" workbookViewId="0">
      <selection activeCell="E11" sqref="E11"/>
    </sheetView>
  </sheetViews>
  <sheetFormatPr defaultRowHeight="14.5" x14ac:dyDescent="0.35"/>
  <cols>
    <col min="4" max="4" width="20.08984375" customWidth="1"/>
    <col min="6" max="6" width="13.7265625" bestFit="1" customWidth="1"/>
  </cols>
  <sheetData>
    <row r="7" spans="3:7" x14ac:dyDescent="0.35">
      <c r="C7" t="s">
        <v>430</v>
      </c>
    </row>
    <row r="8" spans="3:7" x14ac:dyDescent="0.35">
      <c r="C8" t="s">
        <v>431</v>
      </c>
    </row>
    <row r="9" spans="3:7" x14ac:dyDescent="0.35">
      <c r="C9" s="6" t="s">
        <v>432</v>
      </c>
    </row>
    <row r="10" spans="3:7" x14ac:dyDescent="0.35">
      <c r="C10" s="6" t="s">
        <v>436</v>
      </c>
      <c r="D10" t="s">
        <v>435</v>
      </c>
    </row>
    <row r="11" spans="3:7" x14ac:dyDescent="0.35">
      <c r="C11" t="s">
        <v>433</v>
      </c>
      <c r="D11" s="44">
        <v>69621</v>
      </c>
      <c r="E11">
        <f>+'Income Statement'!M23</f>
        <v>69621</v>
      </c>
    </row>
    <row r="12" spans="3:7" x14ac:dyDescent="0.35">
      <c r="C12" t="s">
        <v>434</v>
      </c>
      <c r="D12" s="44">
        <v>66284</v>
      </c>
      <c r="E12">
        <f>+'Income Statement'!L25</f>
        <v>66824</v>
      </c>
    </row>
    <row r="14" spans="3:7" x14ac:dyDescent="0.35">
      <c r="C14" s="6" t="s">
        <v>437</v>
      </c>
    </row>
    <row r="16" spans="3:7" x14ac:dyDescent="0.35">
      <c r="C16" t="s">
        <v>433</v>
      </c>
      <c r="D16" s="85">
        <v>6765810816</v>
      </c>
      <c r="F16" s="44">
        <v>10000000</v>
      </c>
      <c r="G16" s="47">
        <f>+D16/F16</f>
        <v>676.58108159999995</v>
      </c>
    </row>
    <row r="17" spans="3:8" x14ac:dyDescent="0.35">
      <c r="C17" t="s">
        <v>434</v>
      </c>
      <c r="D17" s="85">
        <v>6765550967</v>
      </c>
      <c r="F17" s="44">
        <v>10000000</v>
      </c>
      <c r="G17" s="47">
        <f>+D17/F17</f>
        <v>676.55509670000004</v>
      </c>
    </row>
    <row r="19" spans="3:8" x14ac:dyDescent="0.35">
      <c r="C19" s="6" t="s">
        <v>438</v>
      </c>
    </row>
    <row r="21" spans="3:8" x14ac:dyDescent="0.35">
      <c r="C21" t="s">
        <v>433</v>
      </c>
      <c r="D21" s="85">
        <v>6766240686</v>
      </c>
      <c r="F21" s="44">
        <v>10000000</v>
      </c>
      <c r="G21" s="47">
        <f>+D21/F21</f>
        <v>676.62406859999999</v>
      </c>
    </row>
    <row r="22" spans="3:8" x14ac:dyDescent="0.35">
      <c r="C22" t="s">
        <v>434</v>
      </c>
      <c r="D22" s="85">
        <v>6766155766</v>
      </c>
      <c r="F22" s="44">
        <v>10000000</v>
      </c>
      <c r="G22" s="47">
        <f>+D22/F22</f>
        <v>676.61557660000005</v>
      </c>
    </row>
    <row r="23" spans="3:8" x14ac:dyDescent="0.35">
      <c r="G23" t="s">
        <v>433</v>
      </c>
      <c r="H23" t="s">
        <v>434</v>
      </c>
    </row>
    <row r="24" spans="3:8" x14ac:dyDescent="0.35">
      <c r="C24" s="6" t="s">
        <v>439</v>
      </c>
      <c r="G24" s="47">
        <f>+D11/G16</f>
        <v>102.90119232325873</v>
      </c>
      <c r="H24" s="47">
        <f>+D12/G21</f>
        <v>97.962817280721254</v>
      </c>
    </row>
    <row r="25" spans="3:8" x14ac:dyDescent="0.35">
      <c r="C25" s="6" t="s">
        <v>440</v>
      </c>
      <c r="G25" s="47">
        <f>+D11/G17</f>
        <v>102.90514451755219</v>
      </c>
      <c r="H25" s="47">
        <f>+D12/G22</f>
        <v>97.964046782779903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26EA-0720-4565-B328-3DA18A9AA00A}">
  <dimension ref="A1:E78"/>
  <sheetViews>
    <sheetView workbookViewId="0">
      <selection sqref="A1:C78"/>
    </sheetView>
  </sheetViews>
  <sheetFormatPr defaultRowHeight="14.5" x14ac:dyDescent="0.35"/>
  <cols>
    <col min="1" max="1" width="71.6328125" customWidth="1"/>
    <col min="2" max="2" width="22.54296875" customWidth="1"/>
    <col min="3" max="3" width="17.08984375" customWidth="1"/>
  </cols>
  <sheetData>
    <row r="1" spans="1:5" x14ac:dyDescent="0.35">
      <c r="A1" s="86" t="s">
        <v>441</v>
      </c>
      <c r="B1" s="86" t="s">
        <v>442</v>
      </c>
      <c r="C1" s="86" t="s">
        <v>443</v>
      </c>
    </row>
    <row r="2" spans="1:5" x14ac:dyDescent="0.35">
      <c r="A2" s="6" t="s">
        <v>444</v>
      </c>
    </row>
    <row r="3" spans="1:5" x14ac:dyDescent="0.35">
      <c r="A3" t="s">
        <v>445</v>
      </c>
      <c r="B3" s="87" t="s">
        <v>446</v>
      </c>
      <c r="C3" s="87" t="s">
        <v>447</v>
      </c>
    </row>
    <row r="4" spans="1:5" x14ac:dyDescent="0.35">
      <c r="A4" t="s">
        <v>448</v>
      </c>
      <c r="B4" s="87" t="s">
        <v>449</v>
      </c>
      <c r="C4" s="87" t="s">
        <v>450</v>
      </c>
    </row>
    <row r="5" spans="1:5" x14ac:dyDescent="0.35">
      <c r="A5" t="s">
        <v>451</v>
      </c>
      <c r="B5" s="88">
        <f>+B4+B3</f>
        <v>1000122</v>
      </c>
      <c r="C5" s="88">
        <f>+C4+C3</f>
        <v>974864</v>
      </c>
    </row>
    <row r="6" spans="1:5" x14ac:dyDescent="0.35">
      <c r="A6" t="s">
        <v>452</v>
      </c>
      <c r="B6" s="87" t="s">
        <v>453</v>
      </c>
      <c r="C6" s="87" t="s">
        <v>454</v>
      </c>
    </row>
    <row r="7" spans="1:5" x14ac:dyDescent="0.35">
      <c r="A7" t="s">
        <v>455</v>
      </c>
      <c r="B7" s="89">
        <f>+B5-B6</f>
        <v>914472</v>
      </c>
      <c r="C7" s="89">
        <f>+C5-C6</f>
        <v>891311</v>
      </c>
    </row>
    <row r="8" spans="1:5" x14ac:dyDescent="0.35">
      <c r="A8" t="s">
        <v>456</v>
      </c>
      <c r="B8" s="87" t="s">
        <v>457</v>
      </c>
      <c r="C8" s="87" t="s">
        <v>458</v>
      </c>
    </row>
    <row r="9" spans="1:5" x14ac:dyDescent="0.35">
      <c r="A9" t="s">
        <v>459</v>
      </c>
      <c r="B9" s="89">
        <f>+B7+B8</f>
        <v>930529</v>
      </c>
      <c r="C9" s="89">
        <f>+C8+C7</f>
        <v>903045</v>
      </c>
    </row>
    <row r="10" spans="1:5" x14ac:dyDescent="0.35">
      <c r="A10" s="6" t="s">
        <v>460</v>
      </c>
      <c r="B10" s="87"/>
      <c r="C10" s="87"/>
    </row>
    <row r="11" spans="1:5" x14ac:dyDescent="0.35">
      <c r="A11" t="s">
        <v>461</v>
      </c>
      <c r="B11" s="87" t="s">
        <v>462</v>
      </c>
      <c r="C11" s="87" t="s">
        <v>463</v>
      </c>
      <c r="E11" s="87"/>
    </row>
    <row r="12" spans="1:5" x14ac:dyDescent="0.35">
      <c r="A12" t="s">
        <v>464</v>
      </c>
      <c r="B12" s="87" t="s">
        <v>465</v>
      </c>
      <c r="C12" s="87" t="s">
        <v>466</v>
      </c>
      <c r="E12" s="87"/>
    </row>
    <row r="13" spans="1:5" x14ac:dyDescent="0.35">
      <c r="A13" t="s">
        <v>146</v>
      </c>
      <c r="B13" s="87" t="s">
        <v>467</v>
      </c>
      <c r="C13" s="87" t="s">
        <v>468</v>
      </c>
      <c r="E13" s="87"/>
    </row>
    <row r="14" spans="1:5" x14ac:dyDescent="0.35">
      <c r="A14" t="s">
        <v>469</v>
      </c>
      <c r="B14" s="87" t="s">
        <v>470</v>
      </c>
      <c r="C14" s="87" t="s">
        <v>471</v>
      </c>
      <c r="E14" s="87"/>
    </row>
    <row r="15" spans="1:5" x14ac:dyDescent="0.35">
      <c r="A15" t="s">
        <v>472</v>
      </c>
      <c r="B15" s="87" t="s">
        <v>473</v>
      </c>
      <c r="C15" s="87" t="s">
        <v>474</v>
      </c>
      <c r="E15" s="87"/>
    </row>
    <row r="16" spans="1:5" x14ac:dyDescent="0.35">
      <c r="A16" t="s">
        <v>475</v>
      </c>
      <c r="B16" s="87" t="s">
        <v>244</v>
      </c>
      <c r="C16" s="87" t="s">
        <v>243</v>
      </c>
      <c r="E16" s="87"/>
    </row>
    <row r="17" spans="1:5" x14ac:dyDescent="0.35">
      <c r="A17" t="s">
        <v>476</v>
      </c>
      <c r="B17" s="87" t="s">
        <v>257</v>
      </c>
      <c r="C17" s="87" t="s">
        <v>256</v>
      </c>
      <c r="E17" s="87"/>
    </row>
    <row r="18" spans="1:5" x14ac:dyDescent="0.35">
      <c r="A18" t="s">
        <v>477</v>
      </c>
      <c r="B18" s="87" t="s">
        <v>478</v>
      </c>
      <c r="C18" s="87" t="s">
        <v>479</v>
      </c>
      <c r="E18" s="87"/>
    </row>
    <row r="19" spans="1:5" x14ac:dyDescent="0.35">
      <c r="A19" t="s">
        <v>480</v>
      </c>
      <c r="B19" s="90">
        <f>+B18+B17+B16+B15+B14+B13+B12+B11</f>
        <v>826189</v>
      </c>
      <c r="C19" s="90">
        <f>+C18+C17+C16+C15+C14+C13+C12+C11</f>
        <v>809023</v>
      </c>
      <c r="D19" t="s">
        <v>36</v>
      </c>
      <c r="E19" s="87"/>
    </row>
    <row r="20" spans="1:5" x14ac:dyDescent="0.35">
      <c r="B20" s="90"/>
      <c r="C20" s="90"/>
      <c r="E20" s="87"/>
    </row>
    <row r="21" spans="1:5" x14ac:dyDescent="0.35">
      <c r="A21" t="s">
        <v>481</v>
      </c>
      <c r="B21" s="91">
        <f>+B9-B19</f>
        <v>104340</v>
      </c>
      <c r="C21" s="91">
        <f>+C9-C19</f>
        <v>94022</v>
      </c>
      <c r="E21" s="87"/>
    </row>
    <row r="22" spans="1:5" x14ac:dyDescent="0.35">
      <c r="A22" t="s">
        <v>482</v>
      </c>
      <c r="B22" s="87" t="s">
        <v>483</v>
      </c>
      <c r="C22" s="87" t="s">
        <v>484</v>
      </c>
      <c r="E22" s="87"/>
    </row>
    <row r="23" spans="1:5" x14ac:dyDescent="0.35">
      <c r="A23" t="s">
        <v>306</v>
      </c>
      <c r="B23" s="89">
        <f>+B21+B22</f>
        <v>104727</v>
      </c>
      <c r="C23" s="89">
        <f>+C21+C22</f>
        <v>94046</v>
      </c>
    </row>
    <row r="24" spans="1:5" x14ac:dyDescent="0.35">
      <c r="A24" t="s">
        <v>485</v>
      </c>
      <c r="B24" s="87"/>
      <c r="C24" s="87"/>
    </row>
    <row r="25" spans="1:5" x14ac:dyDescent="0.35">
      <c r="A25" t="s">
        <v>486</v>
      </c>
      <c r="B25" s="87" t="s">
        <v>487</v>
      </c>
      <c r="C25" s="87" t="s">
        <v>488</v>
      </c>
      <c r="D25" t="s">
        <v>36</v>
      </c>
    </row>
    <row r="26" spans="1:5" x14ac:dyDescent="0.35">
      <c r="A26" t="s">
        <v>489</v>
      </c>
      <c r="B26" s="87" t="s">
        <v>490</v>
      </c>
      <c r="C26" s="87" t="s">
        <v>491</v>
      </c>
      <c r="D26" t="s">
        <v>36</v>
      </c>
    </row>
    <row r="27" spans="1:5" x14ac:dyDescent="0.35">
      <c r="B27" s="87">
        <f>+B26+B25</f>
        <v>25707</v>
      </c>
      <c r="C27" s="87">
        <f>+C26+C25</f>
        <v>13515</v>
      </c>
    </row>
    <row r="28" spans="1:5" x14ac:dyDescent="0.35">
      <c r="A28" t="s">
        <v>492</v>
      </c>
      <c r="B28" s="89">
        <f>+B23-B27</f>
        <v>79020</v>
      </c>
      <c r="C28" s="92" t="s">
        <v>493</v>
      </c>
      <c r="D28" t="s">
        <v>36</v>
      </c>
    </row>
    <row r="29" spans="1:5" x14ac:dyDescent="0.35">
      <c r="A29" t="s">
        <v>494</v>
      </c>
      <c r="B29" s="87"/>
      <c r="C29" s="87"/>
    </row>
    <row r="30" spans="1:5" x14ac:dyDescent="0.35">
      <c r="A30" t="s">
        <v>495</v>
      </c>
      <c r="B30" s="93" t="s">
        <v>287</v>
      </c>
      <c r="C30" s="93" t="s">
        <v>286</v>
      </c>
    </row>
    <row r="31" spans="1:5" x14ac:dyDescent="0.35">
      <c r="A31" t="s">
        <v>496</v>
      </c>
      <c r="B31" s="87" t="s">
        <v>497</v>
      </c>
      <c r="C31" s="87" t="s">
        <v>498</v>
      </c>
    </row>
    <row r="32" spans="1:5" x14ac:dyDescent="0.35">
      <c r="A32" t="s">
        <v>499</v>
      </c>
      <c r="B32" s="87" t="s">
        <v>500</v>
      </c>
      <c r="C32" s="87">
        <f>+C30+C31</f>
        <v>55276</v>
      </c>
    </row>
    <row r="34" spans="1:3" x14ac:dyDescent="0.35">
      <c r="A34" t="str">
        <f>+'Income Statement'!A17</f>
        <v>Net Profit </v>
      </c>
      <c r="B34" s="94" t="str">
        <f>+'Income Statement'!M17</f>
        <v>79,020</v>
      </c>
      <c r="C34" s="95">
        <f>+'Income Statement'!L17</f>
        <v>74088</v>
      </c>
    </row>
    <row r="38" spans="1:3" ht="17.5" x14ac:dyDescent="0.35">
      <c r="A38" s="134" t="s">
        <v>648</v>
      </c>
    </row>
    <row r="40" spans="1:3" x14ac:dyDescent="0.35">
      <c r="A40" s="135" t="s">
        <v>28</v>
      </c>
      <c r="B40" s="135" t="s">
        <v>433</v>
      </c>
      <c r="C40" s="135" t="s">
        <v>434</v>
      </c>
    </row>
    <row r="41" spans="1:3" x14ac:dyDescent="0.35">
      <c r="A41" s="137" t="s">
        <v>444</v>
      </c>
      <c r="B41" s="136"/>
      <c r="C41" s="136"/>
    </row>
    <row r="42" spans="1:3" x14ac:dyDescent="0.35">
      <c r="A42" s="136" t="s">
        <v>451</v>
      </c>
      <c r="B42" s="138">
        <v>1000122</v>
      </c>
      <c r="C42" s="138">
        <v>974864</v>
      </c>
    </row>
    <row r="43" spans="1:3" x14ac:dyDescent="0.35">
      <c r="A43" s="136" t="s">
        <v>452</v>
      </c>
      <c r="B43" s="138">
        <v>85650</v>
      </c>
      <c r="C43" s="138">
        <v>83553</v>
      </c>
    </row>
    <row r="44" spans="1:3" x14ac:dyDescent="0.35">
      <c r="A44" s="136" t="s">
        <v>455</v>
      </c>
      <c r="B44" s="138">
        <v>914472</v>
      </c>
      <c r="C44" s="138">
        <v>891311</v>
      </c>
    </row>
    <row r="45" spans="1:3" x14ac:dyDescent="0.35">
      <c r="A45" s="136" t="s">
        <v>456</v>
      </c>
      <c r="B45" s="138">
        <v>16057</v>
      </c>
      <c r="C45" s="138">
        <v>11734</v>
      </c>
    </row>
    <row r="46" spans="1:3" x14ac:dyDescent="0.35">
      <c r="A46" s="137" t="s">
        <v>459</v>
      </c>
      <c r="B46" s="139">
        <v>930529</v>
      </c>
      <c r="C46" s="139">
        <v>903045</v>
      </c>
    </row>
    <row r="47" spans="1:3" x14ac:dyDescent="0.35">
      <c r="A47" s="137" t="s">
        <v>460</v>
      </c>
      <c r="B47" s="136"/>
      <c r="C47" s="136"/>
    </row>
    <row r="48" spans="1:3" x14ac:dyDescent="0.35">
      <c r="A48" s="136" t="s">
        <v>461</v>
      </c>
      <c r="B48" s="138">
        <v>400345</v>
      </c>
      <c r="C48" s="138">
        <v>450241</v>
      </c>
    </row>
    <row r="49" spans="1:3" x14ac:dyDescent="0.35">
      <c r="A49" s="136" t="s">
        <v>464</v>
      </c>
      <c r="B49" s="138">
        <v>189881</v>
      </c>
      <c r="C49" s="138">
        <v>168505</v>
      </c>
    </row>
    <row r="50" spans="1:3" x14ac:dyDescent="0.35">
      <c r="A50" s="136" t="s">
        <v>649</v>
      </c>
      <c r="B50" s="138">
        <v>-4883</v>
      </c>
      <c r="C50" s="138">
        <v>-30263</v>
      </c>
    </row>
    <row r="51" spans="1:3" x14ac:dyDescent="0.35">
      <c r="A51" s="136" t="s">
        <v>469</v>
      </c>
      <c r="B51" s="138">
        <v>13408</v>
      </c>
      <c r="C51" s="138">
        <v>13476</v>
      </c>
    </row>
    <row r="52" spans="1:3" x14ac:dyDescent="0.35">
      <c r="A52" s="136" t="s">
        <v>472</v>
      </c>
      <c r="B52" s="138">
        <v>25679</v>
      </c>
      <c r="C52" s="138">
        <v>24872</v>
      </c>
    </row>
    <row r="53" spans="1:3" x14ac:dyDescent="0.35">
      <c r="A53" s="136" t="s">
        <v>475</v>
      </c>
      <c r="B53" s="138">
        <v>23118</v>
      </c>
      <c r="C53" s="138">
        <v>19571</v>
      </c>
    </row>
    <row r="54" spans="1:3" x14ac:dyDescent="0.35">
      <c r="A54" s="136" t="s">
        <v>650</v>
      </c>
      <c r="B54" s="138">
        <v>50832</v>
      </c>
      <c r="C54" s="138">
        <v>40303</v>
      </c>
    </row>
    <row r="55" spans="1:3" x14ac:dyDescent="0.35">
      <c r="A55" s="136" t="s">
        <v>477</v>
      </c>
      <c r="B55" s="138">
        <v>127809</v>
      </c>
      <c r="C55" s="138">
        <v>122318</v>
      </c>
    </row>
    <row r="56" spans="1:3" x14ac:dyDescent="0.35">
      <c r="A56" s="137" t="s">
        <v>480</v>
      </c>
      <c r="B56" s="139">
        <v>826189</v>
      </c>
      <c r="C56" s="139">
        <v>809023</v>
      </c>
    </row>
    <row r="57" spans="1:3" x14ac:dyDescent="0.35">
      <c r="A57" s="137" t="s">
        <v>651</v>
      </c>
      <c r="B57" s="138">
        <v>104340</v>
      </c>
      <c r="C57" s="138">
        <v>94022</v>
      </c>
    </row>
    <row r="58" spans="1:3" x14ac:dyDescent="0.35">
      <c r="A58" s="136" t="s">
        <v>482</v>
      </c>
      <c r="B58" s="136">
        <v>387</v>
      </c>
      <c r="C58" s="136">
        <v>24</v>
      </c>
    </row>
    <row r="59" spans="1:3" x14ac:dyDescent="0.35">
      <c r="A59" s="137" t="s">
        <v>306</v>
      </c>
      <c r="B59" s="139">
        <v>104727</v>
      </c>
      <c r="C59" s="139">
        <v>94046</v>
      </c>
    </row>
    <row r="60" spans="1:3" x14ac:dyDescent="0.35">
      <c r="A60" s="137" t="s">
        <v>485</v>
      </c>
      <c r="B60" s="136"/>
      <c r="C60" s="136"/>
    </row>
    <row r="61" spans="1:3" x14ac:dyDescent="0.35">
      <c r="A61" s="136" t="s">
        <v>486</v>
      </c>
      <c r="B61" s="138">
        <v>13590</v>
      </c>
      <c r="C61" s="138">
        <v>8398</v>
      </c>
    </row>
    <row r="62" spans="1:3" x14ac:dyDescent="0.35">
      <c r="A62" s="136" t="s">
        <v>489</v>
      </c>
      <c r="B62" s="138">
        <v>12117</v>
      </c>
      <c r="C62" s="138">
        <v>11978</v>
      </c>
    </row>
    <row r="63" spans="1:3" x14ac:dyDescent="0.35">
      <c r="A63" s="137" t="s">
        <v>492</v>
      </c>
      <c r="B63" s="139">
        <v>79020</v>
      </c>
      <c r="C63" s="139">
        <v>73670</v>
      </c>
    </row>
    <row r="64" spans="1:3" x14ac:dyDescent="0.35">
      <c r="A64" s="136" t="s">
        <v>494</v>
      </c>
      <c r="B64" s="136" t="s">
        <v>652</v>
      </c>
      <c r="C64" s="136">
        <v>418</v>
      </c>
    </row>
    <row r="65" spans="1:3" x14ac:dyDescent="0.35">
      <c r="A65" s="137" t="s">
        <v>495</v>
      </c>
      <c r="B65" s="139">
        <v>79020</v>
      </c>
      <c r="C65" s="139">
        <v>74088</v>
      </c>
    </row>
    <row r="66" spans="1:3" x14ac:dyDescent="0.35">
      <c r="A66" s="137" t="s">
        <v>653</v>
      </c>
      <c r="B66" s="136"/>
      <c r="C66" s="136"/>
    </row>
    <row r="67" spans="1:3" x14ac:dyDescent="0.35">
      <c r="A67" s="136" t="s">
        <v>654</v>
      </c>
      <c r="B67" s="138">
        <v>3852</v>
      </c>
      <c r="C67" s="136">
        <v>-39</v>
      </c>
    </row>
    <row r="68" spans="1:3" x14ac:dyDescent="0.35">
      <c r="A68" s="136" t="s">
        <v>655</v>
      </c>
      <c r="B68" s="136">
        <v>-433</v>
      </c>
      <c r="C68" s="136">
        <v>-13</v>
      </c>
    </row>
    <row r="69" spans="1:3" x14ac:dyDescent="0.35">
      <c r="A69" s="136" t="s">
        <v>656</v>
      </c>
      <c r="B69" s="136">
        <v>244</v>
      </c>
      <c r="C69" s="138">
        <v>-9503</v>
      </c>
    </row>
    <row r="70" spans="1:3" x14ac:dyDescent="0.35">
      <c r="A70" s="136" t="s">
        <v>655</v>
      </c>
      <c r="B70" s="136">
        <v>6</v>
      </c>
      <c r="C70" s="138">
        <v>1829</v>
      </c>
    </row>
    <row r="71" spans="1:3" x14ac:dyDescent="0.35">
      <c r="A71" s="137" t="s">
        <v>657</v>
      </c>
      <c r="B71" s="139">
        <v>3669</v>
      </c>
      <c r="C71" s="139">
        <v>-18812</v>
      </c>
    </row>
    <row r="72" spans="1:3" x14ac:dyDescent="0.35">
      <c r="A72" s="137" t="s">
        <v>499</v>
      </c>
      <c r="B72" s="139">
        <v>82689</v>
      </c>
      <c r="C72" s="139">
        <v>55276</v>
      </c>
    </row>
    <row r="73" spans="1:3" x14ac:dyDescent="0.35">
      <c r="A73" s="137" t="s">
        <v>658</v>
      </c>
      <c r="B73" s="136"/>
      <c r="C73" s="136"/>
    </row>
    <row r="74" spans="1:3" x14ac:dyDescent="0.35">
      <c r="A74" s="136" t="s">
        <v>659</v>
      </c>
      <c r="B74" s="138">
        <v>69621</v>
      </c>
      <c r="C74" s="138">
        <v>66702</v>
      </c>
    </row>
    <row r="75" spans="1:3" x14ac:dyDescent="0.35">
      <c r="A75" s="136" t="s">
        <v>520</v>
      </c>
      <c r="B75" s="140">
        <v>9399</v>
      </c>
      <c r="C75" s="140">
        <v>7386</v>
      </c>
    </row>
    <row r="76" spans="1:3" x14ac:dyDescent="0.35">
      <c r="A76" s="137" t="s">
        <v>660</v>
      </c>
      <c r="B76" s="136"/>
      <c r="C76" s="136"/>
    </row>
    <row r="77" spans="1:3" x14ac:dyDescent="0.35">
      <c r="A77" s="136" t="s">
        <v>659</v>
      </c>
      <c r="B77" s="138">
        <v>3567</v>
      </c>
      <c r="C77" s="138">
        <v>-18783</v>
      </c>
    </row>
    <row r="78" spans="1:3" x14ac:dyDescent="0.35">
      <c r="A78" s="136" t="s">
        <v>520</v>
      </c>
      <c r="B78" s="136">
        <v>102</v>
      </c>
      <c r="C78" s="136">
        <v>-29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025B-3114-443E-BA1D-F842850C554B}">
  <dimension ref="A1:O34"/>
  <sheetViews>
    <sheetView zoomScale="69" workbookViewId="0">
      <pane xSplit="1" topLeftCell="B1" activePane="topRight" state="frozen"/>
      <selection pane="topRight" activeCell="D34" sqref="D34"/>
    </sheetView>
  </sheetViews>
  <sheetFormatPr defaultRowHeight="14.5" x14ac:dyDescent="0.35"/>
  <cols>
    <col min="1" max="1" width="37.453125" customWidth="1"/>
    <col min="2" max="2" width="15.54296875" customWidth="1"/>
    <col min="3" max="3" width="16.08984375" customWidth="1"/>
    <col min="4" max="4" width="15" customWidth="1"/>
    <col min="5" max="5" width="13.54296875" customWidth="1"/>
    <col min="6" max="6" width="12.1796875" customWidth="1"/>
    <col min="7" max="7" width="12.08984375" customWidth="1"/>
    <col min="8" max="8" width="10.7265625" customWidth="1"/>
    <col min="9" max="9" width="10.54296875" customWidth="1"/>
    <col min="10" max="10" width="12.453125" customWidth="1"/>
    <col min="11" max="11" width="12.1796875" customWidth="1"/>
    <col min="12" max="12" width="12.6328125" customWidth="1"/>
    <col min="13" max="13" width="12.90625" customWidth="1"/>
  </cols>
  <sheetData>
    <row r="1" spans="1:15" s="156" customFormat="1" x14ac:dyDescent="0.35">
      <c r="A1" s="154" t="s">
        <v>585</v>
      </c>
      <c r="B1" s="155">
        <v>41334</v>
      </c>
      <c r="C1" s="155">
        <v>41699</v>
      </c>
      <c r="D1" s="155">
        <v>42064</v>
      </c>
      <c r="E1" s="155">
        <v>42430</v>
      </c>
      <c r="F1" s="155">
        <v>42795</v>
      </c>
      <c r="G1" s="155">
        <v>43160</v>
      </c>
      <c r="H1" s="155">
        <v>43525</v>
      </c>
      <c r="I1" s="155">
        <v>43891</v>
      </c>
      <c r="J1" s="155">
        <v>44256</v>
      </c>
      <c r="K1" s="155">
        <v>44621</v>
      </c>
      <c r="L1" s="155">
        <v>44986</v>
      </c>
      <c r="M1" s="155">
        <v>45352</v>
      </c>
    </row>
    <row r="2" spans="1:15" x14ac:dyDescent="0.35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1:15" x14ac:dyDescent="0.35">
      <c r="A3" s="153" t="s">
        <v>712</v>
      </c>
      <c r="B3" s="107">
        <v>34373</v>
      </c>
      <c r="C3" s="107">
        <v>38444</v>
      </c>
      <c r="D3" s="107">
        <v>38994</v>
      </c>
      <c r="E3" s="107">
        <v>38887</v>
      </c>
      <c r="F3" s="107">
        <v>44170</v>
      </c>
      <c r="G3" s="107">
        <v>62765</v>
      </c>
      <c r="H3" s="107">
        <v>83319</v>
      </c>
      <c r="I3" s="107">
        <v>85347</v>
      </c>
      <c r="J3" s="107">
        <v>80129</v>
      </c>
      <c r="K3" s="107">
        <v>113726</v>
      </c>
      <c r="L3" s="107">
        <v>140963</v>
      </c>
      <c r="M3" s="107">
        <v>164383</v>
      </c>
    </row>
    <row r="4" spans="1:15" x14ac:dyDescent="0.35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</row>
    <row r="5" spans="1:15" x14ac:dyDescent="0.35">
      <c r="A5" s="108" t="s">
        <v>579</v>
      </c>
      <c r="B5" s="109">
        <v>7289</v>
      </c>
      <c r="C5" s="109">
        <v>-1913</v>
      </c>
      <c r="D5" s="109">
        <v>1097</v>
      </c>
      <c r="E5" s="109">
        <v>-6880</v>
      </c>
      <c r="F5" s="109">
        <v>-8511</v>
      </c>
      <c r="G5" s="109">
        <v>-21991</v>
      </c>
      <c r="H5" s="109">
        <v>-40136</v>
      </c>
      <c r="I5" s="109">
        <v>-13792</v>
      </c>
      <c r="J5" s="110">
        <v>959</v>
      </c>
      <c r="K5" s="109">
        <v>-14180</v>
      </c>
      <c r="L5" s="109">
        <v>13194</v>
      </c>
      <c r="M5" s="109">
        <v>-15674</v>
      </c>
      <c r="N5" t="s">
        <v>36</v>
      </c>
    </row>
    <row r="6" spans="1:15" x14ac:dyDescent="0.35">
      <c r="A6" s="108" t="s">
        <v>580</v>
      </c>
      <c r="B6" s="109">
        <v>-7525</v>
      </c>
      <c r="C6" s="109">
        <v>-1396</v>
      </c>
      <c r="D6" s="109">
        <v>3472</v>
      </c>
      <c r="E6" s="109">
        <v>6758</v>
      </c>
      <c r="F6" s="109">
        <v>-6899</v>
      </c>
      <c r="G6" s="109">
        <v>-10474</v>
      </c>
      <c r="H6" s="109">
        <v>-6724</v>
      </c>
      <c r="I6" s="109">
        <v>-6342</v>
      </c>
      <c r="J6" s="109">
        <v>-7769</v>
      </c>
      <c r="K6" s="109">
        <v>-24983</v>
      </c>
      <c r="L6" s="109">
        <v>-32228</v>
      </c>
      <c r="M6" s="109">
        <v>-12756</v>
      </c>
      <c r="N6" t="s">
        <v>36</v>
      </c>
    </row>
    <row r="7" spans="1:15" x14ac:dyDescent="0.35">
      <c r="A7" s="108" t="s">
        <v>581</v>
      </c>
      <c r="B7" s="109">
        <v>7608</v>
      </c>
      <c r="C7" s="109">
        <v>14339</v>
      </c>
      <c r="D7" s="109">
        <v>-2754</v>
      </c>
      <c r="E7" s="109">
        <v>7951</v>
      </c>
      <c r="F7" s="109">
        <v>30873</v>
      </c>
      <c r="G7" s="109">
        <v>51003</v>
      </c>
      <c r="H7" s="109">
        <v>18078</v>
      </c>
      <c r="I7" s="109">
        <v>38050</v>
      </c>
      <c r="J7" s="109">
        <v>-43148</v>
      </c>
      <c r="K7" s="109">
        <v>39888</v>
      </c>
      <c r="L7" s="110">
        <v>-600</v>
      </c>
      <c r="M7" s="109">
        <v>34796</v>
      </c>
      <c r="N7" t="s">
        <v>36</v>
      </c>
      <c r="O7" s="85" t="s">
        <v>36</v>
      </c>
    </row>
    <row r="8" spans="1:15" x14ac:dyDescent="0.35">
      <c r="A8" s="159" t="s">
        <v>582</v>
      </c>
      <c r="B8" s="157">
        <f>+B7+B6+B5</f>
        <v>7372</v>
      </c>
      <c r="C8" s="157">
        <f t="shared" ref="C8:M8" si="0">+C7+C6+C5</f>
        <v>11030</v>
      </c>
      <c r="D8" s="157">
        <f t="shared" si="0"/>
        <v>1815</v>
      </c>
      <c r="E8" s="157">
        <f t="shared" si="0"/>
        <v>7829</v>
      </c>
      <c r="F8" s="157">
        <f t="shared" si="0"/>
        <v>15463</v>
      </c>
      <c r="G8" s="157">
        <f t="shared" si="0"/>
        <v>18538</v>
      </c>
      <c r="H8" s="157">
        <f t="shared" si="0"/>
        <v>-28782</v>
      </c>
      <c r="I8" s="157">
        <f t="shared" si="0"/>
        <v>17916</v>
      </c>
      <c r="J8" s="157">
        <f t="shared" si="0"/>
        <v>-49958</v>
      </c>
      <c r="K8" s="157">
        <f t="shared" si="0"/>
        <v>725</v>
      </c>
      <c r="L8" s="158">
        <f t="shared" si="0"/>
        <v>-19634</v>
      </c>
      <c r="M8" s="158">
        <f t="shared" si="0"/>
        <v>6366</v>
      </c>
    </row>
    <row r="9" spans="1:15" x14ac:dyDescent="0.35">
      <c r="A9" s="106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</row>
    <row r="10" spans="1:15" x14ac:dyDescent="0.35">
      <c r="A10" s="108" t="s">
        <v>583</v>
      </c>
      <c r="B10" s="109">
        <v>-4824</v>
      </c>
      <c r="C10" s="109">
        <v>-6213</v>
      </c>
      <c r="D10" s="109">
        <v>-6435</v>
      </c>
      <c r="E10" s="109">
        <v>-8582</v>
      </c>
      <c r="F10" s="109">
        <v>-10083</v>
      </c>
      <c r="G10" s="109">
        <v>-9844</v>
      </c>
      <c r="H10" s="109">
        <v>-12191</v>
      </c>
      <c r="I10" s="109">
        <v>-8386</v>
      </c>
      <c r="J10" s="109">
        <v>-3213</v>
      </c>
      <c r="K10" s="109">
        <v>-3797</v>
      </c>
      <c r="L10" s="109">
        <v>-6297</v>
      </c>
      <c r="M10" s="109">
        <v>-11961</v>
      </c>
    </row>
    <row r="11" spans="1:15" hidden="1" x14ac:dyDescent="0.35">
      <c r="A11" s="108" t="s">
        <v>584</v>
      </c>
      <c r="B11" s="110">
        <v>-3</v>
      </c>
      <c r="C11" s="110">
        <v>0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</row>
    <row r="12" spans="1:15" x14ac:dyDescent="0.3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</row>
    <row r="13" spans="1:15" ht="18" x14ac:dyDescent="0.35">
      <c r="A13" s="160" t="s">
        <v>586</v>
      </c>
      <c r="B13" s="161">
        <f t="shared" ref="B13:M13" si="1">+B3+B8+B10+B11</f>
        <v>36918</v>
      </c>
      <c r="C13" s="161">
        <f t="shared" si="1"/>
        <v>43261</v>
      </c>
      <c r="D13" s="161">
        <f t="shared" si="1"/>
        <v>34374</v>
      </c>
      <c r="E13" s="161">
        <f t="shared" si="1"/>
        <v>38134</v>
      </c>
      <c r="F13" s="161">
        <f t="shared" si="1"/>
        <v>49550</v>
      </c>
      <c r="G13" s="161">
        <f t="shared" si="1"/>
        <v>71459</v>
      </c>
      <c r="H13" s="161">
        <f t="shared" si="1"/>
        <v>42346</v>
      </c>
      <c r="I13" s="161">
        <f t="shared" si="1"/>
        <v>94877</v>
      </c>
      <c r="J13" s="161">
        <f t="shared" si="1"/>
        <v>26958</v>
      </c>
      <c r="K13" s="161">
        <f t="shared" si="1"/>
        <v>110654</v>
      </c>
      <c r="L13" s="161">
        <f t="shared" si="1"/>
        <v>115032</v>
      </c>
      <c r="M13" s="161">
        <f t="shared" si="1"/>
        <v>158788</v>
      </c>
    </row>
    <row r="15" spans="1:15" x14ac:dyDescent="0.35">
      <c r="A15" s="112" t="s">
        <v>587</v>
      </c>
      <c r="B15" s="113">
        <v>-30726</v>
      </c>
      <c r="C15" s="113">
        <v>-60087</v>
      </c>
      <c r="D15" s="113">
        <v>-63364</v>
      </c>
      <c r="E15" s="113">
        <v>-46898</v>
      </c>
      <c r="F15" s="113">
        <v>-78109</v>
      </c>
      <c r="G15" s="113">
        <v>-73953</v>
      </c>
      <c r="H15" s="113">
        <v>-93626</v>
      </c>
      <c r="I15" s="113">
        <v>-76517</v>
      </c>
      <c r="J15" s="113">
        <v>-105837</v>
      </c>
      <c r="K15" s="113">
        <v>-100145</v>
      </c>
      <c r="L15" s="113">
        <v>-140988</v>
      </c>
      <c r="M15" s="113">
        <v>-152883</v>
      </c>
    </row>
    <row r="16" spans="1:15" x14ac:dyDescent="0.35">
      <c r="A16" s="112" t="s">
        <v>588</v>
      </c>
      <c r="B16" s="113">
        <v>2138</v>
      </c>
      <c r="C16" s="114">
        <v>148</v>
      </c>
      <c r="D16" s="114">
        <v>402</v>
      </c>
      <c r="E16" s="114">
        <v>344</v>
      </c>
      <c r="F16" s="113">
        <v>1482</v>
      </c>
      <c r="G16" s="114">
        <v>999</v>
      </c>
      <c r="H16" s="114">
        <v>849</v>
      </c>
      <c r="I16" s="114">
        <v>964</v>
      </c>
      <c r="J16" s="113">
        <v>2319</v>
      </c>
      <c r="K16" s="113">
        <v>3137</v>
      </c>
      <c r="L16" s="113">
        <v>9186</v>
      </c>
      <c r="M16" s="113">
        <v>15307</v>
      </c>
    </row>
    <row r="17" spans="1:13" x14ac:dyDescent="0.35">
      <c r="A17" s="112" t="s">
        <v>589</v>
      </c>
      <c r="B17" s="113">
        <v>-484826</v>
      </c>
      <c r="C17" s="113">
        <v>-765659</v>
      </c>
      <c r="D17" s="113">
        <v>-678241</v>
      </c>
      <c r="E17" s="113">
        <v>-715334</v>
      </c>
      <c r="F17" s="113">
        <v>-654760</v>
      </c>
      <c r="G17" s="113">
        <v>-533984</v>
      </c>
      <c r="H17" s="113">
        <v>-1107439</v>
      </c>
      <c r="I17" s="113">
        <v>-1156843</v>
      </c>
      <c r="J17" s="113">
        <v>-689866</v>
      </c>
      <c r="K17" s="113">
        <v>-667878</v>
      </c>
      <c r="L17" s="113">
        <v>-471822</v>
      </c>
      <c r="M17" s="113">
        <v>-514380</v>
      </c>
    </row>
    <row r="18" spans="1:13" x14ac:dyDescent="0.35">
      <c r="A18" s="112" t="s">
        <v>590</v>
      </c>
      <c r="B18" s="113">
        <v>482102</v>
      </c>
      <c r="C18" s="113">
        <v>749849</v>
      </c>
      <c r="D18" s="113">
        <v>666383</v>
      </c>
      <c r="E18" s="113">
        <v>721182</v>
      </c>
      <c r="F18" s="113">
        <v>663990</v>
      </c>
      <c r="G18" s="113">
        <v>537504</v>
      </c>
      <c r="H18" s="113">
        <v>1103615</v>
      </c>
      <c r="I18" s="113">
        <v>1174796</v>
      </c>
      <c r="J18" s="113">
        <v>642551</v>
      </c>
      <c r="K18" s="113">
        <v>668137</v>
      </c>
      <c r="L18" s="113">
        <v>501266</v>
      </c>
      <c r="M18" s="113">
        <v>531355</v>
      </c>
    </row>
    <row r="19" spans="1:13" x14ac:dyDescent="0.35">
      <c r="A19" s="112" t="s">
        <v>591</v>
      </c>
      <c r="B19" s="113">
        <v>6144</v>
      </c>
      <c r="C19" s="113">
        <v>6413</v>
      </c>
      <c r="D19" s="113">
        <v>6055</v>
      </c>
      <c r="E19" s="113">
        <v>2942</v>
      </c>
      <c r="F19" s="113">
        <v>1110</v>
      </c>
      <c r="G19" s="113">
        <v>1310</v>
      </c>
      <c r="H19" s="114">
        <v>972</v>
      </c>
      <c r="I19" s="113">
        <v>1441</v>
      </c>
      <c r="J19" s="113">
        <v>8400</v>
      </c>
      <c r="K19" s="113">
        <v>5933</v>
      </c>
      <c r="L19" s="113">
        <v>11103</v>
      </c>
      <c r="M19" s="113">
        <v>10648</v>
      </c>
    </row>
    <row r="20" spans="1:13" x14ac:dyDescent="0.35">
      <c r="A20" s="112" t="s">
        <v>592</v>
      </c>
      <c r="B20" s="114">
        <v>128</v>
      </c>
      <c r="C20" s="114">
        <v>316</v>
      </c>
      <c r="D20" s="114">
        <v>548</v>
      </c>
      <c r="E20" s="114">
        <v>732</v>
      </c>
      <c r="F20" s="114">
        <v>345</v>
      </c>
      <c r="G20" s="113">
        <v>1021</v>
      </c>
      <c r="H20" s="114">
        <v>501</v>
      </c>
      <c r="I20" s="114">
        <v>78</v>
      </c>
      <c r="J20" s="114">
        <v>26</v>
      </c>
      <c r="K20" s="114">
        <v>19</v>
      </c>
      <c r="L20" s="114">
        <v>20</v>
      </c>
      <c r="M20" s="114">
        <v>75</v>
      </c>
    </row>
    <row r="21" spans="1:13" x14ac:dyDescent="0.35">
      <c r="A21" s="112" t="s">
        <v>593</v>
      </c>
      <c r="B21" s="113">
        <v>-2561</v>
      </c>
      <c r="C21" s="113">
        <v>-4050</v>
      </c>
      <c r="D21" s="113">
        <v>3511</v>
      </c>
      <c r="E21" s="114">
        <v>846</v>
      </c>
      <c r="F21" s="114">
        <v>-259</v>
      </c>
      <c r="G21" s="113">
        <v>-1089</v>
      </c>
      <c r="H21" s="114">
        <v>621</v>
      </c>
      <c r="I21" s="113">
        <v>-16416</v>
      </c>
      <c r="J21" s="114">
        <v>22</v>
      </c>
      <c r="K21" s="113">
        <v>-18365</v>
      </c>
      <c r="L21" s="113">
        <v>-1766</v>
      </c>
      <c r="M21" s="113">
        <v>-3703</v>
      </c>
    </row>
    <row r="22" spans="1:13" ht="18" x14ac:dyDescent="0.35">
      <c r="A22" s="160" t="s">
        <v>594</v>
      </c>
      <c r="B22" s="161">
        <f>SUM(B15:B21)</f>
        <v>-27601</v>
      </c>
      <c r="C22" s="161">
        <f t="shared" ref="C22:M22" si="2">SUM(C15:C21)</f>
        <v>-73070</v>
      </c>
      <c r="D22" s="161">
        <f t="shared" si="2"/>
        <v>-64706</v>
      </c>
      <c r="E22" s="161">
        <f t="shared" si="2"/>
        <v>-36186</v>
      </c>
      <c r="F22" s="161">
        <f t="shared" si="2"/>
        <v>-66201</v>
      </c>
      <c r="G22" s="161">
        <f t="shared" si="2"/>
        <v>-68192</v>
      </c>
      <c r="H22" s="161">
        <f t="shared" si="2"/>
        <v>-94507</v>
      </c>
      <c r="I22" s="161">
        <f t="shared" si="2"/>
        <v>-72497</v>
      </c>
      <c r="J22" s="161">
        <f t="shared" si="2"/>
        <v>-142385</v>
      </c>
      <c r="K22" s="161">
        <f t="shared" si="2"/>
        <v>-109162</v>
      </c>
      <c r="L22" s="161">
        <f t="shared" si="2"/>
        <v>-93001</v>
      </c>
      <c r="M22" s="161">
        <f t="shared" si="2"/>
        <v>-113581</v>
      </c>
    </row>
    <row r="24" spans="1:13" x14ac:dyDescent="0.35">
      <c r="A24" s="115" t="s">
        <v>595</v>
      </c>
      <c r="B24" s="116">
        <v>12</v>
      </c>
      <c r="C24" s="116">
        <v>188</v>
      </c>
      <c r="D24" s="116">
        <v>343</v>
      </c>
      <c r="E24" s="116">
        <v>288</v>
      </c>
      <c r="F24" s="116">
        <v>811</v>
      </c>
      <c r="G24" s="116">
        <v>406</v>
      </c>
      <c r="H24" s="116">
        <v>230</v>
      </c>
      <c r="I24" s="116">
        <v>129</v>
      </c>
      <c r="J24" s="116">
        <v>5</v>
      </c>
      <c r="K24" s="116">
        <v>455</v>
      </c>
      <c r="L24" s="116">
        <v>479</v>
      </c>
      <c r="M24" s="117">
        <v>20915</v>
      </c>
    </row>
    <row r="25" spans="1:13" x14ac:dyDescent="0.35">
      <c r="A25" s="115" t="s">
        <v>596</v>
      </c>
      <c r="B25" s="117">
        <v>21186</v>
      </c>
      <c r="C25" s="117">
        <v>42152</v>
      </c>
      <c r="D25" s="117">
        <v>29413</v>
      </c>
      <c r="E25" s="117">
        <v>34673</v>
      </c>
      <c r="F25" s="117">
        <v>31728</v>
      </c>
      <c r="G25" s="117">
        <v>36970</v>
      </c>
      <c r="H25" s="117">
        <v>106701</v>
      </c>
      <c r="I25" s="117">
        <v>53760</v>
      </c>
      <c r="J25" s="117">
        <v>46421</v>
      </c>
      <c r="K25" s="117">
        <v>59343</v>
      </c>
      <c r="L25" s="117">
        <v>67134</v>
      </c>
      <c r="M25" s="117">
        <v>69610</v>
      </c>
    </row>
    <row r="26" spans="1:13" x14ac:dyDescent="0.35">
      <c r="A26" s="115" t="s">
        <v>597</v>
      </c>
      <c r="B26" s="117">
        <v>-10532</v>
      </c>
      <c r="C26" s="117">
        <v>-19835</v>
      </c>
      <c r="D26" s="117">
        <v>-11909</v>
      </c>
      <c r="E26" s="117">
        <v>-21693</v>
      </c>
      <c r="F26" s="117">
        <v>-18542</v>
      </c>
      <c r="G26" s="117">
        <v>-19813</v>
      </c>
      <c r="H26" s="117">
        <v>-20245</v>
      </c>
      <c r="I26" s="117">
        <v>-18179</v>
      </c>
      <c r="J26" s="117">
        <v>-116921</v>
      </c>
      <c r="K26" s="117">
        <v>-49493</v>
      </c>
      <c r="L26" s="117">
        <v>-29059</v>
      </c>
      <c r="M26" s="117">
        <v>-60348</v>
      </c>
    </row>
    <row r="27" spans="1:13" x14ac:dyDescent="0.35">
      <c r="A27" s="115" t="s">
        <v>598</v>
      </c>
      <c r="B27" s="117">
        <v>-4626</v>
      </c>
      <c r="C27" s="117">
        <v>-5619</v>
      </c>
      <c r="D27" s="117">
        <v>-6149</v>
      </c>
      <c r="E27" s="117">
        <v>-9224</v>
      </c>
      <c r="F27" s="117">
        <v>-12920</v>
      </c>
      <c r="G27" s="117">
        <v>-17669</v>
      </c>
      <c r="H27" s="117">
        <v>-23338</v>
      </c>
      <c r="I27" s="117">
        <v>-28508</v>
      </c>
      <c r="J27" s="117">
        <v>-18340</v>
      </c>
      <c r="K27" s="117">
        <v>-26349</v>
      </c>
      <c r="L27" s="117">
        <v>-21650</v>
      </c>
      <c r="M27" s="117">
        <v>-37173</v>
      </c>
    </row>
    <row r="28" spans="1:13" x14ac:dyDescent="0.35">
      <c r="A28" s="115" t="s">
        <v>599</v>
      </c>
      <c r="B28" s="117">
        <v>-2949</v>
      </c>
      <c r="C28" s="117">
        <v>-3123</v>
      </c>
      <c r="D28" s="117">
        <v>-3268</v>
      </c>
      <c r="E28" s="117">
        <v>-7259</v>
      </c>
      <c r="F28" s="116">
        <v>-53</v>
      </c>
      <c r="G28" s="117">
        <v>-3916</v>
      </c>
      <c r="H28" s="117">
        <v>-4282</v>
      </c>
      <c r="I28" s="117">
        <v>-4592</v>
      </c>
      <c r="J28" s="117">
        <v>-3921</v>
      </c>
      <c r="K28" s="117">
        <v>-4297</v>
      </c>
      <c r="L28" s="117">
        <v>-5083</v>
      </c>
      <c r="M28" s="117">
        <v>-6089</v>
      </c>
    </row>
    <row r="29" spans="1:13" x14ac:dyDescent="0.35">
      <c r="A29" s="115" t="s">
        <v>600</v>
      </c>
      <c r="B29" s="116">
        <v>0</v>
      </c>
      <c r="C29" s="116">
        <v>0</v>
      </c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7">
        <v>-1062</v>
      </c>
      <c r="J29" s="117">
        <v>-1022</v>
      </c>
      <c r="K29" s="117">
        <v>-2132</v>
      </c>
      <c r="L29" s="117">
        <v>-1406</v>
      </c>
      <c r="M29" s="117">
        <v>-2483</v>
      </c>
    </row>
    <row r="30" spans="1:13" x14ac:dyDescent="0.35">
      <c r="A30" s="115" t="s">
        <v>601</v>
      </c>
      <c r="B30" s="116">
        <v>25</v>
      </c>
      <c r="C30" s="116">
        <v>17</v>
      </c>
      <c r="D30" s="116">
        <v>17</v>
      </c>
      <c r="E30" s="116">
        <v>8</v>
      </c>
      <c r="F30" s="116">
        <v>4</v>
      </c>
      <c r="G30" s="116">
        <v>15</v>
      </c>
      <c r="H30" s="116">
        <v>2</v>
      </c>
      <c r="I30" s="116">
        <v>1</v>
      </c>
      <c r="J30" s="116">
        <v>0</v>
      </c>
      <c r="K30" s="116">
        <v>0</v>
      </c>
      <c r="L30" s="116">
        <v>0</v>
      </c>
      <c r="M30" s="116">
        <v>0</v>
      </c>
    </row>
    <row r="31" spans="1:13" x14ac:dyDescent="0.35">
      <c r="A31" s="115" t="s">
        <v>602</v>
      </c>
      <c r="B31" s="117">
        <v>-2708</v>
      </c>
      <c r="C31" s="116">
        <v>-67</v>
      </c>
      <c r="D31" s="116">
        <v>-3</v>
      </c>
      <c r="E31" s="116">
        <v>-3</v>
      </c>
      <c r="F31" s="117">
        <v>7589</v>
      </c>
      <c r="G31" s="117">
        <v>2006</v>
      </c>
      <c r="H31" s="117">
        <v>-3162</v>
      </c>
      <c r="I31" s="117">
        <v>-4090</v>
      </c>
      <c r="J31" s="117">
        <v>195682</v>
      </c>
      <c r="K31" s="117">
        <v>39762</v>
      </c>
      <c r="L31" s="116">
        <v>40</v>
      </c>
      <c r="M31" s="117">
        <v>-1078</v>
      </c>
    </row>
    <row r="32" spans="1:13" ht="18" x14ac:dyDescent="0.35">
      <c r="A32" s="160" t="s">
        <v>603</v>
      </c>
      <c r="B32" s="162">
        <f>SUM(B24:B31)</f>
        <v>408</v>
      </c>
      <c r="C32" s="161">
        <f t="shared" ref="C32:M32" si="3">SUM(C24:C31)</f>
        <v>13713</v>
      </c>
      <c r="D32" s="161">
        <f t="shared" si="3"/>
        <v>8444</v>
      </c>
      <c r="E32" s="161">
        <f t="shared" si="3"/>
        <v>-3210</v>
      </c>
      <c r="F32" s="161">
        <f t="shared" si="3"/>
        <v>8617</v>
      </c>
      <c r="G32" s="161">
        <f t="shared" si="3"/>
        <v>-2001</v>
      </c>
      <c r="H32" s="161">
        <f t="shared" si="3"/>
        <v>55906</v>
      </c>
      <c r="I32" s="161">
        <f t="shared" si="3"/>
        <v>-2541</v>
      </c>
      <c r="J32" s="161">
        <f t="shared" si="3"/>
        <v>101904</v>
      </c>
      <c r="K32" s="161">
        <f t="shared" si="3"/>
        <v>17289</v>
      </c>
      <c r="L32" s="161">
        <f t="shared" si="3"/>
        <v>10455</v>
      </c>
      <c r="M32" s="161">
        <f t="shared" si="3"/>
        <v>-16646</v>
      </c>
    </row>
    <row r="33" spans="1:13" x14ac:dyDescent="0.35">
      <c r="B33" s="105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</row>
    <row r="34" spans="1:13" x14ac:dyDescent="0.35">
      <c r="A34" s="103" t="s">
        <v>604</v>
      </c>
      <c r="B34" s="85">
        <f>+B32+B22+B13</f>
        <v>9725</v>
      </c>
      <c r="C34" s="85">
        <f t="shared" ref="C34:M34" si="4">+C32+C22+C13</f>
        <v>-16096</v>
      </c>
      <c r="D34" s="85">
        <f t="shared" si="4"/>
        <v>-21888</v>
      </c>
      <c r="E34" s="85">
        <f t="shared" si="4"/>
        <v>-1262</v>
      </c>
      <c r="F34" s="85">
        <f t="shared" si="4"/>
        <v>-8034</v>
      </c>
      <c r="G34" s="85">
        <f t="shared" si="4"/>
        <v>1266</v>
      </c>
      <c r="H34" s="85">
        <f t="shared" si="4"/>
        <v>3745</v>
      </c>
      <c r="I34" s="85">
        <f t="shared" si="4"/>
        <v>19839</v>
      </c>
      <c r="J34" s="85">
        <f t="shared" si="4"/>
        <v>-13523</v>
      </c>
      <c r="K34" s="85">
        <f t="shared" si="4"/>
        <v>18781</v>
      </c>
      <c r="L34" s="85">
        <f t="shared" si="4"/>
        <v>32486</v>
      </c>
      <c r="M34" s="85">
        <f t="shared" si="4"/>
        <v>28561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338D-17CF-4A67-84D0-5841D7F28723}">
  <dimension ref="A1:H49"/>
  <sheetViews>
    <sheetView workbookViewId="0">
      <selection activeCell="D10" sqref="D10"/>
    </sheetView>
  </sheetViews>
  <sheetFormatPr defaultRowHeight="14.5" x14ac:dyDescent="0.35"/>
  <cols>
    <col min="1" max="1" width="39.7265625" customWidth="1"/>
    <col min="2" max="2" width="30.453125" customWidth="1"/>
    <col min="3" max="3" width="42.453125" customWidth="1"/>
    <col min="6" max="6" width="28.54296875" customWidth="1"/>
    <col min="7" max="7" width="22.26953125" customWidth="1"/>
    <col min="8" max="8" width="23.1796875" customWidth="1"/>
  </cols>
  <sheetData>
    <row r="1" spans="1:8" x14ac:dyDescent="0.35">
      <c r="A1" s="86" t="s">
        <v>441</v>
      </c>
      <c r="B1" s="86" t="s">
        <v>501</v>
      </c>
      <c r="C1" s="86" t="s">
        <v>502</v>
      </c>
    </row>
    <row r="2" spans="1:8" x14ac:dyDescent="0.35">
      <c r="A2" t="s">
        <v>503</v>
      </c>
      <c r="B2" s="44">
        <v>606084</v>
      </c>
      <c r="C2" s="44">
        <v>570503</v>
      </c>
    </row>
    <row r="3" spans="1:8" x14ac:dyDescent="0.35">
      <c r="A3" t="s">
        <v>504</v>
      </c>
      <c r="B3" s="44">
        <v>69852</v>
      </c>
      <c r="C3" s="44">
        <v>75351</v>
      </c>
    </row>
    <row r="4" spans="1:8" x14ac:dyDescent="0.35">
      <c r="A4" t="s">
        <v>505</v>
      </c>
      <c r="B4" s="44">
        <v>89060</v>
      </c>
      <c r="C4" s="44">
        <v>63681</v>
      </c>
    </row>
    <row r="5" spans="1:8" x14ac:dyDescent="0.35">
      <c r="A5" t="s">
        <v>506</v>
      </c>
      <c r="B5" s="44">
        <v>14989</v>
      </c>
      <c r="C5" s="44">
        <v>15270</v>
      </c>
    </row>
    <row r="6" spans="1:8" x14ac:dyDescent="0.35">
      <c r="A6" t="s">
        <v>507</v>
      </c>
      <c r="B6" s="44">
        <v>152382</v>
      </c>
      <c r="C6" s="44">
        <v>117259</v>
      </c>
    </row>
    <row r="7" spans="1:8" x14ac:dyDescent="0.35">
      <c r="A7" t="s">
        <v>508</v>
      </c>
      <c r="B7" s="44">
        <v>129602</v>
      </c>
      <c r="C7" s="44">
        <v>122357</v>
      </c>
    </row>
    <row r="8" spans="1:8" x14ac:dyDescent="0.35">
      <c r="A8" t="s">
        <v>509</v>
      </c>
      <c r="B8" s="44">
        <v>56871</v>
      </c>
      <c r="C8" s="44">
        <v>54136</v>
      </c>
      <c r="F8" t="s">
        <v>605</v>
      </c>
      <c r="G8">
        <v>2024</v>
      </c>
      <c r="H8">
        <v>2023</v>
      </c>
    </row>
    <row r="9" spans="1:8" x14ac:dyDescent="0.35">
      <c r="A9" t="s">
        <v>23</v>
      </c>
      <c r="B9" s="44">
        <v>119502</v>
      </c>
      <c r="C9" s="44">
        <v>117087</v>
      </c>
      <c r="F9" t="s">
        <v>606</v>
      </c>
      <c r="G9">
        <v>18770</v>
      </c>
      <c r="H9">
        <v>13758</v>
      </c>
    </row>
    <row r="10" spans="1:8" x14ac:dyDescent="0.35">
      <c r="A10" t="s">
        <v>128</v>
      </c>
      <c r="B10" s="44">
        <v>899</v>
      </c>
      <c r="C10" s="44">
        <v>1525</v>
      </c>
      <c r="F10" t="s">
        <v>607</v>
      </c>
      <c r="G10" s="95">
        <v>58936</v>
      </c>
      <c r="H10">
        <v>51282</v>
      </c>
    </row>
    <row r="11" spans="1:8" x14ac:dyDescent="0.35">
      <c r="A11" t="s">
        <v>510</v>
      </c>
      <c r="B11" s="44">
        <v>2622</v>
      </c>
      <c r="C11" s="44">
        <v>2523</v>
      </c>
      <c r="F11" t="s">
        <v>608</v>
      </c>
      <c r="G11" s="95">
        <v>20274</v>
      </c>
      <c r="H11">
        <v>27885</v>
      </c>
    </row>
    <row r="12" spans="1:8" x14ac:dyDescent="0.35">
      <c r="A12" t="s">
        <v>511</v>
      </c>
      <c r="B12" s="44">
        <v>938</v>
      </c>
      <c r="C12" s="44">
        <v>1549</v>
      </c>
      <c r="F12" t="s">
        <v>609</v>
      </c>
      <c r="G12" s="95">
        <v>32526</v>
      </c>
      <c r="H12">
        <v>26654</v>
      </c>
    </row>
    <row r="13" spans="1:8" x14ac:dyDescent="0.35">
      <c r="A13" t="s">
        <v>512</v>
      </c>
      <c r="B13" s="44">
        <v>43085</v>
      </c>
      <c r="C13" s="44">
        <v>40894</v>
      </c>
      <c r="F13" t="s">
        <v>610</v>
      </c>
      <c r="G13">
        <v>12054</v>
      </c>
      <c r="H13">
        <v>14538</v>
      </c>
    </row>
    <row r="14" spans="1:8" x14ac:dyDescent="0.35">
      <c r="A14" s="6" t="s">
        <v>513</v>
      </c>
      <c r="B14" s="45">
        <f>+SUM(B2:B13)</f>
        <v>1285886</v>
      </c>
      <c r="C14" s="45">
        <f>+SUM(C2:C13)</f>
        <v>1182135</v>
      </c>
      <c r="E14" t="s">
        <v>36</v>
      </c>
      <c r="F14" t="s">
        <v>611</v>
      </c>
      <c r="G14">
        <v>10210</v>
      </c>
      <c r="H14">
        <v>5891</v>
      </c>
    </row>
    <row r="15" spans="1:8" x14ac:dyDescent="0.35">
      <c r="A15" s="6"/>
      <c r="B15" s="45"/>
      <c r="C15" s="45"/>
      <c r="F15" t="s">
        <v>612</v>
      </c>
      <c r="G15">
        <v>152770</v>
      </c>
      <c r="H15">
        <v>140008</v>
      </c>
    </row>
    <row r="16" spans="1:8" x14ac:dyDescent="0.35">
      <c r="A16" t="s">
        <v>46</v>
      </c>
      <c r="B16" s="143">
        <v>152770</v>
      </c>
      <c r="C16" s="97">
        <v>140008</v>
      </c>
      <c r="D16" s="120">
        <f>+C16-B16</f>
        <v>-12762</v>
      </c>
    </row>
    <row r="17" spans="1:8" x14ac:dyDescent="0.35">
      <c r="A17" t="s">
        <v>23</v>
      </c>
      <c r="B17" s="143">
        <v>106170</v>
      </c>
      <c r="C17" s="97">
        <v>118473</v>
      </c>
      <c r="D17" s="46" t="s">
        <v>36</v>
      </c>
      <c r="F17" t="str">
        <f>+F11</f>
        <v>Finished Goods</v>
      </c>
      <c r="G17">
        <f>+G11</f>
        <v>20274</v>
      </c>
      <c r="H17">
        <f>+H11</f>
        <v>27885</v>
      </c>
    </row>
    <row r="18" spans="1:8" x14ac:dyDescent="0.35">
      <c r="A18" t="s">
        <v>514</v>
      </c>
      <c r="B18" s="143">
        <v>31628</v>
      </c>
      <c r="C18" s="97">
        <v>28448</v>
      </c>
      <c r="D18" s="46">
        <f t="shared" ref="D18:D22" si="0">+C18-B18</f>
        <v>-3180</v>
      </c>
      <c r="F18" t="str">
        <f>+F10</f>
        <v>Work-in-Progress</v>
      </c>
      <c r="G18">
        <f>+G10</f>
        <v>58936</v>
      </c>
      <c r="H18">
        <f>+H10</f>
        <v>51282</v>
      </c>
    </row>
    <row r="19" spans="1:8" x14ac:dyDescent="0.35">
      <c r="A19" t="s">
        <v>515</v>
      </c>
      <c r="B19" s="143">
        <v>97225</v>
      </c>
      <c r="C19" s="44">
        <v>68664</v>
      </c>
      <c r="D19" s="46" t="s">
        <v>36</v>
      </c>
      <c r="F19" t="str">
        <f>+F12</f>
        <v>Stock-in-Trade</v>
      </c>
      <c r="G19">
        <f>+G12</f>
        <v>32526</v>
      </c>
      <c r="H19">
        <f>+H12</f>
        <v>26654</v>
      </c>
    </row>
    <row r="20" spans="1:8" x14ac:dyDescent="0.35">
      <c r="A20" t="s">
        <v>128</v>
      </c>
      <c r="B20" s="143">
        <v>2517</v>
      </c>
      <c r="C20" s="44">
        <v>176</v>
      </c>
      <c r="D20" s="46">
        <f t="shared" si="0"/>
        <v>-2341</v>
      </c>
    </row>
    <row r="21" spans="1:8" x14ac:dyDescent="0.35">
      <c r="A21" t="s">
        <v>510</v>
      </c>
      <c r="B21" s="143">
        <v>23965</v>
      </c>
      <c r="C21" s="44">
        <v>19696</v>
      </c>
      <c r="D21" s="46">
        <f t="shared" si="0"/>
        <v>-4269</v>
      </c>
      <c r="G21">
        <f>SUM(G17:G20)</f>
        <v>111736</v>
      </c>
      <c r="H21">
        <f>SUM(H17:H20)</f>
        <v>105821</v>
      </c>
    </row>
    <row r="22" spans="1:8" x14ac:dyDescent="0.35">
      <c r="A22" t="s">
        <v>516</v>
      </c>
      <c r="B22" s="143">
        <v>55825</v>
      </c>
      <c r="C22" s="44">
        <v>49831</v>
      </c>
      <c r="D22" s="46">
        <f t="shared" si="0"/>
        <v>-5994</v>
      </c>
    </row>
    <row r="23" spans="1:8" x14ac:dyDescent="0.35">
      <c r="A23" t="s">
        <v>517</v>
      </c>
      <c r="B23" s="96">
        <f>+SUM(B16:B22)</f>
        <v>470100</v>
      </c>
      <c r="C23" s="96">
        <f>+SUM(C16:C22)</f>
        <v>425296</v>
      </c>
      <c r="D23" s="120">
        <f>SUM(D18:D22)</f>
        <v>-15784</v>
      </c>
      <c r="E23" s="47">
        <f>+B23/B46</f>
        <v>1.1830373433123536</v>
      </c>
      <c r="F23" t="s">
        <v>36</v>
      </c>
    </row>
    <row r="24" spans="1:8" x14ac:dyDescent="0.35">
      <c r="A24" s="6" t="s">
        <v>24</v>
      </c>
      <c r="B24" s="45">
        <f>+B23+B14</f>
        <v>1755986</v>
      </c>
      <c r="C24" s="45">
        <f>+C23+C14</f>
        <v>1607431</v>
      </c>
      <c r="E24" t="s">
        <v>36</v>
      </c>
      <c r="F24" t="s">
        <v>36</v>
      </c>
    </row>
    <row r="25" spans="1:8" x14ac:dyDescent="0.35">
      <c r="A25" s="6"/>
      <c r="B25" s="45"/>
      <c r="C25" s="45"/>
      <c r="F25" t="s">
        <v>36</v>
      </c>
    </row>
    <row r="26" spans="1:8" x14ac:dyDescent="0.35">
      <c r="A26" t="s">
        <v>518</v>
      </c>
      <c r="B26" s="44">
        <v>6766</v>
      </c>
      <c r="C26" s="44">
        <v>6766</v>
      </c>
    </row>
    <row r="27" spans="1:8" x14ac:dyDescent="0.35">
      <c r="A27" t="s">
        <v>519</v>
      </c>
      <c r="B27" s="44">
        <v>786715</v>
      </c>
      <c r="C27" s="44">
        <v>709106</v>
      </c>
    </row>
    <row r="28" spans="1:8" x14ac:dyDescent="0.35">
      <c r="A28" t="s">
        <v>520</v>
      </c>
      <c r="B28" s="44">
        <v>132307</v>
      </c>
      <c r="C28" s="44">
        <v>113009</v>
      </c>
    </row>
    <row r="29" spans="1:8" x14ac:dyDescent="0.35">
      <c r="A29" s="6" t="s">
        <v>521</v>
      </c>
      <c r="B29" s="45">
        <f>+SUM(B26:B28)</f>
        <v>925788</v>
      </c>
      <c r="C29" s="45">
        <f>+SUM(C26:C28)</f>
        <v>828881</v>
      </c>
      <c r="E29" t="s">
        <v>36</v>
      </c>
      <c r="F29" t="s">
        <v>36</v>
      </c>
    </row>
    <row r="30" spans="1:8" x14ac:dyDescent="0.35">
      <c r="A30" s="6"/>
      <c r="B30" s="45"/>
      <c r="C30" s="45"/>
    </row>
    <row r="31" spans="1:8" x14ac:dyDescent="0.35">
      <c r="A31" t="s">
        <v>38</v>
      </c>
      <c r="B31" s="44">
        <v>222712</v>
      </c>
      <c r="C31" s="44">
        <v>183176</v>
      </c>
    </row>
    <row r="32" spans="1:8" x14ac:dyDescent="0.35">
      <c r="A32" t="s">
        <v>522</v>
      </c>
      <c r="B32" s="44">
        <v>17415</v>
      </c>
      <c r="C32" s="44">
        <v>16230</v>
      </c>
      <c r="D32" s="46">
        <f t="shared" ref="D32:D37" si="1">+B32-C32</f>
        <v>1185</v>
      </c>
    </row>
    <row r="33" spans="1:6" x14ac:dyDescent="0.35">
      <c r="A33" t="s">
        <v>523</v>
      </c>
      <c r="B33" s="44">
        <v>108272</v>
      </c>
      <c r="C33" s="44">
        <v>112847</v>
      </c>
      <c r="D33" s="46">
        <f t="shared" si="1"/>
        <v>-4575</v>
      </c>
    </row>
    <row r="34" spans="1:6" x14ac:dyDescent="0.35">
      <c r="A34" t="s">
        <v>524</v>
      </c>
      <c r="B34" s="44">
        <v>5667</v>
      </c>
      <c r="C34" s="44">
        <v>7704</v>
      </c>
      <c r="D34" s="46">
        <f t="shared" si="1"/>
        <v>-2037</v>
      </c>
    </row>
    <row r="35" spans="1:6" x14ac:dyDescent="0.35">
      <c r="A35" t="s">
        <v>525</v>
      </c>
      <c r="B35" s="44">
        <v>2044</v>
      </c>
      <c r="C35" s="44">
        <v>1607</v>
      </c>
      <c r="D35" s="46">
        <f t="shared" si="1"/>
        <v>437</v>
      </c>
    </row>
    <row r="36" spans="1:6" x14ac:dyDescent="0.35">
      <c r="A36" t="s">
        <v>526</v>
      </c>
      <c r="B36" s="44">
        <v>72241</v>
      </c>
      <c r="C36" s="44">
        <v>60324</v>
      </c>
      <c r="D36" s="46">
        <f t="shared" si="1"/>
        <v>11917</v>
      </c>
    </row>
    <row r="37" spans="1:6" x14ac:dyDescent="0.35">
      <c r="A37" t="s">
        <v>527</v>
      </c>
      <c r="B37" s="44">
        <v>4480</v>
      </c>
      <c r="C37" s="44">
        <v>919</v>
      </c>
      <c r="D37" s="46">
        <f t="shared" si="1"/>
        <v>3561</v>
      </c>
    </row>
    <row r="38" spans="1:6" x14ac:dyDescent="0.35">
      <c r="A38" s="6" t="s">
        <v>528</v>
      </c>
      <c r="B38" s="45">
        <f>+SUM(B31:B37)</f>
        <v>432831</v>
      </c>
      <c r="C38" s="45">
        <f>+SUM(C31:C37)</f>
        <v>382807</v>
      </c>
      <c r="E38" t="s">
        <v>36</v>
      </c>
      <c r="F38" t="s">
        <v>36</v>
      </c>
    </row>
    <row r="39" spans="1:6" x14ac:dyDescent="0.35">
      <c r="A39" s="6"/>
      <c r="B39" s="45"/>
      <c r="C39" s="45"/>
    </row>
    <row r="40" spans="1:6" x14ac:dyDescent="0.35">
      <c r="A40" t="s">
        <v>529</v>
      </c>
      <c r="B40" s="143">
        <v>101910</v>
      </c>
      <c r="C40" s="44">
        <v>130790</v>
      </c>
      <c r="D40" s="46">
        <f>+B40-C40</f>
        <v>-28880</v>
      </c>
    </row>
    <row r="41" spans="1:6" x14ac:dyDescent="0.35">
      <c r="A41" t="s">
        <v>522</v>
      </c>
      <c r="B41" s="143">
        <v>4105</v>
      </c>
      <c r="C41" s="44">
        <v>4196</v>
      </c>
      <c r="D41" s="46" t="s">
        <v>36</v>
      </c>
    </row>
    <row r="42" spans="1:6" x14ac:dyDescent="0.35">
      <c r="A42" t="s">
        <v>44</v>
      </c>
      <c r="B42" s="143">
        <v>178377</v>
      </c>
      <c r="C42" s="97">
        <v>147172</v>
      </c>
      <c r="D42" s="46">
        <f>+B42-C42</f>
        <v>31205</v>
      </c>
    </row>
    <row r="43" spans="1:6" x14ac:dyDescent="0.35">
      <c r="A43" t="s">
        <v>524</v>
      </c>
      <c r="B43" s="143">
        <v>55602</v>
      </c>
      <c r="C43" s="44">
        <v>68501</v>
      </c>
      <c r="D43" s="46">
        <f t="shared" ref="D43:D45" si="2">+B43-C43</f>
        <v>-12899</v>
      </c>
    </row>
    <row r="44" spans="1:6" x14ac:dyDescent="0.35">
      <c r="A44" t="s">
        <v>530</v>
      </c>
      <c r="B44" s="143">
        <v>55198</v>
      </c>
      <c r="C44" s="44">
        <v>42906</v>
      </c>
      <c r="D44" s="46">
        <f t="shared" si="2"/>
        <v>12292</v>
      </c>
    </row>
    <row r="45" spans="1:6" x14ac:dyDescent="0.35">
      <c r="A45" t="s">
        <v>525</v>
      </c>
      <c r="B45" s="143">
        <v>2175</v>
      </c>
      <c r="C45" s="44">
        <v>2178</v>
      </c>
      <c r="D45" s="46">
        <f t="shared" si="2"/>
        <v>-3</v>
      </c>
    </row>
    <row r="46" spans="1:6" x14ac:dyDescent="0.35">
      <c r="A46" s="6" t="s">
        <v>531</v>
      </c>
      <c r="B46" s="96">
        <f>+SUM(B40:B45)</f>
        <v>397367</v>
      </c>
      <c r="C46" s="96">
        <f>+SUM(C40:C45)</f>
        <v>395743</v>
      </c>
      <c r="D46" s="46">
        <f>SUM(D42:D45)</f>
        <v>30595</v>
      </c>
      <c r="E46" s="46" t="s">
        <v>36</v>
      </c>
      <c r="F46" t="s">
        <v>36</v>
      </c>
    </row>
    <row r="47" spans="1:6" x14ac:dyDescent="0.35">
      <c r="A47" s="6"/>
      <c r="B47" s="45"/>
      <c r="C47" s="45"/>
    </row>
    <row r="48" spans="1:6" x14ac:dyDescent="0.35">
      <c r="A48" t="s">
        <v>21</v>
      </c>
      <c r="B48" s="44">
        <f>+B46+B38</f>
        <v>830198</v>
      </c>
      <c r="C48" s="44">
        <f>+C46+C38</f>
        <v>778550</v>
      </c>
    </row>
    <row r="49" spans="1:3" x14ac:dyDescent="0.35">
      <c r="A49" s="6" t="s">
        <v>532</v>
      </c>
      <c r="B49" s="45">
        <f>+B48+B29</f>
        <v>1755986</v>
      </c>
      <c r="C49" s="45">
        <f>+C48+C29</f>
        <v>1607431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08F1-8A62-4935-8289-F522E2AE96E3}">
  <dimension ref="A1"/>
  <sheetViews>
    <sheetView workbookViewId="0">
      <selection activeCell="S1" sqref="S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7776-A7A7-4411-9CDA-7915A090BE7F}">
  <dimension ref="A1:F57"/>
  <sheetViews>
    <sheetView topLeftCell="A41" workbookViewId="0">
      <selection sqref="A1:C57"/>
    </sheetView>
  </sheetViews>
  <sheetFormatPr defaultRowHeight="14.5" x14ac:dyDescent="0.35"/>
  <cols>
    <col min="1" max="1" width="60.6328125" customWidth="1"/>
    <col min="2" max="2" width="24.54296875" customWidth="1"/>
    <col min="3" max="3" width="27" customWidth="1"/>
    <col min="4" max="4" width="9.26953125" bestFit="1" customWidth="1"/>
  </cols>
  <sheetData>
    <row r="1" spans="1:6" x14ac:dyDescent="0.35">
      <c r="A1" s="86" t="s">
        <v>28</v>
      </c>
      <c r="B1" s="86" t="s">
        <v>442</v>
      </c>
      <c r="C1" s="86" t="s">
        <v>443</v>
      </c>
    </row>
    <row r="2" spans="1:6" x14ac:dyDescent="0.35">
      <c r="A2" s="98" t="s">
        <v>534</v>
      </c>
      <c r="B2" s="99"/>
      <c r="C2" s="99"/>
    </row>
    <row r="3" spans="1:6" x14ac:dyDescent="0.35">
      <c r="A3" s="6" t="s">
        <v>535</v>
      </c>
      <c r="B3" s="44">
        <v>104727</v>
      </c>
      <c r="C3" s="44">
        <v>94801</v>
      </c>
      <c r="E3" s="46">
        <f>+B3+B7+B10+B11+B13+B14+B15+B16+B17</f>
        <v>164383</v>
      </c>
      <c r="F3">
        <f>+'Profit &amp; Loss Account'!B23</f>
        <v>104727</v>
      </c>
    </row>
    <row r="4" spans="1:6" x14ac:dyDescent="0.35">
      <c r="A4" t="s">
        <v>536</v>
      </c>
      <c r="B4" s="44">
        <v>104727</v>
      </c>
      <c r="C4" s="44">
        <v>94046</v>
      </c>
      <c r="E4" s="85" t="s">
        <v>36</v>
      </c>
    </row>
    <row r="5" spans="1:6" x14ac:dyDescent="0.35">
      <c r="A5" t="s">
        <v>537</v>
      </c>
      <c r="B5" s="44"/>
      <c r="C5" s="44">
        <v>755</v>
      </c>
      <c r="E5" s="85" t="s">
        <v>36</v>
      </c>
    </row>
    <row r="6" spans="1:6" x14ac:dyDescent="0.35">
      <c r="A6" t="s">
        <v>538</v>
      </c>
      <c r="B6" s="44"/>
      <c r="C6" s="44" t="s">
        <v>36</v>
      </c>
    </row>
    <row r="7" spans="1:6" x14ac:dyDescent="0.35">
      <c r="A7" t="s">
        <v>539</v>
      </c>
      <c r="B7" s="44">
        <v>-387</v>
      </c>
      <c r="C7" s="44">
        <v>-24</v>
      </c>
    </row>
    <row r="8" spans="1:6" x14ac:dyDescent="0.35">
      <c r="A8" t="s">
        <v>540</v>
      </c>
      <c r="B8" s="44"/>
      <c r="C8" s="44">
        <v>67</v>
      </c>
    </row>
    <row r="9" spans="1:6" x14ac:dyDescent="0.35">
      <c r="A9" t="s">
        <v>541</v>
      </c>
      <c r="B9" s="44"/>
      <c r="C9" s="44">
        <v>33</v>
      </c>
    </row>
    <row r="10" spans="1:6" x14ac:dyDescent="0.35">
      <c r="A10" t="s">
        <v>542</v>
      </c>
      <c r="B10" s="44">
        <v>178</v>
      </c>
      <c r="C10" s="44">
        <v>-60</v>
      </c>
    </row>
    <row r="11" spans="1:6" x14ac:dyDescent="0.35">
      <c r="A11" t="s">
        <v>543</v>
      </c>
      <c r="B11" s="44">
        <v>50832</v>
      </c>
      <c r="C11" s="44">
        <v>40303</v>
      </c>
    </row>
    <row r="12" spans="1:6" x14ac:dyDescent="0.35">
      <c r="A12" t="s">
        <v>543</v>
      </c>
      <c r="B12" s="44"/>
      <c r="C12" s="44">
        <v>16</v>
      </c>
    </row>
    <row r="13" spans="1:6" x14ac:dyDescent="0.35">
      <c r="A13" t="s">
        <v>544</v>
      </c>
      <c r="B13" s="44">
        <v>-1330</v>
      </c>
      <c r="C13" s="44">
        <v>-3680</v>
      </c>
    </row>
    <row r="14" spans="1:6" x14ac:dyDescent="0.35">
      <c r="A14" t="s">
        <v>545</v>
      </c>
      <c r="B14" s="44">
        <v>-1921</v>
      </c>
      <c r="C14" s="44">
        <v>1214</v>
      </c>
    </row>
    <row r="15" spans="1:6" x14ac:dyDescent="0.35">
      <c r="A15" t="s">
        <v>546</v>
      </c>
      <c r="B15" s="44">
        <v>-89</v>
      </c>
      <c r="C15" s="44">
        <v>-38</v>
      </c>
    </row>
    <row r="16" spans="1:6" x14ac:dyDescent="0.35">
      <c r="A16" t="s">
        <v>547</v>
      </c>
      <c r="B16" s="44">
        <v>-10745</v>
      </c>
      <c r="C16" s="44">
        <v>-11240</v>
      </c>
    </row>
    <row r="17" spans="1:6" x14ac:dyDescent="0.35">
      <c r="A17" t="s">
        <v>475</v>
      </c>
      <c r="B17" s="44">
        <v>23118</v>
      </c>
      <c r="C17" s="44">
        <v>19571</v>
      </c>
    </row>
    <row r="18" spans="1:6" x14ac:dyDescent="0.35">
      <c r="A18" t="s">
        <v>548</v>
      </c>
      <c r="B18" s="100">
        <f>+SUM(B7:B17)</f>
        <v>59656</v>
      </c>
      <c r="C18" s="100">
        <f>+SUM(C7:C17)</f>
        <v>46162</v>
      </c>
      <c r="D18" t="s">
        <v>36</v>
      </c>
    </row>
    <row r="19" spans="1:6" x14ac:dyDescent="0.35">
      <c r="A19" s="101" t="s">
        <v>549</v>
      </c>
      <c r="B19" s="100">
        <f>+B18+B3</f>
        <v>164383</v>
      </c>
      <c r="C19" s="100">
        <f>+C18+C4+C5</f>
        <v>140963</v>
      </c>
      <c r="D19" s="46" t="s">
        <v>36</v>
      </c>
      <c r="E19" t="s">
        <v>36</v>
      </c>
      <c r="F19" t="s">
        <v>36</v>
      </c>
    </row>
    <row r="20" spans="1:6" x14ac:dyDescent="0.35">
      <c r="A20" t="s">
        <v>550</v>
      </c>
      <c r="B20" s="44"/>
      <c r="C20" s="44"/>
    </row>
    <row r="21" spans="1:6" x14ac:dyDescent="0.35">
      <c r="A21" t="s">
        <v>551</v>
      </c>
      <c r="B21" s="44">
        <v>-15674</v>
      </c>
      <c r="C21" s="44">
        <v>13194</v>
      </c>
    </row>
    <row r="22" spans="1:6" x14ac:dyDescent="0.35">
      <c r="A22" t="s">
        <v>46</v>
      </c>
      <c r="B22" s="44">
        <v>-12756</v>
      </c>
      <c r="C22" s="44">
        <v>-32228</v>
      </c>
    </row>
    <row r="23" spans="1:6" x14ac:dyDescent="0.35">
      <c r="A23" t="s">
        <v>552</v>
      </c>
      <c r="B23" s="44">
        <v>34796</v>
      </c>
      <c r="C23" s="44">
        <v>-600</v>
      </c>
    </row>
    <row r="24" spans="1:6" x14ac:dyDescent="0.35">
      <c r="A24" t="s">
        <v>548</v>
      </c>
      <c r="B24" s="44">
        <f>+SUM(B21:B23)</f>
        <v>6366</v>
      </c>
      <c r="C24" s="44">
        <f>+SUM(C21:C23)</f>
        <v>-19634</v>
      </c>
      <c r="D24" s="46" t="s">
        <v>36</v>
      </c>
    </row>
    <row r="25" spans="1:6" x14ac:dyDescent="0.35">
      <c r="A25" s="6" t="s">
        <v>553</v>
      </c>
      <c r="B25" s="45">
        <f>+B19+B24</f>
        <v>170749</v>
      </c>
      <c r="C25" s="45">
        <f>+C19+C24</f>
        <v>121329</v>
      </c>
      <c r="D25" s="46" t="s">
        <v>36</v>
      </c>
    </row>
    <row r="26" spans="1:6" x14ac:dyDescent="0.35">
      <c r="A26" t="s">
        <v>554</v>
      </c>
      <c r="B26" s="44">
        <v>-11961</v>
      </c>
      <c r="C26" s="44">
        <v>-6297</v>
      </c>
      <c r="D26" s="46" t="s">
        <v>36</v>
      </c>
    </row>
    <row r="27" spans="1:6" x14ac:dyDescent="0.35">
      <c r="A27" s="102" t="s">
        <v>555</v>
      </c>
      <c r="B27" s="96">
        <f>+B25+B26</f>
        <v>158788</v>
      </c>
      <c r="C27" s="96">
        <f>+C25+C26</f>
        <v>115032</v>
      </c>
      <c r="D27" s="46" t="s">
        <v>36</v>
      </c>
      <c r="E27" t="s">
        <v>36</v>
      </c>
      <c r="F27" t="s">
        <v>36</v>
      </c>
    </row>
    <row r="28" spans="1:6" x14ac:dyDescent="0.35">
      <c r="A28" s="6"/>
      <c r="B28" s="45"/>
      <c r="C28" s="45"/>
      <c r="D28" s="46"/>
    </row>
    <row r="29" spans="1:6" x14ac:dyDescent="0.35">
      <c r="A29" s="98" t="s">
        <v>556</v>
      </c>
      <c r="B29" s="44"/>
      <c r="C29" s="44"/>
    </row>
    <row r="30" spans="1:6" x14ac:dyDescent="0.35">
      <c r="A30" t="s">
        <v>557</v>
      </c>
      <c r="B30" s="44">
        <v>-152883</v>
      </c>
      <c r="C30" s="44">
        <v>-140988</v>
      </c>
    </row>
    <row r="31" spans="1:6" x14ac:dyDescent="0.35">
      <c r="A31" t="s">
        <v>558</v>
      </c>
      <c r="B31" s="44">
        <v>15307</v>
      </c>
      <c r="C31" s="44">
        <v>9186</v>
      </c>
    </row>
    <row r="32" spans="1:6" x14ac:dyDescent="0.35">
      <c r="A32" t="s">
        <v>559</v>
      </c>
      <c r="B32" s="44">
        <v>-514380</v>
      </c>
      <c r="C32" s="44">
        <v>-471822</v>
      </c>
    </row>
    <row r="33" spans="1:5" x14ac:dyDescent="0.35">
      <c r="A33" t="s">
        <v>560</v>
      </c>
      <c r="B33" s="44">
        <v>531355</v>
      </c>
      <c r="C33" s="44">
        <v>501266</v>
      </c>
    </row>
    <row r="34" spans="1:5" x14ac:dyDescent="0.35">
      <c r="A34" t="s">
        <v>561</v>
      </c>
      <c r="B34" s="44">
        <v>-4423</v>
      </c>
      <c r="C34" s="44"/>
    </row>
    <row r="35" spans="1:5" x14ac:dyDescent="0.35">
      <c r="A35" t="s">
        <v>547</v>
      </c>
      <c r="B35" s="44">
        <v>10648</v>
      </c>
      <c r="C35" s="44">
        <v>11103</v>
      </c>
    </row>
    <row r="36" spans="1:5" x14ac:dyDescent="0.35">
      <c r="A36" t="s">
        <v>562</v>
      </c>
      <c r="B36" s="44">
        <v>59</v>
      </c>
      <c r="C36" s="44">
        <v>17</v>
      </c>
    </row>
    <row r="37" spans="1:5" x14ac:dyDescent="0.35">
      <c r="A37" t="s">
        <v>563</v>
      </c>
      <c r="B37" s="44">
        <v>16</v>
      </c>
      <c r="C37" s="44">
        <v>3</v>
      </c>
    </row>
    <row r="38" spans="1:5" x14ac:dyDescent="0.35">
      <c r="A38" s="102" t="s">
        <v>564</v>
      </c>
      <c r="B38" s="96">
        <f>+SUM(B30:B37)</f>
        <v>-114301</v>
      </c>
      <c r="C38" s="96">
        <f>+SUM(C30:C37)</f>
        <v>-91235</v>
      </c>
      <c r="D38" s="46">
        <f>+B38</f>
        <v>-114301</v>
      </c>
      <c r="E38">
        <v>-91235</v>
      </c>
    </row>
    <row r="39" spans="1:5" x14ac:dyDescent="0.35">
      <c r="A39" s="6"/>
      <c r="B39" s="45"/>
      <c r="C39" s="45"/>
    </row>
    <row r="40" spans="1:5" x14ac:dyDescent="0.35">
      <c r="A40" s="98" t="s">
        <v>565</v>
      </c>
      <c r="B40" s="44"/>
      <c r="C40" s="44"/>
    </row>
    <row r="41" spans="1:5" x14ac:dyDescent="0.35">
      <c r="A41" t="s">
        <v>566</v>
      </c>
      <c r="B41" s="44"/>
      <c r="C41" s="44"/>
    </row>
    <row r="42" spans="1:5" x14ac:dyDescent="0.35">
      <c r="A42" t="s">
        <v>566</v>
      </c>
      <c r="B42" s="44">
        <v>20915</v>
      </c>
      <c r="C42" s="44">
        <v>479</v>
      </c>
    </row>
    <row r="43" spans="1:5" x14ac:dyDescent="0.35">
      <c r="A43" t="s">
        <v>567</v>
      </c>
      <c r="B43" s="44">
        <v>7</v>
      </c>
      <c r="C43" s="44">
        <v>40</v>
      </c>
    </row>
    <row r="44" spans="1:5" x14ac:dyDescent="0.35">
      <c r="A44" t="s">
        <v>568</v>
      </c>
      <c r="B44" s="44">
        <v>-1085</v>
      </c>
      <c r="C44" s="44"/>
    </row>
    <row r="45" spans="1:5" x14ac:dyDescent="0.35">
      <c r="A45" t="s">
        <v>569</v>
      </c>
      <c r="B45" s="44">
        <v>-2483</v>
      </c>
      <c r="C45" s="44">
        <v>-1406</v>
      </c>
    </row>
    <row r="46" spans="1:5" x14ac:dyDescent="0.35">
      <c r="A46" t="s">
        <v>570</v>
      </c>
      <c r="B46" s="44">
        <v>69610</v>
      </c>
      <c r="C46" s="44">
        <v>35936</v>
      </c>
    </row>
    <row r="47" spans="1:5" x14ac:dyDescent="0.35">
      <c r="A47" t="s">
        <v>571</v>
      </c>
      <c r="B47" s="44">
        <v>-35055</v>
      </c>
      <c r="C47" s="44">
        <v>-29059</v>
      </c>
    </row>
    <row r="48" spans="1:5" x14ac:dyDescent="0.35">
      <c r="A48" t="s">
        <v>572</v>
      </c>
      <c r="B48" s="44">
        <v>-25293</v>
      </c>
      <c r="C48" s="44">
        <v>31198</v>
      </c>
    </row>
    <row r="49" spans="1:6" x14ac:dyDescent="0.35">
      <c r="A49" t="s">
        <v>573</v>
      </c>
      <c r="B49" s="44">
        <v>-6089</v>
      </c>
      <c r="C49" s="44">
        <v>-5083</v>
      </c>
    </row>
    <row r="50" spans="1:6" x14ac:dyDescent="0.35">
      <c r="A50" t="s">
        <v>574</v>
      </c>
      <c r="B50" s="44">
        <v>-37173</v>
      </c>
      <c r="C50" s="44">
        <v>-21650</v>
      </c>
    </row>
    <row r="51" spans="1:6" x14ac:dyDescent="0.35">
      <c r="A51" s="95" t="s">
        <v>575</v>
      </c>
      <c r="B51" s="96">
        <f>+SUM(B42:B50)</f>
        <v>-16646</v>
      </c>
      <c r="C51" s="96">
        <f>+SUM(C42:C50)</f>
        <v>10455</v>
      </c>
      <c r="D51" s="46" t="s">
        <v>36</v>
      </c>
      <c r="E51" t="s">
        <v>36</v>
      </c>
    </row>
    <row r="52" spans="1:6" x14ac:dyDescent="0.35">
      <c r="B52" s="45"/>
      <c r="C52" s="45"/>
    </row>
    <row r="53" spans="1:6" x14ac:dyDescent="0.35">
      <c r="A53" s="6" t="s">
        <v>576</v>
      </c>
      <c r="B53" s="45">
        <f>+B27+B38+B51</f>
        <v>27841</v>
      </c>
      <c r="C53" s="45">
        <f>+C27+C38+C51</f>
        <v>34252</v>
      </c>
      <c r="E53" t="s">
        <v>36</v>
      </c>
      <c r="F53" t="s">
        <v>36</v>
      </c>
    </row>
    <row r="54" spans="1:6" x14ac:dyDescent="0.35">
      <c r="A54" t="s">
        <v>577</v>
      </c>
      <c r="B54" s="44">
        <v>68664</v>
      </c>
      <c r="C54" s="44">
        <v>36178</v>
      </c>
    </row>
    <row r="55" spans="1:6" x14ac:dyDescent="0.35">
      <c r="A55" t="s">
        <v>578</v>
      </c>
      <c r="B55" s="44">
        <v>97225</v>
      </c>
      <c r="C55" s="44">
        <v>68664</v>
      </c>
    </row>
    <row r="57" spans="1:6" x14ac:dyDescent="0.35">
      <c r="B57">
        <f>+'Balance Sheet'!M17</f>
        <v>97225</v>
      </c>
      <c r="C57">
        <f>+'Balance Sheet'!L17</f>
        <v>68664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B904-DA7E-45A9-84E5-1BFCD8EC49BA}">
  <dimension ref="A1:N39"/>
  <sheetViews>
    <sheetView topLeftCell="A50" zoomScale="65" workbookViewId="0">
      <selection activeCell="A36" sqref="A36:L39"/>
    </sheetView>
  </sheetViews>
  <sheetFormatPr defaultRowHeight="14.5" x14ac:dyDescent="0.35"/>
  <cols>
    <col min="1" max="1" width="27.54296875" customWidth="1"/>
    <col min="2" max="2" width="16.54296875" customWidth="1"/>
    <col min="3" max="3" width="15" customWidth="1"/>
    <col min="4" max="4" width="15.453125" customWidth="1"/>
    <col min="5" max="5" width="16.1796875" customWidth="1"/>
    <col min="6" max="6" width="13.81640625" customWidth="1"/>
    <col min="7" max="7" width="13.54296875" customWidth="1"/>
    <col min="8" max="8" width="13.26953125" customWidth="1"/>
    <col min="9" max="9" width="13.54296875" customWidth="1"/>
    <col min="10" max="10" width="12.81640625" customWidth="1"/>
    <col min="11" max="11" width="13.453125" customWidth="1"/>
    <col min="12" max="12" width="15.81640625" customWidth="1"/>
    <col min="13" max="13" width="14.453125" customWidth="1"/>
    <col min="14" max="14" width="11.26953125" customWidth="1"/>
  </cols>
  <sheetData>
    <row r="1" spans="1:14" ht="18.5" x14ac:dyDescent="0.45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35</v>
      </c>
    </row>
    <row r="2" spans="1:14" ht="18.5" x14ac:dyDescent="0.45">
      <c r="A2" s="1" t="s">
        <v>25</v>
      </c>
      <c r="B2" s="2">
        <v>395957</v>
      </c>
      <c r="C2" s="2">
        <v>433521</v>
      </c>
      <c r="D2" s="2">
        <v>374372</v>
      </c>
      <c r="E2" s="2">
        <v>272583</v>
      </c>
      <c r="F2" s="2">
        <v>303954</v>
      </c>
      <c r="G2" s="2">
        <v>390823</v>
      </c>
      <c r="H2" s="2">
        <v>568337</v>
      </c>
      <c r="I2" s="2">
        <v>596679</v>
      </c>
      <c r="J2" s="2">
        <v>466307</v>
      </c>
      <c r="K2" s="2">
        <v>694673</v>
      </c>
      <c r="L2" s="2">
        <v>876396</v>
      </c>
      <c r="M2" s="2">
        <v>867612</v>
      </c>
      <c r="N2" s="3" t="s">
        <v>713</v>
      </c>
    </row>
    <row r="3" spans="1:14" ht="18.5" hidden="1" x14ac:dyDescent="0.45">
      <c r="A3" s="1" t="s">
        <v>26</v>
      </c>
      <c r="B3" s="2">
        <v>362802</v>
      </c>
      <c r="C3" s="2">
        <v>398586</v>
      </c>
      <c r="D3" s="2">
        <v>336923</v>
      </c>
      <c r="E3" s="2">
        <v>230802</v>
      </c>
      <c r="F3" s="2">
        <v>257647</v>
      </c>
      <c r="G3" s="2">
        <v>326508</v>
      </c>
      <c r="H3" s="2">
        <v>484087</v>
      </c>
      <c r="I3" s="2">
        <v>507413</v>
      </c>
      <c r="J3" s="2">
        <v>385517</v>
      </c>
      <c r="K3" s="2">
        <v>586092</v>
      </c>
      <c r="L3" s="2">
        <v>734078</v>
      </c>
      <c r="M3" s="2">
        <v>724767</v>
      </c>
      <c r="N3" s="3" t="s">
        <v>36</v>
      </c>
    </row>
    <row r="4" spans="1:14" ht="18.5" hidden="1" x14ac:dyDescent="0.45">
      <c r="A4" s="1" t="s">
        <v>29</v>
      </c>
      <c r="B4" s="2">
        <f>+B2-B3</f>
        <v>33155</v>
      </c>
      <c r="C4" s="2">
        <f t="shared" ref="C4:M4" si="0">+C2-C3</f>
        <v>34935</v>
      </c>
      <c r="D4" s="2">
        <f t="shared" si="0"/>
        <v>37449</v>
      </c>
      <c r="E4" s="2">
        <f t="shared" si="0"/>
        <v>41781</v>
      </c>
      <c r="F4" s="2">
        <f t="shared" si="0"/>
        <v>46307</v>
      </c>
      <c r="G4" s="2">
        <f t="shared" si="0"/>
        <v>64315</v>
      </c>
      <c r="H4" s="2">
        <f t="shared" si="0"/>
        <v>84250</v>
      </c>
      <c r="I4" s="2">
        <f t="shared" si="0"/>
        <v>89266</v>
      </c>
      <c r="J4" s="2">
        <f t="shared" si="0"/>
        <v>80790</v>
      </c>
      <c r="K4" s="2">
        <f t="shared" si="0"/>
        <v>108581</v>
      </c>
      <c r="L4" s="2">
        <f t="shared" si="0"/>
        <v>142318</v>
      </c>
      <c r="M4" s="2">
        <f t="shared" si="0"/>
        <v>142845</v>
      </c>
      <c r="N4" s="3" t="s">
        <v>36</v>
      </c>
    </row>
    <row r="5" spans="1:14" ht="18.5" hidden="1" x14ac:dyDescent="0.45">
      <c r="A5" s="1" t="s">
        <v>13</v>
      </c>
      <c r="B5" s="3">
        <v>0.08</v>
      </c>
      <c r="C5" s="3">
        <v>0.08</v>
      </c>
      <c r="D5" s="3">
        <v>0.1</v>
      </c>
      <c r="E5" s="3">
        <v>0.15</v>
      </c>
      <c r="F5" s="3">
        <v>0.15</v>
      </c>
      <c r="G5" s="3">
        <v>0.16</v>
      </c>
      <c r="H5" s="3">
        <v>0.15</v>
      </c>
      <c r="I5" s="3">
        <v>0.15</v>
      </c>
      <c r="J5" s="3">
        <v>0.17</v>
      </c>
      <c r="K5" s="3">
        <v>0.16</v>
      </c>
      <c r="L5" s="3">
        <v>0.16</v>
      </c>
      <c r="M5" s="3">
        <v>0.16</v>
      </c>
      <c r="N5" s="3" t="s">
        <v>36</v>
      </c>
    </row>
    <row r="6" spans="1:14" ht="18.5" hidden="1" x14ac:dyDescent="0.45">
      <c r="A6" s="1" t="s">
        <v>15</v>
      </c>
      <c r="B6" s="2">
        <v>11232</v>
      </c>
      <c r="C6" s="2">
        <v>11201</v>
      </c>
      <c r="D6" s="2">
        <v>11547</v>
      </c>
      <c r="E6" s="2">
        <v>11565</v>
      </c>
      <c r="F6" s="2">
        <v>11646</v>
      </c>
      <c r="G6" s="2">
        <v>16706</v>
      </c>
      <c r="H6" s="2">
        <v>20934</v>
      </c>
      <c r="I6" s="2">
        <v>22203</v>
      </c>
      <c r="J6" s="2">
        <v>26572</v>
      </c>
      <c r="K6" s="2">
        <v>29782</v>
      </c>
      <c r="L6" s="2">
        <v>40303</v>
      </c>
      <c r="M6" s="2">
        <v>43144</v>
      </c>
      <c r="N6" s="3" t="s">
        <v>36</v>
      </c>
    </row>
    <row r="7" spans="1:14" ht="18.5" hidden="1" x14ac:dyDescent="0.45">
      <c r="A7" s="1" t="s">
        <v>30</v>
      </c>
      <c r="B7" s="2">
        <f t="shared" ref="B7:M7" si="1">+B4-B6</f>
        <v>21923</v>
      </c>
      <c r="C7" s="2">
        <f t="shared" si="1"/>
        <v>23734</v>
      </c>
      <c r="D7" s="2">
        <f t="shared" si="1"/>
        <v>25902</v>
      </c>
      <c r="E7" s="2">
        <f t="shared" si="1"/>
        <v>30216</v>
      </c>
      <c r="F7" s="2">
        <f t="shared" si="1"/>
        <v>34661</v>
      </c>
      <c r="G7" s="2">
        <f t="shared" si="1"/>
        <v>47609</v>
      </c>
      <c r="H7" s="2">
        <f t="shared" si="1"/>
        <v>63316</v>
      </c>
      <c r="I7" s="2">
        <f t="shared" si="1"/>
        <v>67063</v>
      </c>
      <c r="J7" s="2">
        <f t="shared" si="1"/>
        <v>54218</v>
      </c>
      <c r="K7" s="2">
        <f t="shared" si="1"/>
        <v>78799</v>
      </c>
      <c r="L7" s="2">
        <f t="shared" si="1"/>
        <v>102015</v>
      </c>
      <c r="M7" s="2">
        <f t="shared" si="1"/>
        <v>99701</v>
      </c>
      <c r="N7" s="3" t="e">
        <f>RATE(12,,-#REF!,Table_15[[#This Row],[TTM]])</f>
        <v>#REF!</v>
      </c>
    </row>
    <row r="8" spans="1:14" ht="18.5" hidden="1" x14ac:dyDescent="0.45">
      <c r="A8" s="1" t="s">
        <v>14</v>
      </c>
      <c r="B8" s="2">
        <v>3463</v>
      </c>
      <c r="C8" s="2">
        <v>3836</v>
      </c>
      <c r="D8" s="2">
        <v>3316</v>
      </c>
      <c r="E8" s="2">
        <v>3691</v>
      </c>
      <c r="F8" s="2">
        <v>3849</v>
      </c>
      <c r="G8" s="2">
        <v>8052</v>
      </c>
      <c r="H8" s="2">
        <v>16495</v>
      </c>
      <c r="I8" s="2">
        <v>22027</v>
      </c>
      <c r="J8" s="2">
        <v>21189</v>
      </c>
      <c r="K8" s="2">
        <v>14584</v>
      </c>
      <c r="L8" s="2">
        <v>19571</v>
      </c>
      <c r="M8" s="2">
        <v>21411</v>
      </c>
      <c r="N8" s="3" t="e">
        <f>RATE(12,,-#REF!,Table_15[[#This Row],[TTM]])</f>
        <v>#REF!</v>
      </c>
    </row>
    <row r="9" spans="1:14" ht="18.5" hidden="1" x14ac:dyDescent="0.45">
      <c r="A9" s="1" t="s">
        <v>31</v>
      </c>
      <c r="B9" s="2">
        <v>1658</v>
      </c>
      <c r="C9" s="2">
        <v>2357</v>
      </c>
      <c r="D9" s="2">
        <v>1675</v>
      </c>
      <c r="E9" s="2">
        <v>-34</v>
      </c>
      <c r="F9" s="2">
        <v>-113</v>
      </c>
      <c r="G9" s="2">
        <v>-139</v>
      </c>
      <c r="H9" s="2">
        <v>-83</v>
      </c>
      <c r="I9" s="2">
        <v>-4701</v>
      </c>
      <c r="J9" s="2">
        <v>5589</v>
      </c>
      <c r="K9" s="2">
        <v>4362</v>
      </c>
      <c r="L9" s="2">
        <v>262</v>
      </c>
      <c r="M9" s="2"/>
      <c r="N9" s="3" t="s">
        <v>36</v>
      </c>
    </row>
    <row r="10" spans="1:14" ht="18.5" hidden="1" x14ac:dyDescent="0.45">
      <c r="A10" s="1" t="s">
        <v>32</v>
      </c>
      <c r="B10" s="2">
        <v>6099</v>
      </c>
      <c r="C10" s="2">
        <v>6508</v>
      </c>
      <c r="D10" s="2">
        <v>6853</v>
      </c>
      <c r="E10" s="2">
        <v>12246</v>
      </c>
      <c r="F10" s="2">
        <v>9335</v>
      </c>
      <c r="G10" s="2">
        <v>10008</v>
      </c>
      <c r="H10" s="2">
        <v>8489</v>
      </c>
      <c r="I10" s="2">
        <v>13271</v>
      </c>
      <c r="J10" s="2">
        <v>16843</v>
      </c>
      <c r="K10" s="2">
        <v>15238</v>
      </c>
      <c r="L10" s="2">
        <v>11758</v>
      </c>
      <c r="M10" s="2"/>
      <c r="N10" s="3" t="s">
        <v>36</v>
      </c>
    </row>
    <row r="11" spans="1:14" ht="18.5" hidden="1" x14ac:dyDescent="0.45">
      <c r="A11" s="1" t="s">
        <v>34</v>
      </c>
      <c r="B11" s="2">
        <f t="shared" ref="B11:L11" si="2">+B10+B9</f>
        <v>7757</v>
      </c>
      <c r="C11" s="2">
        <f t="shared" si="2"/>
        <v>8865</v>
      </c>
      <c r="D11" s="2">
        <f t="shared" si="2"/>
        <v>8528</v>
      </c>
      <c r="E11" s="2">
        <f t="shared" si="2"/>
        <v>12212</v>
      </c>
      <c r="F11" s="2">
        <f t="shared" si="2"/>
        <v>9222</v>
      </c>
      <c r="G11" s="2">
        <f t="shared" si="2"/>
        <v>9869</v>
      </c>
      <c r="H11" s="2">
        <f t="shared" si="2"/>
        <v>8406</v>
      </c>
      <c r="I11" s="2">
        <f t="shared" si="2"/>
        <v>8570</v>
      </c>
      <c r="J11" s="2">
        <f t="shared" si="2"/>
        <v>22432</v>
      </c>
      <c r="K11" s="2">
        <f t="shared" si="2"/>
        <v>19600</v>
      </c>
      <c r="L11" s="2">
        <f t="shared" si="2"/>
        <v>12020</v>
      </c>
      <c r="M11" s="2">
        <v>13612</v>
      </c>
      <c r="N11" s="3" t="e">
        <f>RATE(12,,-#REF!,Table_15[[#This Row],[TTM]])</f>
        <v>#REF!</v>
      </c>
    </row>
    <row r="12" spans="1:14" ht="18.5" hidden="1" x14ac:dyDescent="0.45">
      <c r="A12" s="1" t="s">
        <v>16</v>
      </c>
      <c r="B12" s="2">
        <f>+B7-B8+B11</f>
        <v>26217</v>
      </c>
      <c r="C12" s="2">
        <f t="shared" ref="C12:M12" si="3">+C7-C8+C11</f>
        <v>28763</v>
      </c>
      <c r="D12" s="2">
        <f t="shared" si="3"/>
        <v>31114</v>
      </c>
      <c r="E12" s="2">
        <f t="shared" si="3"/>
        <v>38737</v>
      </c>
      <c r="F12" s="2">
        <f t="shared" si="3"/>
        <v>40034</v>
      </c>
      <c r="G12" s="2">
        <f t="shared" si="3"/>
        <v>49426</v>
      </c>
      <c r="H12" s="2">
        <f t="shared" si="3"/>
        <v>55227</v>
      </c>
      <c r="I12" s="2">
        <f t="shared" si="3"/>
        <v>53606</v>
      </c>
      <c r="J12" s="2">
        <f t="shared" si="3"/>
        <v>55461</v>
      </c>
      <c r="K12" s="2">
        <f t="shared" si="3"/>
        <v>83815</v>
      </c>
      <c r="L12" s="2">
        <f t="shared" si="3"/>
        <v>94464</v>
      </c>
      <c r="M12" s="2">
        <f t="shared" si="3"/>
        <v>91902</v>
      </c>
      <c r="N12" s="3" t="e">
        <f>RATE(12,,-#REF!,Table_15[[#This Row],[TTM]])</f>
        <v>#REF!</v>
      </c>
    </row>
    <row r="13" spans="1:14" ht="18.5" hidden="1" x14ac:dyDescent="0.45">
      <c r="A13" s="1" t="s">
        <v>17</v>
      </c>
      <c r="B13" s="3">
        <v>0.2</v>
      </c>
      <c r="C13" s="3">
        <v>0.22</v>
      </c>
      <c r="D13" s="3">
        <v>0.24</v>
      </c>
      <c r="E13" s="3">
        <v>0.23</v>
      </c>
      <c r="F13" s="3">
        <v>0.25</v>
      </c>
      <c r="G13" s="3">
        <v>0.27</v>
      </c>
      <c r="H13" s="3">
        <v>0.28000000000000003</v>
      </c>
      <c r="I13" s="3">
        <v>0.26</v>
      </c>
      <c r="J13" s="3">
        <v>0.03</v>
      </c>
      <c r="K13" s="3">
        <v>0.19</v>
      </c>
      <c r="L13" s="3">
        <v>0.22</v>
      </c>
      <c r="M13" s="3">
        <f>+M14/M12</f>
        <v>0.20673108311026964</v>
      </c>
      <c r="N13" s="3" t="e">
        <f>RATE(12,,-#REF!,Table_15[[#This Row],[TTM]])</f>
        <v>#REF!</v>
      </c>
    </row>
    <row r="14" spans="1:14" ht="18.5" hidden="1" x14ac:dyDescent="0.45">
      <c r="A14" s="1" t="s">
        <v>33</v>
      </c>
      <c r="B14" s="2">
        <f t="shared" ref="B14:M14" si="4">+B12-B15</f>
        <v>5331</v>
      </c>
      <c r="C14" s="2">
        <f t="shared" si="4"/>
        <v>6215</v>
      </c>
      <c r="D14" s="2">
        <f t="shared" si="4"/>
        <v>7474</v>
      </c>
      <c r="E14" s="2">
        <f t="shared" si="4"/>
        <v>8876</v>
      </c>
      <c r="F14" s="2">
        <f t="shared" si="4"/>
        <v>10201</v>
      </c>
      <c r="G14" s="2">
        <f t="shared" si="4"/>
        <v>13346</v>
      </c>
      <c r="H14" s="2">
        <f t="shared" si="4"/>
        <v>15390</v>
      </c>
      <c r="I14" s="2">
        <f t="shared" si="4"/>
        <v>13726</v>
      </c>
      <c r="J14" s="2">
        <f t="shared" si="4"/>
        <v>1722</v>
      </c>
      <c r="K14" s="2">
        <f t="shared" si="4"/>
        <v>15970</v>
      </c>
      <c r="L14" s="2">
        <f t="shared" si="4"/>
        <v>20376</v>
      </c>
      <c r="M14" s="2">
        <f t="shared" si="4"/>
        <v>18999</v>
      </c>
      <c r="N14" s="3" t="e">
        <f>RATE(12,,-#REF!,Table_15[[#This Row],[TTM]])</f>
        <v>#REF!</v>
      </c>
    </row>
    <row r="15" spans="1:14" ht="18.5" x14ac:dyDescent="0.45">
      <c r="A15" s="1" t="s">
        <v>27</v>
      </c>
      <c r="B15" s="2">
        <v>20886</v>
      </c>
      <c r="C15" s="2">
        <v>22548</v>
      </c>
      <c r="D15" s="2">
        <v>23640</v>
      </c>
      <c r="E15" s="2">
        <v>29861</v>
      </c>
      <c r="F15" s="2">
        <v>29833</v>
      </c>
      <c r="G15" s="2">
        <v>36080</v>
      </c>
      <c r="H15" s="2">
        <v>39837</v>
      </c>
      <c r="I15" s="2">
        <v>39880</v>
      </c>
      <c r="J15" s="2">
        <v>53739</v>
      </c>
      <c r="K15" s="2">
        <v>67845</v>
      </c>
      <c r="L15" s="2">
        <v>74088</v>
      </c>
      <c r="M15" s="2">
        <v>72903</v>
      </c>
      <c r="N15" s="3" t="e">
        <f>RATE(12,,-#REF!,Table_15[[#This Row],[TTM]])</f>
        <v>#REF!</v>
      </c>
    </row>
    <row r="16" spans="1:14" ht="18.5" hidden="1" x14ac:dyDescent="0.45">
      <c r="A16" s="1" t="s">
        <v>18</v>
      </c>
      <c r="B16" s="2">
        <v>30.31</v>
      </c>
      <c r="C16" s="2">
        <v>32.619999999999997</v>
      </c>
      <c r="D16" s="2">
        <v>34.14</v>
      </c>
      <c r="E16" s="2">
        <v>43.03</v>
      </c>
      <c r="F16" s="2">
        <v>43.11</v>
      </c>
      <c r="G16" s="2">
        <v>53.39</v>
      </c>
      <c r="H16" s="2">
        <v>58.55</v>
      </c>
      <c r="I16" s="2">
        <v>58.2</v>
      </c>
      <c r="J16" s="2">
        <v>77.5</v>
      </c>
      <c r="K16" s="2">
        <v>89.74</v>
      </c>
      <c r="L16" s="2">
        <v>98.59</v>
      </c>
      <c r="M16" s="2">
        <v>95.73</v>
      </c>
      <c r="N16" s="3" t="e">
        <f>RATE(12,,-#REF!,Table_15[[#This Row],[TTM]])</f>
        <v>#REF!</v>
      </c>
    </row>
    <row r="37" spans="1:12" x14ac:dyDescent="0.35">
      <c r="A37" t="s">
        <v>54</v>
      </c>
      <c r="B37">
        <v>2013</v>
      </c>
      <c r="C37">
        <v>2014</v>
      </c>
      <c r="D37">
        <v>2015</v>
      </c>
      <c r="E37">
        <v>2016</v>
      </c>
      <c r="F37">
        <v>2017</v>
      </c>
      <c r="G37">
        <v>2018</v>
      </c>
      <c r="H37">
        <v>2019</v>
      </c>
      <c r="I37">
        <v>2020</v>
      </c>
      <c r="J37">
        <v>2021</v>
      </c>
      <c r="K37">
        <v>2022</v>
      </c>
      <c r="L37">
        <v>2023</v>
      </c>
    </row>
    <row r="38" spans="1:12" x14ac:dyDescent="0.35">
      <c r="A38" t="s">
        <v>55</v>
      </c>
      <c r="B38" s="26">
        <v>0.58893740902474523</v>
      </c>
      <c r="C38" s="26">
        <v>0.69838992988972604</v>
      </c>
      <c r="D38" s="26">
        <v>0.77003098412349713</v>
      </c>
      <c r="E38" s="26">
        <v>0.8408937794745116</v>
      </c>
      <c r="F38" s="26">
        <v>0.82467795941738808</v>
      </c>
      <c r="G38" s="26">
        <v>0.81716557753504182</v>
      </c>
      <c r="H38" s="26">
        <v>0.79489656740168224</v>
      </c>
      <c r="I38" s="26">
        <v>0.79064978204049285</v>
      </c>
      <c r="J38" s="26">
        <v>0.39841924555680602</v>
      </c>
      <c r="K38" s="26">
        <v>0.40944726325715053</v>
      </c>
      <c r="L38" s="26">
        <v>0.63092843413347632</v>
      </c>
    </row>
    <row r="39" spans="1:12" x14ac:dyDescent="0.35">
      <c r="A39" t="s">
        <v>56</v>
      </c>
      <c r="B39" s="26">
        <v>6.3306381749927807</v>
      </c>
      <c r="C39" s="26">
        <v>6.1871741397288842</v>
      </c>
      <c r="D39" s="26">
        <v>7.8112183353437876</v>
      </c>
      <c r="E39" s="26">
        <v>8.1863993497697098</v>
      </c>
      <c r="F39" s="26">
        <v>9.0051961548454145</v>
      </c>
      <c r="G39" s="26">
        <v>5.9126924987580729</v>
      </c>
      <c r="H39" s="26">
        <v>3.8384965140951803</v>
      </c>
      <c r="I39" s="26">
        <v>3.0445816497934355</v>
      </c>
      <c r="J39" s="26">
        <v>2.5587804993156826</v>
      </c>
      <c r="K39" s="26">
        <v>5.4031130005485464</v>
      </c>
      <c r="L39" s="26">
        <v>5.2125593991109298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9B23-4658-4D43-95C9-00FA8928BD6A}">
  <dimension ref="A1:AA20"/>
  <sheetViews>
    <sheetView topLeftCell="A2" zoomScale="30" workbookViewId="0">
      <selection activeCell="A2" sqref="A2:L15"/>
    </sheetView>
  </sheetViews>
  <sheetFormatPr defaultColWidth="8.7265625" defaultRowHeight="18.5" x14ac:dyDescent="0.45"/>
  <cols>
    <col min="1" max="1" width="33.81640625" style="1" customWidth="1"/>
    <col min="2" max="2" width="9.1796875" style="1" customWidth="1"/>
    <col min="3" max="3" width="12.1796875" style="1" customWidth="1"/>
    <col min="4" max="4" width="9.453125" style="1" customWidth="1"/>
    <col min="5" max="5" width="9.54296875" style="1" customWidth="1"/>
    <col min="6" max="7" width="9.81640625" style="1" customWidth="1"/>
    <col min="8" max="8" width="11" style="1" bestFit="1" customWidth="1"/>
    <col min="9" max="10" width="12.26953125" style="1" bestFit="1" customWidth="1"/>
    <col min="11" max="12" width="14.26953125" style="1" bestFit="1" customWidth="1"/>
    <col min="13" max="16384" width="8.7265625" style="1"/>
  </cols>
  <sheetData>
    <row r="1" spans="1:27" hidden="1" x14ac:dyDescent="0.45">
      <c r="A1" s="7" t="s">
        <v>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27" x14ac:dyDescent="0.45">
      <c r="A2" s="7" t="s">
        <v>54</v>
      </c>
      <c r="B2" s="20">
        <v>2013</v>
      </c>
      <c r="C2" s="20">
        <v>2014</v>
      </c>
      <c r="D2" s="20">
        <v>2015</v>
      </c>
      <c r="E2" s="20">
        <v>2016</v>
      </c>
      <c r="F2" s="20">
        <v>2017</v>
      </c>
      <c r="G2" s="20">
        <v>2018</v>
      </c>
      <c r="H2" s="7">
        <v>2019</v>
      </c>
      <c r="I2" s="7">
        <v>2020</v>
      </c>
      <c r="J2" s="7">
        <v>2021</v>
      </c>
      <c r="K2" s="7">
        <v>2022</v>
      </c>
      <c r="L2" s="7">
        <v>2023</v>
      </c>
      <c r="M2" s="27"/>
      <c r="N2" s="28"/>
      <c r="O2" s="28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idden="1" x14ac:dyDescent="0.45">
      <c r="A3" s="10" t="s">
        <v>55</v>
      </c>
      <c r="B3" s="11">
        <f>+'Balance Sheet'!B5/'Balance Sheet'!B4</f>
        <v>0.58893740902474523</v>
      </c>
      <c r="C3" s="11">
        <f>+'Balance Sheet'!C5/'Balance Sheet'!C4</f>
        <v>0.69838992988972604</v>
      </c>
      <c r="D3" s="11">
        <f>+'Balance Sheet'!D5/'Balance Sheet'!D4</f>
        <v>0.77003098412349713</v>
      </c>
      <c r="E3" s="11">
        <f>+'Balance Sheet'!E5/'Balance Sheet'!E4</f>
        <v>0.8408937794745116</v>
      </c>
      <c r="F3" s="11">
        <f>+'Balance Sheet'!F5/'Balance Sheet'!F4</f>
        <v>0.82467795941738808</v>
      </c>
      <c r="G3" s="11">
        <f>+'Balance Sheet'!G5/'Balance Sheet'!G4</f>
        <v>0.81716557753504182</v>
      </c>
      <c r="H3" s="11">
        <f>+'Balance Sheet'!H5/'Balance Sheet'!H4</f>
        <v>0.79489656740168224</v>
      </c>
      <c r="I3" s="11">
        <f>+'Balance Sheet'!I5/'Balance Sheet'!I4</f>
        <v>0.79064978204049285</v>
      </c>
      <c r="J3" s="11">
        <f>+'Balance Sheet'!J5/'Balance Sheet'!J4</f>
        <v>0.39841924555680602</v>
      </c>
      <c r="K3" s="11">
        <f>+'Balance Sheet'!K5/'Balance Sheet'!K4</f>
        <v>0.40944726325715053</v>
      </c>
      <c r="L3" s="11">
        <f>+'Balance Sheet'!L5/'Balance Sheet'!L4</f>
        <v>0.63092843413347632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hidden="1" x14ac:dyDescent="0.45">
      <c r="A4" s="10" t="s">
        <v>56</v>
      </c>
      <c r="B4" s="12">
        <f>+'Income Statement'!B11/'Income Statement'!B12</f>
        <v>8.0918278948888247</v>
      </c>
      <c r="C4" s="12">
        <f>+'Income Statement'!C11/'Income Statement'!C12</f>
        <v>7.8837330552659024</v>
      </c>
      <c r="D4" s="12">
        <f>+'Income Statement'!D11/'Income Statement'!D12</f>
        <v>9.8778648974668268</v>
      </c>
      <c r="E4" s="12">
        <f>+'Income Statement'!E11/'Income Statement'!E12</f>
        <v>11.504199403955568</v>
      </c>
      <c r="F4" s="12">
        <f>+'Income Statement'!F11/'Income Statement'!F12</f>
        <v>11.430501428942582</v>
      </c>
      <c r="G4" s="12">
        <f>+'Income Statement'!G11/'Income Statement'!G12</f>
        <v>7.1556135121708895</v>
      </c>
      <c r="H4" s="12">
        <f>+'Income Statement'!H11/'Income Statement'!H12</f>
        <v>4.3531373143376779</v>
      </c>
      <c r="I4" s="12">
        <f>+'Income Statement'!I11/'Income Statement'!I12</f>
        <v>3.6470695056067552</v>
      </c>
      <c r="J4" s="12">
        <f>+'Income Statement'!J11/'Income Statement'!J12</f>
        <v>3.3536740761715986</v>
      </c>
      <c r="K4" s="12">
        <f>+'Income Statement'!K11/'Income Statement'!K12</f>
        <v>6.4479566648381788</v>
      </c>
      <c r="L4" s="12">
        <f>+'Income Statement'!L11/'Income Statement'!L12</f>
        <v>5.8133462776557154</v>
      </c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hidden="1" x14ac:dyDescent="0.45">
      <c r="A5" s="10" t="s">
        <v>57</v>
      </c>
      <c r="B5" s="13">
        <f>+Table_1[[#This Row],[Mar 2013]]</f>
        <v>8.3733839785633285E-2</v>
      </c>
      <c r="C5" s="13">
        <f>+Table_1[[#This Row],[Mar 2014]]</f>
        <v>8.0584331554872768E-2</v>
      </c>
      <c r="D5" s="13">
        <f>+Table_1[[#This Row],[Mar 2015]]</f>
        <v>0.10003151945124102</v>
      </c>
      <c r="E5" s="13">
        <f>+Table_1[[#This Row],[Mar 2016]]</f>
        <v>0.15327808410649232</v>
      </c>
      <c r="F5" s="13">
        <f>+Table_1[[#This Row],[Mar 2017]]</f>
        <v>0.15234871066016567</v>
      </c>
      <c r="G5" s="13">
        <f>+Table_1[[#This Row],[Mar 2018]]</f>
        <v>0.16456298631349742</v>
      </c>
      <c r="H5" s="13">
        <f>+Table_1[[#This Row],[Mar 2019]]</f>
        <v>0.14823951282425743</v>
      </c>
      <c r="I5" s="13">
        <f>+Table_1[[#This Row],[Mar 2020]]</f>
        <v>0.1496047288408005</v>
      </c>
      <c r="J5" s="13">
        <f>+Table_1[[#This Row],[Mar 2021]]</f>
        <v>0.17325495864312568</v>
      </c>
      <c r="K5" s="13">
        <f>+Table_1[[#This Row],[Mar 2022]]</f>
        <v>0.15630519683361813</v>
      </c>
      <c r="L5" s="13">
        <f>+Table_1[[#This Row],[Mar 2023]]</f>
        <v>0.16239006111392568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hidden="1" x14ac:dyDescent="0.45">
      <c r="A6" s="10" t="s">
        <v>58</v>
      </c>
      <c r="B6" s="14">
        <f>+'Income Statement'!B11/'Income Statement'!B2</f>
        <v>7.0770310917599638E-2</v>
      </c>
      <c r="C6" s="14">
        <f>+'Income Statement'!C11/'Income Statement'!C2</f>
        <v>6.9759019747601611E-2</v>
      </c>
      <c r="D6" s="14">
        <f>+'Income Statement'!D11/'Income Statement'!D2</f>
        <v>8.7493188593164017E-2</v>
      </c>
      <c r="E6" s="14">
        <f>+'Income Statement'!E11/'Income Statement'!E2</f>
        <v>0.15577640571862517</v>
      </c>
      <c r="F6" s="14">
        <f>+'Income Statement'!F11/'Income Statement'!F2</f>
        <v>0.14474558650322089</v>
      </c>
      <c r="G6" s="14">
        <f>+'Income Statement'!G11/'Income Statement'!G2</f>
        <v>0.14742479332076158</v>
      </c>
      <c r="H6" s="14">
        <f>+'Income Statement'!H11/'Income Statement'!H2</f>
        <v>0.12634229339282854</v>
      </c>
      <c r="I6" s="14">
        <f>+'Income Statement'!I11/'Income Statement'!I2</f>
        <v>0.13463520586445979</v>
      </c>
      <c r="J6" s="14">
        <f>+'Income Statement'!J11/'Income Statement'!J2</f>
        <v>0.15239102136575261</v>
      </c>
      <c r="K6" s="14">
        <f>+'Income Statement'!K11/'Income Statement'!K2</f>
        <v>0.13536872744442349</v>
      </c>
      <c r="L6" s="14">
        <f>+'Income Statement'!L11/'Income Statement'!L2</f>
        <v>0.12981916850373576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idden="1" x14ac:dyDescent="0.45">
      <c r="A7" s="10" t="s">
        <v>59</v>
      </c>
      <c r="B7" s="15">
        <f>+'Income Statement'!B2/'Balance Sheet'!B21</f>
        <v>1.0927262340730275</v>
      </c>
      <c r="C7" s="15">
        <f>+'Income Statement'!C2/'Balance Sheet'!C21</f>
        <v>1.0109084210305403</v>
      </c>
      <c r="D7" s="15">
        <f>+'Income Statement'!D2/'Balance Sheet'!D21</f>
        <v>0.74208600436880312</v>
      </c>
      <c r="E7" s="15">
        <f>+'Income Statement'!E2/'Balance Sheet'!E21</f>
        <v>0.45506571819224473</v>
      </c>
      <c r="F7" s="15">
        <f>+'Income Statement'!F2/'Balance Sheet'!F21</f>
        <v>0.43004122795351457</v>
      </c>
      <c r="G7" s="15">
        <f>+'Income Statement'!G2/'Balance Sheet'!G21</f>
        <v>0.48174042523293636</v>
      </c>
      <c r="H7" s="15">
        <f>+'Income Statement'!H2/'Balance Sheet'!H21</f>
        <v>0.56968715856580099</v>
      </c>
      <c r="I7" s="15">
        <f>+'Income Statement'!I2/'Balance Sheet'!I21</f>
        <v>0.51304497362458779</v>
      </c>
      <c r="J7" s="15">
        <f>+'Income Statement'!J2/'Balance Sheet'!J21</f>
        <v>0.35324548412388784</v>
      </c>
      <c r="K7" s="15">
        <f>+'Income Statement'!K2/'Balance Sheet'!K21</f>
        <v>0.4635411731577409</v>
      </c>
      <c r="L7" s="11">
        <f>+'Income Statement'!L2/'Balance Sheet'!L21</f>
        <v>0.54574121884422389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hidden="1" x14ac:dyDescent="0.45">
      <c r="A8" s="10" t="s">
        <v>60</v>
      </c>
      <c r="B8" s="15">
        <f>+('Balance Sheet'!B15+'Balance Sheet'!B16)/(Table_6[[#This Row],[Mar 2013]]+'Balance Sheet'!B9)</f>
        <v>0.89210358499459341</v>
      </c>
      <c r="C8" s="15">
        <f>+('Balance Sheet'!C15+'Balance Sheet'!C16)/(Table_6[[#This Row],[Mar 2013]]+'Balance Sheet'!C9)</f>
        <v>0.83418689136687019</v>
      </c>
      <c r="D8" s="15">
        <f>+('Balance Sheet'!D15+'Balance Sheet'!D16)/(Table_6[[#This Row],[Mar 2013]]+'Balance Sheet'!D9)</f>
        <v>0.55779066777152331</v>
      </c>
      <c r="E8" s="15">
        <f>+('Balance Sheet'!E15+'Balance Sheet'!E16)/(Table_6[[#This Row],[Mar 2014]]+'Balance Sheet'!E9)</f>
        <v>0.2998264042133757</v>
      </c>
      <c r="F8" s="15">
        <f>+('Balance Sheet'!F15+'Balance Sheet'!F16)/(Table_6[[#This Row],[Mar 2014]]+'Balance Sheet'!F9)</f>
        <v>0.27602601393465592</v>
      </c>
      <c r="G8" s="15">
        <f>+('Balance Sheet'!G15+'Balance Sheet'!G16)/(Table_6[[#This Row],[Mar 2014]]+'Balance Sheet'!G9)</f>
        <v>0.34324646209892112</v>
      </c>
      <c r="H8" s="15">
        <f>+('Balance Sheet'!H15+'Balance Sheet'!H16)/(Table_6[[#This Row],[Mar 2015]]+'Balance Sheet'!H9)</f>
        <v>0.39756210762879546</v>
      </c>
      <c r="I8" s="15">
        <f>+('Balance Sheet'!I15+'Balance Sheet'!I16)/(Table_6[[#This Row],[Mar 2015]]+'Balance Sheet'!I9)</f>
        <v>0.30263987863221875</v>
      </c>
      <c r="J8" s="15">
        <f>+('Balance Sheet'!J15+'Balance Sheet'!J16)/(Table_6[[#This Row],[Mar 2015]]+'Balance Sheet'!J9)</f>
        <v>0.52391235345845844</v>
      </c>
      <c r="K8" s="15">
        <f>+('Balance Sheet'!K15+'Balance Sheet'!K16)/(Table_6[[#This Row],[Mar 2016]]+'Balance Sheet'!K9)</f>
        <v>0.68644944266268293</v>
      </c>
      <c r="L8" s="11">
        <f>+('Balance Sheet'!L15+'Balance Sheet'!L16)/(Table_6[[#This Row],[Mar 2016]]+'Balance Sheet'!L9)</f>
        <v>0.70642998226125031</v>
      </c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hidden="1" x14ac:dyDescent="0.45">
      <c r="A9" s="10" t="s">
        <v>61</v>
      </c>
      <c r="B9" s="15">
        <f>+'Income Statement'!B3/'Balance Sheet'!B15</f>
        <v>6.6446035786890354</v>
      </c>
      <c r="C9" s="15">
        <f>+'Income Statement'!C3/'Balance Sheet'!C15</f>
        <v>7.0272566995768688</v>
      </c>
      <c r="D9" s="15">
        <f>+'Income Statement'!D3/'Balance Sheet'!D15</f>
        <v>6.3274301382211542</v>
      </c>
      <c r="E9" s="15">
        <f>+'Income Statement'!E3/'Balance Sheet'!E15</f>
        <v>4.9649787032654995</v>
      </c>
      <c r="F9" s="15">
        <f>+'Income Statement'!F3/'Balance Sheet'!F15</f>
        <v>5.2633654062225492</v>
      </c>
      <c r="G9" s="15">
        <f>+'Income Statement'!G3/'Balance Sheet'!G15</f>
        <v>5.3669313082499137</v>
      </c>
      <c r="H9" s="15">
        <f>+'Income Statement'!H3/'Balance Sheet'!H15</f>
        <v>7.1651840558902329</v>
      </c>
      <c r="I9" s="15">
        <f>+'Income Statement'!I3/'Balance Sheet'!I15</f>
        <v>6.8659323708103868</v>
      </c>
      <c r="J9" s="15">
        <f>+'Income Statement'!J3/'Balance Sheet'!J15</f>
        <v>4.7203080615143502</v>
      </c>
      <c r="K9" s="15">
        <f>+'Income Statement'!K3/'Balance Sheet'!K15</f>
        <v>5.4379557980292823</v>
      </c>
      <c r="L9" s="15">
        <f>+'Income Statement'!L3/'Balance Sheet'!L15</f>
        <v>5.2431146791611907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hidden="1" x14ac:dyDescent="0.45">
      <c r="A10" s="10" t="s">
        <v>62</v>
      </c>
      <c r="B10" s="15">
        <f t="shared" ref="B10:L10" si="0">365/B9</f>
        <v>54.931794753060892</v>
      </c>
      <c r="C10" s="15">
        <f t="shared" si="0"/>
        <v>51.940610056549907</v>
      </c>
      <c r="D10" s="15">
        <f t="shared" si="0"/>
        <v>57.685346503503766</v>
      </c>
      <c r="E10" s="15">
        <f t="shared" si="0"/>
        <v>73.514917548374797</v>
      </c>
      <c r="F10" s="15">
        <f t="shared" si="0"/>
        <v>69.347265832709098</v>
      </c>
      <c r="G10" s="15">
        <f t="shared" si="0"/>
        <v>68.009068690506822</v>
      </c>
      <c r="H10" s="15">
        <f t="shared" si="0"/>
        <v>50.940770977117744</v>
      </c>
      <c r="I10" s="15">
        <f t="shared" si="0"/>
        <v>53.161024648560442</v>
      </c>
      <c r="J10" s="15">
        <f t="shared" si="0"/>
        <v>77.325461652793521</v>
      </c>
      <c r="K10" s="15">
        <f t="shared" si="0"/>
        <v>67.120810384717757</v>
      </c>
      <c r="L10" s="15">
        <f t="shared" si="0"/>
        <v>69.615109021112204</v>
      </c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hidden="1" x14ac:dyDescent="0.45">
      <c r="A11" s="10" t="s">
        <v>63</v>
      </c>
      <c r="B11" s="16">
        <f>+'Income Statement'!B2/'Balance Sheet'!B16</f>
        <v>40.61097435897436</v>
      </c>
      <c r="C11" s="16">
        <f>+'Income Statement'!C2/'Balance Sheet'!C16</f>
        <v>46.065349059611094</v>
      </c>
      <c r="D11" s="16">
        <f>+'Income Statement'!D2/'Balance Sheet'!D16</f>
        <v>70.43687676387583</v>
      </c>
      <c r="E11" s="16">
        <f>+'Income Statement'!E2/'Balance Sheet'!E16</f>
        <v>61.048824188129899</v>
      </c>
      <c r="F11" s="16">
        <f>+'Income Statement'!F2/'Balance Sheet'!F16</f>
        <v>37.171823407117522</v>
      </c>
      <c r="G11" s="16">
        <f>+'Income Statement'!G2/'Balance Sheet'!G16</f>
        <v>22.262774138422103</v>
      </c>
      <c r="H11" s="16">
        <f>+'Income Statement'!H2/'Balance Sheet'!H16</f>
        <v>18.88853069227957</v>
      </c>
      <c r="I11" s="16">
        <f>+'Income Statement'!I2/'Balance Sheet'!I16</f>
        <v>30.356074481074479</v>
      </c>
      <c r="J11" s="16">
        <f>+'Income Statement'!J2/'Balance Sheet'!J16</f>
        <v>24.524403071421059</v>
      </c>
      <c r="K11" s="16">
        <f>+'Income Statement'!K2/'Balance Sheet'!K16</f>
        <v>29.385490693739424</v>
      </c>
      <c r="L11" s="16">
        <f>+'Income Statement'!L2/'Balance Sheet'!L16</f>
        <v>30.806946006749158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hidden="1" x14ac:dyDescent="0.45">
      <c r="A12" s="10" t="s">
        <v>64</v>
      </c>
      <c r="B12" s="12">
        <f t="shared" ref="B12:L12" si="1">365/B11</f>
        <v>8.9877183633576365</v>
      </c>
      <c r="C12" s="12">
        <f t="shared" si="1"/>
        <v>7.9235261959628254</v>
      </c>
      <c r="D12" s="12">
        <f t="shared" si="1"/>
        <v>5.1819446967187712</v>
      </c>
      <c r="E12" s="12">
        <f t="shared" si="1"/>
        <v>5.9788211297109504</v>
      </c>
      <c r="F12" s="12">
        <f t="shared" si="1"/>
        <v>9.8192654151615049</v>
      </c>
      <c r="G12" s="12">
        <f t="shared" si="1"/>
        <v>16.395081661007669</v>
      </c>
      <c r="H12" s="12">
        <f t="shared" si="1"/>
        <v>19.323895857563382</v>
      </c>
      <c r="I12" s="12">
        <f t="shared" si="1"/>
        <v>12.023952577516555</v>
      </c>
      <c r="J12" s="12">
        <f t="shared" si="1"/>
        <v>14.883134930421374</v>
      </c>
      <c r="K12" s="12">
        <f t="shared" si="1"/>
        <v>12.421095968894718</v>
      </c>
      <c r="L12" s="12">
        <f t="shared" si="1"/>
        <v>11.847977398345041</v>
      </c>
      <c r="M12" s="30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hidden="1" x14ac:dyDescent="0.45">
      <c r="A13" s="10" t="s">
        <v>65</v>
      </c>
      <c r="B13" s="14">
        <f>+'Income Statement'!B17/'Income Statement'!B2</f>
        <v>5.2748151945792091E-2</v>
      </c>
      <c r="C13" s="14">
        <f>+'Income Statement'!C17/'Income Statement'!C2</f>
        <v>5.2011321250873661E-2</v>
      </c>
      <c r="D13" s="14">
        <f>+'Income Statement'!D17/'Income Statement'!D2</f>
        <v>6.3145748079450392E-2</v>
      </c>
      <c r="E13" s="14">
        <f>+'Income Statement'!E17/'Income Statement'!E2</f>
        <v>0.10954828437576812</v>
      </c>
      <c r="F13" s="14">
        <f>+'Income Statement'!F17/'Income Statement'!F2</f>
        <v>9.8149720023424591E-2</v>
      </c>
      <c r="G13" s="14">
        <f>+'Income Statement'!G17/'Income Statement'!G2</f>
        <v>9.2318005849195153E-2</v>
      </c>
      <c r="H13" s="14">
        <f>+'Income Statement'!H17/'Income Statement'!H2</f>
        <v>7.0093975933293098E-2</v>
      </c>
      <c r="I13" s="14">
        <f>+'Income Statement'!I17/'Income Statement'!I2</f>
        <v>6.6836607288005778E-2</v>
      </c>
      <c r="J13" s="14">
        <f>+'Income Statement'!J17/'Income Statement'!J2</f>
        <v>0.11524382005845935</v>
      </c>
      <c r="K13" s="14">
        <f>+'Income Statement'!K17/'Income Statement'!K2</f>
        <v>9.7664656608217104E-2</v>
      </c>
      <c r="L13" s="14">
        <f>+'Income Statement'!L17/'Income Statement'!L2</f>
        <v>8.4537127052154507E-2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hidden="1" x14ac:dyDescent="0.45">
      <c r="A14" s="10" t="s">
        <v>66</v>
      </c>
      <c r="B14" s="14" t="e">
        <f>+'Income Statement'!B11/(('Balance Sheet'!#REF!+'Balance Sheet'!B6)/2)</f>
        <v>#REF!</v>
      </c>
      <c r="C14" s="14">
        <f>+'Income Statement'!C11/(('Balance Sheet'!B6+'Balance Sheet'!C6)/2)</f>
        <v>9.6508499781402274E-2</v>
      </c>
      <c r="D14" s="14">
        <f>+'Income Statement'!D11/(('Balance Sheet'!C6+'Balance Sheet'!D6)/2)</f>
        <v>9.0458686712749828E-2</v>
      </c>
      <c r="E14" s="14">
        <f>+'Income Statement'!E11/(('Balance Sheet'!D6+'Balance Sheet'!E6)/2)</f>
        <v>0.10445499495707362</v>
      </c>
      <c r="F14" s="14">
        <f>+'Income Statement'!F11/(('Balance Sheet'!E6+'Balance Sheet'!F6)/2)</f>
        <v>9.696579661338206E-2</v>
      </c>
      <c r="G14" s="14">
        <f>+'Income Statement'!G11/(('Balance Sheet'!F6+'Balance Sheet'!G6)/2)</f>
        <v>0.11358329398846563</v>
      </c>
      <c r="H14" s="14">
        <f>+'Income Statement'!H11/(('Balance Sheet'!G6+'Balance Sheet'!H6)/2)</f>
        <v>0.11692959065279786</v>
      </c>
      <c r="I14" s="14">
        <f>+'Income Statement'!I11/(('Balance Sheet'!H6+'Balance Sheet'!I6)/2)</f>
        <v>0.10717451846910699</v>
      </c>
      <c r="J14" s="14">
        <f>+'Income Statement'!J11/(('Balance Sheet'!I6+'Balance Sheet'!J6)/2)</f>
        <v>7.9690125729421857E-2</v>
      </c>
      <c r="K14" s="14">
        <f>+'Income Statement'!K11/(('Balance Sheet'!J6+'Balance Sheet'!K6)/2)</f>
        <v>9.0516932279065557E-2</v>
      </c>
      <c r="L14" s="14">
        <f>+'Income Statement'!L11/(('Balance Sheet'!K6+'Balance Sheet'!L6)/2)</f>
        <v>0.10040954399453883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x14ac:dyDescent="0.45">
      <c r="A15" s="10" t="s">
        <v>67</v>
      </c>
      <c r="B15" s="17" t="e">
        <f>+#REF!/((+'Balance Sheet'!#REF!+'Balance Sheet'!B4)/2)</f>
        <v>#REF!</v>
      </c>
      <c r="C15" s="17">
        <f>+Table_1[[#This Row],[Mar 2013]]/((+'Balance Sheet'!B4+'Balance Sheet'!C4)/2)</f>
        <v>1.05058018290601E-6</v>
      </c>
      <c r="D15" s="17">
        <f>+Table_1[[#This Row],[Mar 2014]]/((+'Balance Sheet'!C4+'Balance Sheet'!D4)/2)</f>
        <v>1.0546854400674998E-6</v>
      </c>
      <c r="E15" s="17">
        <f>+Table_1[[#This Row],[Mar 2015]]/((+'Balance Sheet'!D4+'Balance Sheet'!E4)/2)</f>
        <v>1.0665363122285054E-6</v>
      </c>
      <c r="F15" s="17">
        <f>+Table_1[[#This Row],[Mar 2016]]/((+'Balance Sheet'!E4+'Balance Sheet'!F4)/2)</f>
        <v>9.2879569523386469E-7</v>
      </c>
      <c r="G15" s="17">
        <f>+Table_1[[#This Row],[Mar 2017]]/((+'Balance Sheet'!F4+'Balance Sheet'!G4)/2)</f>
        <v>8.9731970603806427E-7</v>
      </c>
      <c r="H15" s="17">
        <f>+Table_1[[#This Row],[Mar 2018]]/((+'Balance Sheet'!G4+'Balance Sheet'!H4)/2)</f>
        <v>7.9339658957006727E-7</v>
      </c>
      <c r="I15" s="17">
        <f>+Table_1[[#This Row],[Mar 2019]]/((+'Balance Sheet'!H4+'Balance Sheet'!I4)/2)</f>
        <v>6.6963378206768572E-7</v>
      </c>
      <c r="J15" s="17">
        <f>+Table_1[[#This Row],[Mar 2020]]/((+'Balance Sheet'!I4+'Balance Sheet'!J4)/2)</f>
        <v>4.5243435786513628E-7</v>
      </c>
      <c r="K15" s="17">
        <f>+Table_1[[#This Row],[Mar 2021]]/((+'Balance Sheet'!J4+'Balance Sheet'!K4)/2)</f>
        <v>4.0549938262718991E-8</v>
      </c>
      <c r="L15" s="17">
        <f>+Table_1[[#This Row],[Mar 2022]]/((+'Balance Sheet'!K4+'Balance Sheet'!L4)/2)</f>
        <v>2.5411991918986569E-7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hidden="1" x14ac:dyDescent="0.45">
      <c r="A16" s="10" t="s">
        <v>68</v>
      </c>
      <c r="B16" s="16">
        <f>+Table_1[[#This Row],[Mar 2013]]</f>
        <v>5331</v>
      </c>
      <c r="C16" s="16">
        <f>+Table_1[[#This Row],[Mar 2014]]</f>
        <v>6215</v>
      </c>
      <c r="D16" s="16">
        <f>+Table_1[[#This Row],[Mar 2015]]</f>
        <v>7474</v>
      </c>
      <c r="E16" s="16">
        <f>+Table_1[[#This Row],[Mar 2016]]</f>
        <v>8876</v>
      </c>
      <c r="F16" s="16">
        <f>+Table_1[[#This Row],[Mar 2017]]</f>
        <v>10201</v>
      </c>
      <c r="G16" s="16">
        <f>+Table_1[[#This Row],[Mar 2018]]</f>
        <v>13346</v>
      </c>
      <c r="H16" s="16">
        <f>+Table_1[[#This Row],[Mar 2019]]</f>
        <v>15390</v>
      </c>
      <c r="I16" s="16">
        <f>+Table_1[[#This Row],[Mar 2020]]</f>
        <v>13726</v>
      </c>
      <c r="J16" s="16">
        <f>+Table_1[[#This Row],[Mar 2021]]</f>
        <v>1722</v>
      </c>
      <c r="K16" s="16">
        <f>+Table_1[[#This Row],[Mar 2022]]</f>
        <v>15970</v>
      </c>
      <c r="L16" s="16">
        <f>+Table_1[[#This Row],[Mar 2023]]</f>
        <v>20376</v>
      </c>
      <c r="M16" s="24" t="str">
        <f>+Table_1[[#This Row],[Growth]]</f>
        <v xml:space="preserve"> 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idden="1" x14ac:dyDescent="0.45">
      <c r="A17" s="10" t="s">
        <v>69</v>
      </c>
      <c r="B17" s="18">
        <f>+'Balance Sheet'!B7</f>
        <v>949</v>
      </c>
      <c r="C17" s="18">
        <f>+'Balance Sheet'!C7</f>
        <v>959</v>
      </c>
      <c r="D17" s="18">
        <f>+'Balance Sheet'!D7</f>
        <v>3038</v>
      </c>
      <c r="E17" s="18">
        <f>+'Balance Sheet'!E7</f>
        <v>3356</v>
      </c>
      <c r="F17" s="18">
        <f>+'Balance Sheet'!F7</f>
        <v>2917</v>
      </c>
      <c r="G17" s="18">
        <f>+'Balance Sheet'!G7</f>
        <v>3539</v>
      </c>
      <c r="H17" s="18">
        <f>+'Balance Sheet'!H7</f>
        <v>8280</v>
      </c>
      <c r="I17" s="18">
        <f>+'Balance Sheet'!I7</f>
        <v>12181</v>
      </c>
      <c r="J17" s="18">
        <f>+'Balance Sheet'!J7</f>
        <v>99260</v>
      </c>
      <c r="K17" s="18">
        <f>+'Balance Sheet'!K7</f>
        <v>109499</v>
      </c>
      <c r="L17" s="18">
        <f>+'Balance Sheet'!L7</f>
        <v>113009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idden="1" x14ac:dyDescent="0.45">
      <c r="A18" s="10" t="s">
        <v>70</v>
      </c>
      <c r="B18" s="19">
        <f>+B17/'Balance Sheet'!B21</f>
        <v>2.6189641706935427E-3</v>
      </c>
      <c r="C18" s="19">
        <f>+C17/'Balance Sheet'!C21</f>
        <v>2.2362496298179053E-3</v>
      </c>
      <c r="D18" s="19">
        <f>+D17/'Balance Sheet'!D21</f>
        <v>6.0219708772889635E-3</v>
      </c>
      <c r="E18" s="19">
        <f>+E17/'Balance Sheet'!E21</f>
        <v>5.6026991787938834E-3</v>
      </c>
      <c r="F18" s="19">
        <f>+F17/'Balance Sheet'!F21</f>
        <v>4.1270398216190669E-3</v>
      </c>
      <c r="G18" s="19">
        <f>+G17/'Balance Sheet'!G21</f>
        <v>4.3622800216449953E-3</v>
      </c>
      <c r="H18" s="19">
        <f>+H17/'Balance Sheet'!H21</f>
        <v>8.2996702184176506E-3</v>
      </c>
      <c r="I18" s="19">
        <f>+I17/'Balance Sheet'!I21</f>
        <v>1.0473639634914425E-2</v>
      </c>
      <c r="J18" s="19">
        <f>+J17/'Balance Sheet'!J21</f>
        <v>7.5193266998215991E-2</v>
      </c>
      <c r="K18" s="19">
        <f>+K17/'Balance Sheet'!K21</f>
        <v>7.3066457051878322E-2</v>
      </c>
      <c r="L18" s="19">
        <f>+L17/'Balance Sheet'!L21</f>
        <v>7.0371920228260859E-2</v>
      </c>
      <c r="M18" s="22" t="s">
        <v>78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45"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26" x14ac:dyDescent="0.45">
      <c r="B20" s="8"/>
      <c r="C20" s="8"/>
      <c r="D20" s="8"/>
      <c r="E20" s="8"/>
      <c r="F20" s="8"/>
      <c r="G20" s="8"/>
      <c r="H20" s="8"/>
      <c r="I20" s="8"/>
      <c r="J20" s="8"/>
      <c r="K20" s="8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E7B6-DD38-4381-B5B3-66D4646753AC}">
  <dimension ref="A1:N3"/>
  <sheetViews>
    <sheetView zoomScale="65" workbookViewId="0">
      <selection activeCell="O11" sqref="O11"/>
    </sheetView>
  </sheetViews>
  <sheetFormatPr defaultRowHeight="14.5" x14ac:dyDescent="0.35"/>
  <cols>
    <col min="1" max="1" width="36.54296875" customWidth="1"/>
  </cols>
  <sheetData>
    <row r="1" spans="1:14" ht="18.5" x14ac:dyDescent="0.45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64"/>
    </row>
    <row r="2" spans="1:14" ht="18.5" x14ac:dyDescent="0.45">
      <c r="A2" s="32" t="s">
        <v>124</v>
      </c>
      <c r="B2" s="41">
        <v>2012</v>
      </c>
      <c r="C2" s="41">
        <v>2013</v>
      </c>
      <c r="D2" s="41">
        <v>2014</v>
      </c>
      <c r="E2" s="41">
        <v>2015</v>
      </c>
      <c r="F2" s="41">
        <v>2016</v>
      </c>
      <c r="G2" s="41">
        <v>2017</v>
      </c>
      <c r="H2" s="41">
        <v>2018</v>
      </c>
      <c r="I2" s="42">
        <v>2019</v>
      </c>
      <c r="J2" s="42">
        <v>2020</v>
      </c>
      <c r="K2" s="42">
        <v>2021</v>
      </c>
      <c r="L2" s="42">
        <v>2022</v>
      </c>
      <c r="M2" s="42">
        <v>2023</v>
      </c>
      <c r="N2" s="65">
        <v>45170</v>
      </c>
    </row>
    <row r="3" spans="1:14" ht="18.5" x14ac:dyDescent="0.45">
      <c r="A3" s="32" t="s">
        <v>56</v>
      </c>
      <c r="B3" s="34">
        <v>9.3221569305219489</v>
      </c>
      <c r="C3" s="34">
        <v>8.0918278948888247</v>
      </c>
      <c r="D3" s="34">
        <v>7.8837330552659024</v>
      </c>
      <c r="E3" s="34">
        <v>9.8778648974668268</v>
      </c>
      <c r="F3" s="34">
        <v>11.504199403955568</v>
      </c>
      <c r="G3" s="34">
        <v>11.430501428942582</v>
      </c>
      <c r="H3" s="34">
        <v>7.1556135121708895</v>
      </c>
      <c r="I3" s="34">
        <v>4.3531373143376779</v>
      </c>
      <c r="J3" s="34">
        <v>3.6470695056067552</v>
      </c>
      <c r="K3" s="34">
        <v>3.3536740761715986</v>
      </c>
      <c r="L3" s="34">
        <v>6.4479566648381788</v>
      </c>
      <c r="M3" s="34">
        <v>5.8133462776557154</v>
      </c>
      <c r="N3" s="34">
        <v>5.3418629360722507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93DC-3811-4147-8E9B-A05A114F7BF3}">
  <dimension ref="A1:AE20"/>
  <sheetViews>
    <sheetView tabSelected="1" topLeftCell="A2" zoomScale="67" workbookViewId="0">
      <selection activeCell="L28" sqref="L28"/>
    </sheetView>
  </sheetViews>
  <sheetFormatPr defaultColWidth="8.7265625" defaultRowHeight="18.5" x14ac:dyDescent="0.45"/>
  <cols>
    <col min="1" max="1" width="33.81640625" style="1" customWidth="1"/>
    <col min="2" max="2" width="10.81640625" style="1" customWidth="1"/>
    <col min="3" max="3" width="9.1796875" style="1" customWidth="1"/>
    <col min="4" max="4" width="12.1796875" style="1" customWidth="1"/>
    <col min="5" max="5" width="9.453125" style="1" customWidth="1"/>
    <col min="6" max="6" width="9.54296875" style="1" customWidth="1"/>
    <col min="7" max="8" width="9.81640625" style="1" customWidth="1"/>
    <col min="9" max="9" width="11" style="1" bestFit="1" customWidth="1"/>
    <col min="10" max="11" width="12.26953125" style="1" bestFit="1" customWidth="1"/>
    <col min="12" max="13" width="14.26953125" style="1" bestFit="1" customWidth="1"/>
    <col min="14" max="16384" width="8.7265625" style="1"/>
  </cols>
  <sheetData>
    <row r="1" spans="1:31" hidden="1" x14ac:dyDescent="0.45">
      <c r="A1" s="7" t="s">
        <v>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31" x14ac:dyDescent="0.45">
      <c r="A2" s="7" t="s">
        <v>54</v>
      </c>
      <c r="B2" s="20">
        <v>2012</v>
      </c>
      <c r="C2" s="20">
        <v>2013</v>
      </c>
      <c r="D2" s="20">
        <v>2014</v>
      </c>
      <c r="E2" s="20">
        <v>2015</v>
      </c>
      <c r="F2" s="20">
        <v>2016</v>
      </c>
      <c r="G2" s="20">
        <v>2017</v>
      </c>
      <c r="H2" s="20">
        <v>2018</v>
      </c>
      <c r="I2" s="7">
        <v>2019</v>
      </c>
      <c r="J2" s="7">
        <v>2020</v>
      </c>
      <c r="K2" s="7">
        <v>2021</v>
      </c>
      <c r="L2" s="7">
        <v>2022</v>
      </c>
      <c r="M2" s="7">
        <v>2023</v>
      </c>
      <c r="N2" s="27"/>
      <c r="O2" s="28"/>
      <c r="P2" s="28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hidden="1" x14ac:dyDescent="0.45">
      <c r="A3" s="10" t="s">
        <v>55</v>
      </c>
      <c r="B3" s="11" t="e">
        <f>+'Balance Sheet'!#REF!/'Balance Sheet'!#REF!</f>
        <v>#REF!</v>
      </c>
      <c r="C3" s="11">
        <f>+'Balance Sheet'!B5/'Balance Sheet'!B4</f>
        <v>0.58893740902474523</v>
      </c>
      <c r="D3" s="11">
        <f>+'Balance Sheet'!C5/'Balance Sheet'!C4</f>
        <v>0.69838992988972604</v>
      </c>
      <c r="E3" s="11">
        <f>+'Balance Sheet'!D5/'Balance Sheet'!D4</f>
        <v>0.77003098412349713</v>
      </c>
      <c r="F3" s="11">
        <f>+'Balance Sheet'!E5/'Balance Sheet'!E4</f>
        <v>0.8408937794745116</v>
      </c>
      <c r="G3" s="11">
        <f>+'Balance Sheet'!F5/'Balance Sheet'!F4</f>
        <v>0.82467795941738808</v>
      </c>
      <c r="H3" s="11">
        <f>+'Balance Sheet'!G5/'Balance Sheet'!G4</f>
        <v>0.81716557753504182</v>
      </c>
      <c r="I3" s="11">
        <f>+'Balance Sheet'!H5/'Balance Sheet'!H4</f>
        <v>0.79489656740168224</v>
      </c>
      <c r="J3" s="11">
        <f>+'Balance Sheet'!I5/'Balance Sheet'!I4</f>
        <v>0.79064978204049285</v>
      </c>
      <c r="K3" s="11">
        <f>+'Balance Sheet'!J5/'Balance Sheet'!J4</f>
        <v>0.39841924555680602</v>
      </c>
      <c r="L3" s="11">
        <f>+'Balance Sheet'!K5/'Balance Sheet'!K4</f>
        <v>0.40944726325715053</v>
      </c>
      <c r="M3" s="11">
        <f>+'Balance Sheet'!L5/'Balance Sheet'!L4</f>
        <v>0.63092843413347632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</row>
    <row r="4" spans="1:31" hidden="1" x14ac:dyDescent="0.45">
      <c r="A4" s="10" t="s">
        <v>56</v>
      </c>
      <c r="B4" s="12" t="e">
        <f>+'Income Statement'!#REF!/'Income Statement'!#REF!</f>
        <v>#REF!</v>
      </c>
      <c r="C4" s="12">
        <f>+'Income Statement'!B11/'Income Statement'!B12</f>
        <v>8.0918278948888247</v>
      </c>
      <c r="D4" s="12">
        <f>+'Income Statement'!C11/'Income Statement'!C12</f>
        <v>7.8837330552659024</v>
      </c>
      <c r="E4" s="12">
        <f>+'Income Statement'!D11/'Income Statement'!D12</f>
        <v>9.8778648974668268</v>
      </c>
      <c r="F4" s="12">
        <f>+'Income Statement'!E11/'Income Statement'!E12</f>
        <v>11.504199403955568</v>
      </c>
      <c r="G4" s="12">
        <f>+'Income Statement'!F11/'Income Statement'!F12</f>
        <v>11.430501428942582</v>
      </c>
      <c r="H4" s="12">
        <f>+'Income Statement'!G11/'Income Statement'!G12</f>
        <v>7.1556135121708895</v>
      </c>
      <c r="I4" s="12">
        <f>+'Income Statement'!H11/'Income Statement'!H12</f>
        <v>4.3531373143376779</v>
      </c>
      <c r="J4" s="12">
        <f>+'Income Statement'!I11/'Income Statement'!I12</f>
        <v>3.6470695056067552</v>
      </c>
      <c r="K4" s="12">
        <f>+'Income Statement'!J11/'Income Statement'!J12</f>
        <v>3.3536740761715986</v>
      </c>
      <c r="L4" s="12">
        <f>+'Income Statement'!K11/'Income Statement'!K12</f>
        <v>6.4479566648381788</v>
      </c>
      <c r="M4" s="12">
        <f>+'Income Statement'!L11/'Income Statement'!L12</f>
        <v>5.8133462776557154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</row>
    <row r="5" spans="1:31" hidden="1" x14ac:dyDescent="0.45">
      <c r="A5" s="10" t="s">
        <v>57</v>
      </c>
      <c r="B5" s="13" t="e">
        <f>+#REF!</f>
        <v>#REF!</v>
      </c>
      <c r="C5" s="13">
        <f>+Table_1[[#This Row],[Mar 2013]]</f>
        <v>8.3733839785633285E-2</v>
      </c>
      <c r="D5" s="13">
        <f>+Table_1[[#This Row],[Mar 2014]]</f>
        <v>8.0584331554872768E-2</v>
      </c>
      <c r="E5" s="13">
        <f>+Table_1[[#This Row],[Mar 2015]]</f>
        <v>0.10003151945124102</v>
      </c>
      <c r="F5" s="13">
        <f>+Table_1[[#This Row],[Mar 2016]]</f>
        <v>0.15327808410649232</v>
      </c>
      <c r="G5" s="13">
        <f>+Table_1[[#This Row],[Mar 2017]]</f>
        <v>0.15234871066016567</v>
      </c>
      <c r="H5" s="13">
        <f>+Table_1[[#This Row],[Mar 2018]]</f>
        <v>0.16456298631349742</v>
      </c>
      <c r="I5" s="13">
        <f>+Table_1[[#This Row],[Mar 2019]]</f>
        <v>0.14823951282425743</v>
      </c>
      <c r="J5" s="13">
        <f>+Table_1[[#This Row],[Mar 2020]]</f>
        <v>0.1496047288408005</v>
      </c>
      <c r="K5" s="13">
        <f>+Table_1[[#This Row],[Mar 2021]]</f>
        <v>0.17325495864312568</v>
      </c>
      <c r="L5" s="13">
        <f>+Table_1[[#This Row],[Mar 2022]]</f>
        <v>0.15630519683361813</v>
      </c>
      <c r="M5" s="13">
        <f>+Table_1[[#This Row],[Mar 2023]]</f>
        <v>0.16239006111392568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 spans="1:31" hidden="1" x14ac:dyDescent="0.45">
      <c r="A6" s="10" t="s">
        <v>58</v>
      </c>
      <c r="B6" s="14" t="e">
        <f>+'Income Statement'!#REF!/'Income Statement'!#REF!</f>
        <v>#REF!</v>
      </c>
      <c r="C6" s="14">
        <f>+'Income Statement'!B11/'Income Statement'!B2</f>
        <v>7.0770310917599638E-2</v>
      </c>
      <c r="D6" s="14">
        <f>+'Income Statement'!C11/'Income Statement'!C2</f>
        <v>6.9759019747601611E-2</v>
      </c>
      <c r="E6" s="14">
        <f>+'Income Statement'!D11/'Income Statement'!D2</f>
        <v>8.7493188593164017E-2</v>
      </c>
      <c r="F6" s="14">
        <f>+'Income Statement'!E11/'Income Statement'!E2</f>
        <v>0.15577640571862517</v>
      </c>
      <c r="G6" s="14">
        <f>+'Income Statement'!F11/'Income Statement'!F2</f>
        <v>0.14474558650322089</v>
      </c>
      <c r="H6" s="14">
        <f>+'Income Statement'!G11/'Income Statement'!G2</f>
        <v>0.14742479332076158</v>
      </c>
      <c r="I6" s="14">
        <f>+'Income Statement'!H11/'Income Statement'!H2</f>
        <v>0.12634229339282854</v>
      </c>
      <c r="J6" s="14">
        <f>+'Income Statement'!I11/'Income Statement'!I2</f>
        <v>0.13463520586445979</v>
      </c>
      <c r="K6" s="14">
        <f>+'Income Statement'!J11/'Income Statement'!J2</f>
        <v>0.15239102136575261</v>
      </c>
      <c r="L6" s="14">
        <f>+'Income Statement'!K11/'Income Statement'!K2</f>
        <v>0.13536872744442349</v>
      </c>
      <c r="M6" s="14">
        <f>+'Income Statement'!L11/'Income Statement'!L2</f>
        <v>0.12981916850373576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 hidden="1" x14ac:dyDescent="0.45">
      <c r="A7" s="10" t="s">
        <v>59</v>
      </c>
      <c r="B7" s="15" t="e">
        <f>+'Income Statement'!#REF!/'Balance Sheet'!#REF!</f>
        <v>#REF!</v>
      </c>
      <c r="C7" s="15">
        <f>+'Income Statement'!B2/'Balance Sheet'!B21</f>
        <v>1.0927262340730275</v>
      </c>
      <c r="D7" s="15">
        <f>+'Income Statement'!C2/'Balance Sheet'!C21</f>
        <v>1.0109084210305403</v>
      </c>
      <c r="E7" s="15">
        <f>+'Income Statement'!D2/'Balance Sheet'!D21</f>
        <v>0.74208600436880312</v>
      </c>
      <c r="F7" s="15">
        <f>+'Income Statement'!E2/'Balance Sheet'!E21</f>
        <v>0.45506571819224473</v>
      </c>
      <c r="G7" s="15">
        <f>+'Income Statement'!F2/'Balance Sheet'!F21</f>
        <v>0.43004122795351457</v>
      </c>
      <c r="H7" s="15">
        <f>+'Income Statement'!G2/'Balance Sheet'!G21</f>
        <v>0.48174042523293636</v>
      </c>
      <c r="I7" s="15">
        <f>+'Income Statement'!H2/'Balance Sheet'!H21</f>
        <v>0.56968715856580099</v>
      </c>
      <c r="J7" s="15">
        <f>+'Income Statement'!I2/'Balance Sheet'!I21</f>
        <v>0.51304497362458779</v>
      </c>
      <c r="K7" s="15">
        <f>+'Income Statement'!J2/'Balance Sheet'!J21</f>
        <v>0.35324548412388784</v>
      </c>
      <c r="L7" s="15">
        <f>+'Income Statement'!K2/'Balance Sheet'!K21</f>
        <v>0.4635411731577409</v>
      </c>
      <c r="M7" s="11">
        <f>+'Income Statement'!L2/'Balance Sheet'!L21</f>
        <v>0.54574121884422389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 spans="1:31" hidden="1" x14ac:dyDescent="0.45">
      <c r="A8" s="10" t="s">
        <v>60</v>
      </c>
      <c r="B8" s="15" t="e">
        <f>+('Balance Sheet'!#REF!+'Balance Sheet'!#REF!)/(#REF!+'Balance Sheet'!#REF!)</f>
        <v>#REF!</v>
      </c>
      <c r="C8" s="15">
        <f>+('Balance Sheet'!B15+'Balance Sheet'!B16)/(Table_6[[#This Row],[Mar 2013]]+'Balance Sheet'!B9)</f>
        <v>0.89210358499459341</v>
      </c>
      <c r="D8" s="15">
        <f>+('Balance Sheet'!C15+'Balance Sheet'!C16)/(Table_6[[#This Row],[Mar 2013]]+'Balance Sheet'!C9)</f>
        <v>0.83418689136687019</v>
      </c>
      <c r="E8" s="15">
        <f>+('Balance Sheet'!D15+'Balance Sheet'!D16)/(Table_6[[#This Row],[Mar 2013]]+'Balance Sheet'!D9)</f>
        <v>0.55779066777152331</v>
      </c>
      <c r="F8" s="15">
        <f>+('Balance Sheet'!E15+'Balance Sheet'!E16)/(Table_6[[#This Row],[Mar 2014]]+'Balance Sheet'!E9)</f>
        <v>0.2998264042133757</v>
      </c>
      <c r="G8" s="15">
        <f>+('Balance Sheet'!F15+'Balance Sheet'!F16)/(Table_6[[#This Row],[Mar 2014]]+'Balance Sheet'!F9)</f>
        <v>0.27602601393465592</v>
      </c>
      <c r="H8" s="15">
        <f>+('Balance Sheet'!G15+'Balance Sheet'!G16)/(Table_6[[#This Row],[Mar 2014]]+'Balance Sheet'!G9)</f>
        <v>0.34324646209892112</v>
      </c>
      <c r="I8" s="15">
        <f>+('Balance Sheet'!H15+'Balance Sheet'!H16)/(Table_6[[#This Row],[Mar 2015]]+'Balance Sheet'!H9)</f>
        <v>0.39756210762879546</v>
      </c>
      <c r="J8" s="15">
        <f>+('Balance Sheet'!I15+'Balance Sheet'!I16)/(Table_6[[#This Row],[Mar 2015]]+'Balance Sheet'!I9)</f>
        <v>0.30263987863221875</v>
      </c>
      <c r="K8" s="15">
        <f>+('Balance Sheet'!J15+'Balance Sheet'!J16)/(Table_6[[#This Row],[Mar 2015]]+'Balance Sheet'!J9)</f>
        <v>0.52391235345845844</v>
      </c>
      <c r="L8" s="15">
        <f>+('Balance Sheet'!K15+'Balance Sheet'!K16)/(Table_6[[#This Row],[Mar 2016]]+'Balance Sheet'!K9)</f>
        <v>0.68644944266268293</v>
      </c>
      <c r="M8" s="11">
        <f>+('Balance Sheet'!L15+'Balance Sheet'!L16)/(Table_6[[#This Row],[Mar 2016]]+'Balance Sheet'!L9)</f>
        <v>0.70642998226125031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 spans="1:31" hidden="1" x14ac:dyDescent="0.45">
      <c r="A9" s="10" t="s">
        <v>61</v>
      </c>
      <c r="B9" s="15" t="e">
        <f>+'Income Statement'!#REF!/'Balance Sheet'!#REF!</f>
        <v>#REF!</v>
      </c>
      <c r="C9" s="15">
        <f>+'Income Statement'!B3/'Balance Sheet'!B15</f>
        <v>6.6446035786890354</v>
      </c>
      <c r="D9" s="15">
        <f>+'Income Statement'!C3/'Balance Sheet'!C15</f>
        <v>7.0272566995768688</v>
      </c>
      <c r="E9" s="15">
        <f>+'Income Statement'!D3/'Balance Sheet'!D15</f>
        <v>6.3274301382211542</v>
      </c>
      <c r="F9" s="15">
        <f>+'Income Statement'!E3/'Balance Sheet'!E15</f>
        <v>4.9649787032654995</v>
      </c>
      <c r="G9" s="15">
        <f>+'Income Statement'!F3/'Balance Sheet'!F15</f>
        <v>5.2633654062225492</v>
      </c>
      <c r="H9" s="15">
        <f>+'Income Statement'!G3/'Balance Sheet'!G15</f>
        <v>5.3669313082499137</v>
      </c>
      <c r="I9" s="15">
        <f>+'Income Statement'!H3/'Balance Sheet'!H15</f>
        <v>7.1651840558902329</v>
      </c>
      <c r="J9" s="15">
        <f>+'Income Statement'!I3/'Balance Sheet'!I15</f>
        <v>6.8659323708103868</v>
      </c>
      <c r="K9" s="15">
        <f>+'Income Statement'!J3/'Balance Sheet'!J15</f>
        <v>4.7203080615143502</v>
      </c>
      <c r="L9" s="15">
        <f>+'Income Statement'!K3/'Balance Sheet'!K15</f>
        <v>5.4379557980292823</v>
      </c>
      <c r="M9" s="15">
        <f>+'Income Statement'!L3/'Balance Sheet'!L15</f>
        <v>5.2431146791611907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 spans="1:31" hidden="1" x14ac:dyDescent="0.45">
      <c r="A10" s="10" t="s">
        <v>62</v>
      </c>
      <c r="B10" s="15" t="e">
        <f>365/B9</f>
        <v>#REF!</v>
      </c>
      <c r="C10" s="15">
        <f t="shared" ref="C10:M10" si="0">365/C9</f>
        <v>54.931794753060892</v>
      </c>
      <c r="D10" s="15">
        <f t="shared" si="0"/>
        <v>51.940610056549907</v>
      </c>
      <c r="E10" s="15">
        <f t="shared" si="0"/>
        <v>57.685346503503766</v>
      </c>
      <c r="F10" s="15">
        <f t="shared" si="0"/>
        <v>73.514917548374797</v>
      </c>
      <c r="G10" s="15">
        <f t="shared" si="0"/>
        <v>69.347265832709098</v>
      </c>
      <c r="H10" s="15">
        <f t="shared" si="0"/>
        <v>68.009068690506822</v>
      </c>
      <c r="I10" s="15">
        <f t="shared" si="0"/>
        <v>50.940770977117744</v>
      </c>
      <c r="J10" s="15">
        <f t="shared" si="0"/>
        <v>53.161024648560442</v>
      </c>
      <c r="K10" s="15">
        <f t="shared" si="0"/>
        <v>77.325461652793521</v>
      </c>
      <c r="L10" s="15">
        <f t="shared" si="0"/>
        <v>67.120810384717757</v>
      </c>
      <c r="M10" s="15">
        <f t="shared" si="0"/>
        <v>69.615109021112204</v>
      </c>
      <c r="N10" s="30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 spans="1:31" hidden="1" x14ac:dyDescent="0.45">
      <c r="A11" s="10" t="s">
        <v>63</v>
      </c>
      <c r="B11" s="16" t="e">
        <f>+'Income Statement'!#REF!/'Balance Sheet'!#REF!</f>
        <v>#REF!</v>
      </c>
      <c r="C11" s="16">
        <f>+'Income Statement'!B2/'Balance Sheet'!B16</f>
        <v>40.61097435897436</v>
      </c>
      <c r="D11" s="16">
        <f>+'Income Statement'!C2/'Balance Sheet'!C16</f>
        <v>46.065349059611094</v>
      </c>
      <c r="E11" s="16">
        <f>+'Income Statement'!D2/'Balance Sheet'!D16</f>
        <v>70.43687676387583</v>
      </c>
      <c r="F11" s="16">
        <f>+'Income Statement'!E2/'Balance Sheet'!E16</f>
        <v>61.048824188129899</v>
      </c>
      <c r="G11" s="16">
        <f>+'Income Statement'!F2/'Balance Sheet'!F16</f>
        <v>37.171823407117522</v>
      </c>
      <c r="H11" s="16">
        <f>+'Income Statement'!G2/'Balance Sheet'!G16</f>
        <v>22.262774138422103</v>
      </c>
      <c r="I11" s="16">
        <f>+'Income Statement'!H2/'Balance Sheet'!H16</f>
        <v>18.88853069227957</v>
      </c>
      <c r="J11" s="16">
        <f>+'Income Statement'!I2/'Balance Sheet'!I16</f>
        <v>30.356074481074479</v>
      </c>
      <c r="K11" s="16">
        <f>+'Income Statement'!J2/'Balance Sheet'!J16</f>
        <v>24.524403071421059</v>
      </c>
      <c r="L11" s="16">
        <f>+'Income Statement'!K2/'Balance Sheet'!K16</f>
        <v>29.385490693739424</v>
      </c>
      <c r="M11" s="16">
        <f>+'Income Statement'!L2/'Balance Sheet'!L16</f>
        <v>30.806946006749158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 spans="1:31" hidden="1" x14ac:dyDescent="0.45">
      <c r="A12" s="10" t="s">
        <v>64</v>
      </c>
      <c r="B12" s="12" t="e">
        <f>365/B11</f>
        <v>#REF!</v>
      </c>
      <c r="C12" s="12">
        <f t="shared" ref="C12:M12" si="1">365/C11</f>
        <v>8.9877183633576365</v>
      </c>
      <c r="D12" s="12">
        <f t="shared" si="1"/>
        <v>7.9235261959628254</v>
      </c>
      <c r="E12" s="12">
        <f t="shared" si="1"/>
        <v>5.1819446967187712</v>
      </c>
      <c r="F12" s="12">
        <f t="shared" si="1"/>
        <v>5.9788211297109504</v>
      </c>
      <c r="G12" s="12">
        <f t="shared" si="1"/>
        <v>9.8192654151615049</v>
      </c>
      <c r="H12" s="12">
        <f t="shared" si="1"/>
        <v>16.395081661007669</v>
      </c>
      <c r="I12" s="12">
        <f t="shared" si="1"/>
        <v>19.323895857563382</v>
      </c>
      <c r="J12" s="12">
        <f t="shared" si="1"/>
        <v>12.023952577516555</v>
      </c>
      <c r="K12" s="12">
        <f t="shared" si="1"/>
        <v>14.883134930421374</v>
      </c>
      <c r="L12" s="12">
        <f t="shared" si="1"/>
        <v>12.421095968894718</v>
      </c>
      <c r="M12" s="12">
        <f t="shared" si="1"/>
        <v>11.847977398345041</v>
      </c>
      <c r="N12" s="30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 spans="1:31" hidden="1" x14ac:dyDescent="0.45">
      <c r="A13" s="10" t="s">
        <v>65</v>
      </c>
      <c r="B13" s="14" t="e">
        <f>+'Income Statement'!#REF!/'Income Statement'!#REF!</f>
        <v>#REF!</v>
      </c>
      <c r="C13" s="14">
        <f>+'Income Statement'!B17/'Income Statement'!B2</f>
        <v>5.2748151945792091E-2</v>
      </c>
      <c r="D13" s="14">
        <f>+'Income Statement'!C17/'Income Statement'!C2</f>
        <v>5.2011321250873661E-2</v>
      </c>
      <c r="E13" s="14">
        <f>+'Income Statement'!D17/'Income Statement'!D2</f>
        <v>6.3145748079450392E-2</v>
      </c>
      <c r="F13" s="14">
        <f>+'Income Statement'!E17/'Income Statement'!E2</f>
        <v>0.10954828437576812</v>
      </c>
      <c r="G13" s="14">
        <f>+'Income Statement'!F17/'Income Statement'!F2</f>
        <v>9.8149720023424591E-2</v>
      </c>
      <c r="H13" s="14">
        <f>+'Income Statement'!G17/'Income Statement'!G2</f>
        <v>9.2318005849195153E-2</v>
      </c>
      <c r="I13" s="14">
        <f>+'Income Statement'!H17/'Income Statement'!H2</f>
        <v>7.0093975933293098E-2</v>
      </c>
      <c r="J13" s="14">
        <f>+'Income Statement'!I17/'Income Statement'!I2</f>
        <v>6.6836607288005778E-2</v>
      </c>
      <c r="K13" s="14">
        <f>+'Income Statement'!J17/'Income Statement'!J2</f>
        <v>0.11524382005845935</v>
      </c>
      <c r="L13" s="14">
        <f>+'Income Statement'!K17/'Income Statement'!K2</f>
        <v>9.7664656608217104E-2</v>
      </c>
      <c r="M13" s="14">
        <f>+'Income Statement'!L17/'Income Statement'!L2</f>
        <v>8.4537127052154507E-2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 spans="1:31" hidden="1" x14ac:dyDescent="0.45">
      <c r="A14" s="10" t="s">
        <v>66</v>
      </c>
      <c r="B14" s="17" t="e">
        <f>+'Income Statement'!#REF!/'Balance Sheet'!#REF!</f>
        <v>#REF!</v>
      </c>
      <c r="C14" s="14" t="e">
        <f>+'Income Statement'!B11/(('Balance Sheet'!#REF!+'Balance Sheet'!B6)/2)</f>
        <v>#REF!</v>
      </c>
      <c r="D14" s="14">
        <f>+'Income Statement'!C11/(('Balance Sheet'!B6+'Balance Sheet'!C6)/2)</f>
        <v>9.6508499781402274E-2</v>
      </c>
      <c r="E14" s="14">
        <f>+'Income Statement'!D11/(('Balance Sheet'!C6+'Balance Sheet'!D6)/2)</f>
        <v>9.0458686712749828E-2</v>
      </c>
      <c r="F14" s="14">
        <f>+'Income Statement'!E11/(('Balance Sheet'!D6+'Balance Sheet'!E6)/2)</f>
        <v>0.10445499495707362</v>
      </c>
      <c r="G14" s="14">
        <f>+'Income Statement'!F11/(('Balance Sheet'!E6+'Balance Sheet'!F6)/2)</f>
        <v>9.696579661338206E-2</v>
      </c>
      <c r="H14" s="14">
        <f>+'Income Statement'!G11/(('Balance Sheet'!F6+'Balance Sheet'!G6)/2)</f>
        <v>0.11358329398846563</v>
      </c>
      <c r="I14" s="14">
        <f>+'Income Statement'!H11/(('Balance Sheet'!G6+'Balance Sheet'!H6)/2)</f>
        <v>0.11692959065279786</v>
      </c>
      <c r="J14" s="14">
        <f>+'Income Statement'!I11/(('Balance Sheet'!H6+'Balance Sheet'!I6)/2)</f>
        <v>0.10717451846910699</v>
      </c>
      <c r="K14" s="14">
        <f>+'Income Statement'!J11/(('Balance Sheet'!I6+'Balance Sheet'!J6)/2)</f>
        <v>7.9690125729421857E-2</v>
      </c>
      <c r="L14" s="14">
        <f>+'Income Statement'!K11/(('Balance Sheet'!J6+'Balance Sheet'!K6)/2)</f>
        <v>9.0516932279065557E-2</v>
      </c>
      <c r="M14" s="14">
        <f>+'Income Statement'!L11/(('Balance Sheet'!K6+'Balance Sheet'!L6)/2)</f>
        <v>0.10040954399453883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 spans="1:31" hidden="1" x14ac:dyDescent="0.45">
      <c r="A15" s="10" t="s">
        <v>67</v>
      </c>
      <c r="B15" s="17" t="e">
        <f>+#REF!/'Balance Sheet'!#REF!</f>
        <v>#REF!</v>
      </c>
      <c r="C15" s="17" t="e">
        <f>+#REF!/((+'Balance Sheet'!#REF!+'Balance Sheet'!B4)/2)</f>
        <v>#REF!</v>
      </c>
      <c r="D15" s="17">
        <f>+Table_1[[#This Row],[Mar 2013]]/((+'Balance Sheet'!B4+'Balance Sheet'!C4)/2)</f>
        <v>1.05058018290601E-6</v>
      </c>
      <c r="E15" s="17">
        <f>+Table_1[[#This Row],[Mar 2014]]/((+'Balance Sheet'!C4+'Balance Sheet'!D4)/2)</f>
        <v>1.0546854400674998E-6</v>
      </c>
      <c r="F15" s="17">
        <f>+Table_1[[#This Row],[Mar 2015]]/((+'Balance Sheet'!D4+'Balance Sheet'!E4)/2)</f>
        <v>1.0665363122285054E-6</v>
      </c>
      <c r="G15" s="17">
        <f>+Table_1[[#This Row],[Mar 2016]]/((+'Balance Sheet'!E4+'Balance Sheet'!F4)/2)</f>
        <v>9.2879569523386469E-7</v>
      </c>
      <c r="H15" s="17">
        <f>+Table_1[[#This Row],[Mar 2017]]/((+'Balance Sheet'!F4+'Balance Sheet'!G4)/2)</f>
        <v>8.9731970603806427E-7</v>
      </c>
      <c r="I15" s="17">
        <f>+Table_1[[#This Row],[Mar 2018]]/((+'Balance Sheet'!G4+'Balance Sheet'!H4)/2)</f>
        <v>7.9339658957006727E-7</v>
      </c>
      <c r="J15" s="17">
        <f>+Table_1[[#This Row],[Mar 2019]]/((+'Balance Sheet'!H4+'Balance Sheet'!I4)/2)</f>
        <v>6.6963378206768572E-7</v>
      </c>
      <c r="K15" s="17">
        <f>+Table_1[[#This Row],[Mar 2020]]/((+'Balance Sheet'!I4+'Balance Sheet'!J4)/2)</f>
        <v>4.5243435786513628E-7</v>
      </c>
      <c r="L15" s="17">
        <f>+Table_1[[#This Row],[Mar 2021]]/((+'Balance Sheet'!J4+'Balance Sheet'!K4)/2)</f>
        <v>4.0549938262718991E-8</v>
      </c>
      <c r="M15" s="17">
        <f>+Table_1[[#This Row],[Mar 2022]]/((+'Balance Sheet'!K4+'Balance Sheet'!L4)/2)</f>
        <v>2.5411991918986569E-7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 spans="1:31" x14ac:dyDescent="0.45">
      <c r="A16" s="10" t="s">
        <v>68</v>
      </c>
      <c r="B16" s="16" t="e">
        <f>+#REF!</f>
        <v>#REF!</v>
      </c>
      <c r="C16" s="16">
        <f>+Table_1[[#This Row],[Mar 2013]]</f>
        <v>5331</v>
      </c>
      <c r="D16" s="16">
        <f>+Table_1[[#This Row],[Mar 2014]]</f>
        <v>6215</v>
      </c>
      <c r="E16" s="16">
        <f>+Table_1[[#This Row],[Mar 2015]]</f>
        <v>7474</v>
      </c>
      <c r="F16" s="16">
        <f>+Table_1[[#This Row],[Mar 2016]]</f>
        <v>8876</v>
      </c>
      <c r="G16" s="16">
        <f>+Table_1[[#This Row],[Mar 2017]]</f>
        <v>10201</v>
      </c>
      <c r="H16" s="16">
        <f>+Table_1[[#This Row],[Mar 2018]]</f>
        <v>13346</v>
      </c>
      <c r="I16" s="16">
        <f>+Table_1[[#This Row],[Mar 2019]]</f>
        <v>15390</v>
      </c>
      <c r="J16" s="16">
        <f>+Table_1[[#This Row],[Mar 2020]]</f>
        <v>13726</v>
      </c>
      <c r="K16" s="16">
        <f>+Table_1[[#This Row],[Mar 2021]]</f>
        <v>1722</v>
      </c>
      <c r="L16" s="16">
        <f>+Table_1[[#This Row],[Mar 2022]]</f>
        <v>15970</v>
      </c>
      <c r="M16" s="16">
        <f>+Table_1[[#This Row],[Mar 2023]]</f>
        <v>20376</v>
      </c>
      <c r="N16" s="31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</row>
    <row r="17" spans="1:27" hidden="1" x14ac:dyDescent="0.45">
      <c r="A17" s="10" t="s">
        <v>69</v>
      </c>
      <c r="B17" s="18" t="e">
        <f>+'Balance Sheet'!#REF!</f>
        <v>#REF!</v>
      </c>
      <c r="C17" s="18">
        <f>+'Balance Sheet'!B7</f>
        <v>949</v>
      </c>
      <c r="D17" s="18">
        <f>+'Balance Sheet'!C7</f>
        <v>959</v>
      </c>
      <c r="E17" s="18">
        <f>+'Balance Sheet'!D7</f>
        <v>3038</v>
      </c>
      <c r="F17" s="18">
        <f>+'Balance Sheet'!E7</f>
        <v>3356</v>
      </c>
      <c r="G17" s="18">
        <f>+'Balance Sheet'!F7</f>
        <v>2917</v>
      </c>
      <c r="H17" s="18">
        <f>+'Balance Sheet'!G7</f>
        <v>3539</v>
      </c>
      <c r="I17" s="18">
        <f>+'Balance Sheet'!H7</f>
        <v>8280</v>
      </c>
      <c r="J17" s="18">
        <f>+'Balance Sheet'!I7</f>
        <v>12181</v>
      </c>
      <c r="K17" s="18">
        <f>+'Balance Sheet'!J7</f>
        <v>99260</v>
      </c>
      <c r="L17" s="18">
        <f>+'Balance Sheet'!K7</f>
        <v>109499</v>
      </c>
      <c r="M17" s="18">
        <f>+'Balance Sheet'!L7</f>
        <v>113009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idden="1" x14ac:dyDescent="0.45">
      <c r="A18" s="10" t="s">
        <v>70</v>
      </c>
      <c r="B18" s="19" t="e">
        <f>+B17/'Balance Sheet'!#REF!</f>
        <v>#REF!</v>
      </c>
      <c r="C18" s="19">
        <f>+C17/'Balance Sheet'!B21</f>
        <v>2.6189641706935427E-3</v>
      </c>
      <c r="D18" s="19">
        <f>+D17/'Balance Sheet'!C21</f>
        <v>2.2362496298179053E-3</v>
      </c>
      <c r="E18" s="19">
        <f>+E17/'Balance Sheet'!D21</f>
        <v>6.0219708772889635E-3</v>
      </c>
      <c r="F18" s="19">
        <f>+F17/'Balance Sheet'!E21</f>
        <v>5.6026991787938834E-3</v>
      </c>
      <c r="G18" s="19">
        <f>+G17/'Balance Sheet'!F21</f>
        <v>4.1270398216190669E-3</v>
      </c>
      <c r="H18" s="19">
        <f>+H17/'Balance Sheet'!G21</f>
        <v>4.3622800216449953E-3</v>
      </c>
      <c r="I18" s="19">
        <f>+I17/'Balance Sheet'!H21</f>
        <v>8.2996702184176506E-3</v>
      </c>
      <c r="J18" s="19">
        <f>+J17/'Balance Sheet'!I21</f>
        <v>1.0473639634914425E-2</v>
      </c>
      <c r="K18" s="19">
        <f>+K17/'Balance Sheet'!J21</f>
        <v>7.5193266998215991E-2</v>
      </c>
      <c r="L18" s="19">
        <f>+L17/'Balance Sheet'!K21</f>
        <v>7.3066457051878322E-2</v>
      </c>
      <c r="M18" s="19">
        <f>+M17/'Balance Sheet'!L21</f>
        <v>7.0371920228260859E-2</v>
      </c>
      <c r="N18" s="22" t="s">
        <v>78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x14ac:dyDescent="0.4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27" x14ac:dyDescent="0.4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087C-C12D-4174-93F4-868FDBFCE81E}">
  <dimension ref="A1"/>
  <sheetViews>
    <sheetView workbookViewId="0">
      <selection activeCell="H3" sqref="H3:L13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4015-3A0D-4F3C-B569-1D2798B1A9D9}">
  <dimension ref="A1:B9"/>
  <sheetViews>
    <sheetView workbookViewId="0">
      <selection activeCell="B3" sqref="B3"/>
    </sheetView>
  </sheetViews>
  <sheetFormatPr defaultRowHeight="14.5" x14ac:dyDescent="0.35"/>
  <cols>
    <col min="1" max="1" width="34.1796875" customWidth="1"/>
    <col min="2" max="2" width="12.1796875" bestFit="1" customWidth="1"/>
  </cols>
  <sheetData>
    <row r="1" spans="1:2" x14ac:dyDescent="0.35">
      <c r="A1" t="s">
        <v>41</v>
      </c>
      <c r="B1" t="s">
        <v>115</v>
      </c>
    </row>
    <row r="2" spans="1:2" x14ac:dyDescent="0.35">
      <c r="A2" t="s">
        <v>117</v>
      </c>
      <c r="B2" s="44">
        <v>2263</v>
      </c>
    </row>
    <row r="3" spans="1:2" x14ac:dyDescent="0.35">
      <c r="A3" t="s">
        <v>118</v>
      </c>
      <c r="B3" s="60">
        <f>+'Income Statement'!L27</f>
        <v>676.55948879196671</v>
      </c>
    </row>
    <row r="4" spans="1:2" x14ac:dyDescent="0.35">
      <c r="A4" t="s">
        <v>116</v>
      </c>
      <c r="B4" s="45">
        <f>+B3*B2</f>
        <v>1531054.1231362207</v>
      </c>
    </row>
    <row r="5" spans="1:2" x14ac:dyDescent="0.35">
      <c r="A5" t="s">
        <v>38</v>
      </c>
      <c r="B5" s="44">
        <f>+Table_6[[#This Row],[Mar 2023]]</f>
        <v>451664</v>
      </c>
    </row>
    <row r="6" spans="1:2" x14ac:dyDescent="0.35">
      <c r="A6" t="s">
        <v>48</v>
      </c>
      <c r="B6" s="44">
        <f>+'Balance Sheet'!L17</f>
        <v>68664</v>
      </c>
    </row>
    <row r="7" spans="1:2" x14ac:dyDescent="0.35">
      <c r="A7" t="s">
        <v>119</v>
      </c>
      <c r="B7" s="46">
        <f>+B4+B5-B6</f>
        <v>1914054.1231362207</v>
      </c>
    </row>
    <row r="8" spans="1:2" x14ac:dyDescent="0.35">
      <c r="A8" t="s">
        <v>121</v>
      </c>
      <c r="B8">
        <f>+'Income Statement'!L21</f>
        <v>74088</v>
      </c>
    </row>
    <row r="9" spans="1:2" x14ac:dyDescent="0.35">
      <c r="A9" t="s">
        <v>120</v>
      </c>
      <c r="B9" s="26">
        <f>+B4/B8</f>
        <v>20.665345577370434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DECC-A91A-46BC-BD58-2DB67515E991}">
  <dimension ref="B2:B59"/>
  <sheetViews>
    <sheetView workbookViewId="0">
      <selection activeCell="O19" sqref="O19"/>
    </sheetView>
  </sheetViews>
  <sheetFormatPr defaultRowHeight="14.5" x14ac:dyDescent="0.35"/>
  <sheetData>
    <row r="2" spans="2:2" ht="17" x14ac:dyDescent="0.35">
      <c r="B2" s="144" t="s">
        <v>663</v>
      </c>
    </row>
    <row r="3" spans="2:2" ht="15" x14ac:dyDescent="0.35">
      <c r="B3" s="145" t="s">
        <v>664</v>
      </c>
    </row>
    <row r="4" spans="2:2" ht="15.5" x14ac:dyDescent="0.35">
      <c r="B4" s="146" t="s">
        <v>665</v>
      </c>
    </row>
    <row r="7" spans="2:2" ht="15" x14ac:dyDescent="0.35">
      <c r="B7" s="145" t="s">
        <v>666</v>
      </c>
    </row>
    <row r="8" spans="2:2" x14ac:dyDescent="0.35">
      <c r="B8" s="147"/>
    </row>
    <row r="9" spans="2:2" ht="15" x14ac:dyDescent="0.35">
      <c r="B9" s="148" t="s">
        <v>667</v>
      </c>
    </row>
    <row r="10" spans="2:2" ht="15.5" x14ac:dyDescent="0.35">
      <c r="B10" s="149" t="s">
        <v>668</v>
      </c>
    </row>
    <row r="11" spans="2:2" ht="15.5" x14ac:dyDescent="0.35">
      <c r="B11" s="149" t="s">
        <v>669</v>
      </c>
    </row>
    <row r="12" spans="2:2" ht="15" x14ac:dyDescent="0.35">
      <c r="B12" s="148" t="s">
        <v>670</v>
      </c>
    </row>
    <row r="13" spans="2:2" ht="15.5" x14ac:dyDescent="0.35">
      <c r="B13" s="149" t="s">
        <v>671</v>
      </c>
    </row>
    <row r="14" spans="2:2" ht="15.5" x14ac:dyDescent="0.35">
      <c r="B14" s="150" t="s">
        <v>672</v>
      </c>
    </row>
    <row r="15" spans="2:2" ht="15.5" x14ac:dyDescent="0.35">
      <c r="B15" s="150" t="s">
        <v>673</v>
      </c>
    </row>
    <row r="16" spans="2:2" ht="15.5" x14ac:dyDescent="0.35">
      <c r="B16" s="150" t="s">
        <v>674</v>
      </c>
    </row>
    <row r="17" spans="2:2" ht="15.5" x14ac:dyDescent="0.35">
      <c r="B17" s="150" t="s">
        <v>675</v>
      </c>
    </row>
    <row r="18" spans="2:2" ht="15" x14ac:dyDescent="0.35">
      <c r="B18" s="148" t="s">
        <v>676</v>
      </c>
    </row>
    <row r="19" spans="2:2" ht="15.5" x14ac:dyDescent="0.35">
      <c r="B19" s="149" t="s">
        <v>677</v>
      </c>
    </row>
    <row r="20" spans="2:2" ht="15.5" x14ac:dyDescent="0.35">
      <c r="B20" s="151" t="s">
        <v>678</v>
      </c>
    </row>
    <row r="21" spans="2:2" ht="15.5" x14ac:dyDescent="0.35">
      <c r="B21" s="151" t="s">
        <v>679</v>
      </c>
    </row>
    <row r="22" spans="2:2" ht="15.5" x14ac:dyDescent="0.35">
      <c r="B22" s="151" t="s">
        <v>680</v>
      </c>
    </row>
    <row r="23" spans="2:2" ht="15.5" x14ac:dyDescent="0.35">
      <c r="B23" s="151" t="s">
        <v>681</v>
      </c>
    </row>
    <row r="24" spans="2:2" ht="15.5" x14ac:dyDescent="0.35">
      <c r="B24" s="151" t="s">
        <v>682</v>
      </c>
    </row>
    <row r="25" spans="2:2" ht="15" x14ac:dyDescent="0.35">
      <c r="B25" s="148" t="s">
        <v>683</v>
      </c>
    </row>
    <row r="26" spans="2:2" ht="15.5" x14ac:dyDescent="0.35">
      <c r="B26" s="149" t="s">
        <v>684</v>
      </c>
    </row>
    <row r="27" spans="2:2" ht="15.5" x14ac:dyDescent="0.35">
      <c r="B27" s="151" t="s">
        <v>685</v>
      </c>
    </row>
    <row r="28" spans="2:2" ht="15.5" x14ac:dyDescent="0.35">
      <c r="B28" s="151" t="s">
        <v>686</v>
      </c>
    </row>
    <row r="29" spans="2:2" ht="15.5" x14ac:dyDescent="0.35">
      <c r="B29" s="151" t="s">
        <v>687</v>
      </c>
    </row>
    <row r="30" spans="2:2" ht="15.5" x14ac:dyDescent="0.35">
      <c r="B30" s="151" t="s">
        <v>688</v>
      </c>
    </row>
    <row r="31" spans="2:2" ht="15.5" x14ac:dyDescent="0.35">
      <c r="B31" s="151" t="s">
        <v>689</v>
      </c>
    </row>
    <row r="32" spans="2:2" ht="15" x14ac:dyDescent="0.35">
      <c r="B32" s="148" t="s">
        <v>690</v>
      </c>
    </row>
    <row r="33" spans="2:2" ht="15.5" x14ac:dyDescent="0.35">
      <c r="B33" s="149" t="s">
        <v>691</v>
      </c>
    </row>
    <row r="34" spans="2:2" ht="15.5" x14ac:dyDescent="0.35">
      <c r="B34" s="150" t="s">
        <v>692</v>
      </c>
    </row>
    <row r="35" spans="2:2" ht="15.5" x14ac:dyDescent="0.35">
      <c r="B35" s="150" t="s">
        <v>693</v>
      </c>
    </row>
    <row r="36" spans="2:2" ht="15.5" x14ac:dyDescent="0.35">
      <c r="B36" s="150" t="s">
        <v>694</v>
      </c>
    </row>
    <row r="37" spans="2:2" ht="15.5" x14ac:dyDescent="0.35">
      <c r="B37" s="149" t="s">
        <v>695</v>
      </c>
    </row>
    <row r="38" spans="2:2" ht="15" x14ac:dyDescent="0.35">
      <c r="B38" s="148" t="s">
        <v>696</v>
      </c>
    </row>
    <row r="39" spans="2:2" ht="15.5" x14ac:dyDescent="0.35">
      <c r="B39" s="149" t="s">
        <v>697</v>
      </c>
    </row>
    <row r="40" spans="2:2" ht="15" x14ac:dyDescent="0.35">
      <c r="B40" s="148" t="s">
        <v>698</v>
      </c>
    </row>
    <row r="41" spans="2:2" ht="15.5" x14ac:dyDescent="0.35">
      <c r="B41" s="149" t="s">
        <v>699</v>
      </c>
    </row>
    <row r="42" spans="2:2" ht="15.5" x14ac:dyDescent="0.35">
      <c r="B42" s="149" t="s">
        <v>700</v>
      </c>
    </row>
    <row r="43" spans="2:2" ht="15.5" x14ac:dyDescent="0.35">
      <c r="B43" s="149" t="s">
        <v>701</v>
      </c>
    </row>
    <row r="46" spans="2:2" ht="15" x14ac:dyDescent="0.35">
      <c r="B46" s="145" t="s">
        <v>702</v>
      </c>
    </row>
    <row r="47" spans="2:2" x14ac:dyDescent="0.35">
      <c r="B47" s="147"/>
    </row>
    <row r="48" spans="2:2" ht="15.5" x14ac:dyDescent="0.35">
      <c r="B48" s="152" t="s">
        <v>703</v>
      </c>
    </row>
    <row r="49" spans="2:2" ht="15.5" x14ac:dyDescent="0.35">
      <c r="B49" s="152" t="s">
        <v>704</v>
      </c>
    </row>
    <row r="50" spans="2:2" ht="15.5" x14ac:dyDescent="0.35">
      <c r="B50" s="145" t="s">
        <v>705</v>
      </c>
    </row>
    <row r="51" spans="2:2" ht="15" x14ac:dyDescent="0.35">
      <c r="B51" s="145" t="s">
        <v>706</v>
      </c>
    </row>
    <row r="52" spans="2:2" x14ac:dyDescent="0.35">
      <c r="B52" s="147"/>
    </row>
    <row r="53" spans="2:2" ht="15.5" x14ac:dyDescent="0.35">
      <c r="B53" s="152" t="s">
        <v>707</v>
      </c>
    </row>
    <row r="54" spans="2:2" ht="15.5" x14ac:dyDescent="0.35">
      <c r="B54" s="152" t="s">
        <v>708</v>
      </c>
    </row>
    <row r="55" spans="2:2" ht="15.5" x14ac:dyDescent="0.35">
      <c r="B55" s="152" t="s">
        <v>709</v>
      </c>
    </row>
    <row r="56" spans="2:2" ht="15.5" x14ac:dyDescent="0.35">
      <c r="B56" s="152" t="s">
        <v>710</v>
      </c>
    </row>
    <row r="59" spans="2:2" ht="15.5" x14ac:dyDescent="0.35">
      <c r="B59" s="146" t="s">
        <v>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EB12-48FA-44E1-9354-ECE2ACC4C95C}">
  <dimension ref="A1:K9"/>
  <sheetViews>
    <sheetView workbookViewId="0">
      <selection activeCell="B19" sqref="B19"/>
    </sheetView>
  </sheetViews>
  <sheetFormatPr defaultRowHeight="14.5" x14ac:dyDescent="0.35"/>
  <cols>
    <col min="1" max="1" width="4.54296875" customWidth="1"/>
    <col min="2" max="2" width="26.1796875" customWidth="1"/>
    <col min="3" max="3" width="10.7265625" customWidth="1"/>
    <col min="4" max="4" width="6" bestFit="1" customWidth="1"/>
    <col min="5" max="5" width="14.453125" customWidth="1"/>
    <col min="6" max="6" width="13" customWidth="1"/>
    <col min="7" max="7" width="13.90625" customWidth="1"/>
    <col min="8" max="8" width="16.08984375" customWidth="1"/>
    <col min="9" max="9" width="15.453125" customWidth="1"/>
    <col min="10" max="10" width="14.36328125" customWidth="1"/>
    <col min="11" max="11" width="18.36328125" bestFit="1" customWidth="1"/>
  </cols>
  <sheetData>
    <row r="1" spans="1:11" x14ac:dyDescent="0.35">
      <c r="A1" t="s">
        <v>613</v>
      </c>
      <c r="B1" t="s">
        <v>614</v>
      </c>
      <c r="C1" t="s">
        <v>615</v>
      </c>
      <c r="D1" t="s">
        <v>616</v>
      </c>
      <c r="E1" t="s">
        <v>617</v>
      </c>
      <c r="F1" t="s">
        <v>618</v>
      </c>
      <c r="G1" t="s">
        <v>619</v>
      </c>
      <c r="H1" t="s">
        <v>620</v>
      </c>
      <c r="I1" t="s">
        <v>621</v>
      </c>
      <c r="J1" t="s">
        <v>622</v>
      </c>
      <c r="K1" t="s">
        <v>623</v>
      </c>
    </row>
    <row r="2" spans="1:11" x14ac:dyDescent="0.35">
      <c r="A2">
        <v>1</v>
      </c>
      <c r="B2" t="s">
        <v>624</v>
      </c>
      <c r="C2">
        <v>1266.7</v>
      </c>
      <c r="D2">
        <v>24.77</v>
      </c>
      <c r="E2" s="44">
        <v>1714145.2</v>
      </c>
      <c r="F2">
        <v>0.39</v>
      </c>
      <c r="G2" s="44">
        <v>21930</v>
      </c>
      <c r="H2">
        <v>7.38</v>
      </c>
      <c r="I2" s="44">
        <v>239986</v>
      </c>
      <c r="J2">
        <v>6.62</v>
      </c>
      <c r="K2">
        <v>9.61</v>
      </c>
    </row>
    <row r="3" spans="1:11" x14ac:dyDescent="0.35">
      <c r="A3">
        <v>2</v>
      </c>
      <c r="B3" t="s">
        <v>625</v>
      </c>
      <c r="C3">
        <v>125.11</v>
      </c>
      <c r="D3">
        <v>18.2</v>
      </c>
      <c r="E3" s="44">
        <v>176670.81</v>
      </c>
      <c r="F3">
        <v>9.59</v>
      </c>
      <c r="G3" s="44">
        <v>2147.35</v>
      </c>
      <c r="H3">
        <v>-81.87</v>
      </c>
      <c r="I3" s="44">
        <v>194014.49</v>
      </c>
      <c r="J3">
        <v>-2.95</v>
      </c>
      <c r="K3">
        <v>21.14</v>
      </c>
    </row>
    <row r="4" spans="1:11" x14ac:dyDescent="0.35">
      <c r="A4">
        <v>3</v>
      </c>
      <c r="B4" t="s">
        <v>626</v>
      </c>
      <c r="C4">
        <v>264.3</v>
      </c>
      <c r="D4">
        <v>8.19</v>
      </c>
      <c r="E4" s="44">
        <v>114666.7</v>
      </c>
      <c r="F4">
        <v>7.95</v>
      </c>
      <c r="G4" s="44">
        <v>3805.94</v>
      </c>
      <c r="H4">
        <v>19.27</v>
      </c>
      <c r="I4" s="44">
        <v>113165.87</v>
      </c>
      <c r="J4">
        <v>-2.02</v>
      </c>
      <c r="K4">
        <v>32.090000000000003</v>
      </c>
    </row>
    <row r="5" spans="1:11" x14ac:dyDescent="0.35">
      <c r="A5">
        <v>4</v>
      </c>
      <c r="B5" t="s">
        <v>627</v>
      </c>
      <c r="C5">
        <v>342.5</v>
      </c>
      <c r="D5">
        <v>12.09</v>
      </c>
      <c r="E5" s="44">
        <v>72877.919999999998</v>
      </c>
      <c r="F5">
        <v>6.13</v>
      </c>
      <c r="G5" s="44">
        <v>2543.65</v>
      </c>
      <c r="H5">
        <v>256.83</v>
      </c>
      <c r="I5" s="44">
        <v>110607.97</v>
      </c>
      <c r="J5">
        <v>-0.66</v>
      </c>
      <c r="K5">
        <v>21.26</v>
      </c>
    </row>
    <row r="6" spans="1:11" x14ac:dyDescent="0.35">
      <c r="A6">
        <v>5</v>
      </c>
      <c r="B6" t="s">
        <v>628</v>
      </c>
      <c r="C6">
        <v>124.13</v>
      </c>
      <c r="D6">
        <v>26.23</v>
      </c>
      <c r="E6" s="44">
        <v>21755.01</v>
      </c>
      <c r="F6">
        <v>2.42</v>
      </c>
      <c r="G6" s="44">
        <v>309.3</v>
      </c>
      <c r="H6">
        <v>-21.11</v>
      </c>
      <c r="I6" s="44">
        <v>21870.86</v>
      </c>
      <c r="J6">
        <v>-11.34</v>
      </c>
      <c r="K6">
        <v>25.75</v>
      </c>
    </row>
    <row r="7" spans="1:11" x14ac:dyDescent="0.35">
      <c r="A7">
        <v>6</v>
      </c>
      <c r="B7" t="s">
        <v>629</v>
      </c>
      <c r="C7">
        <v>522.85</v>
      </c>
      <c r="D7">
        <v>20.93</v>
      </c>
      <c r="E7" s="44">
        <v>7785.83</v>
      </c>
      <c r="F7">
        <v>10.52</v>
      </c>
      <c r="G7" s="44">
        <v>20.78</v>
      </c>
      <c r="H7">
        <v>-94.31</v>
      </c>
      <c r="I7" s="44">
        <v>12925.36</v>
      </c>
      <c r="J7">
        <v>-25.61</v>
      </c>
      <c r="K7">
        <v>35.07</v>
      </c>
    </row>
    <row r="8" spans="1:11" x14ac:dyDescent="0.35">
      <c r="A8">
        <v>7</v>
      </c>
      <c r="B8" t="s">
        <v>630</v>
      </c>
      <c r="C8">
        <v>172.52</v>
      </c>
      <c r="D8">
        <v>21.8</v>
      </c>
      <c r="E8" s="44">
        <v>1688.45</v>
      </c>
      <c r="F8">
        <v>0.28999999999999998</v>
      </c>
      <c r="G8" s="44">
        <v>20.420000000000002</v>
      </c>
      <c r="H8">
        <v>-59.15</v>
      </c>
      <c r="I8" s="44">
        <v>1005.29</v>
      </c>
      <c r="J8">
        <v>-8.83</v>
      </c>
      <c r="K8">
        <v>21.63</v>
      </c>
    </row>
    <row r="9" spans="1:11" x14ac:dyDescent="0.35">
      <c r="B9" t="s">
        <v>631</v>
      </c>
      <c r="C9">
        <v>218.41</v>
      </c>
      <c r="D9">
        <v>21.37</v>
      </c>
      <c r="E9" s="44">
        <v>47316.46</v>
      </c>
      <c r="F9">
        <v>4.28</v>
      </c>
      <c r="G9" s="44">
        <v>1228.33</v>
      </c>
      <c r="H9">
        <v>-21.11</v>
      </c>
      <c r="I9" s="44">
        <v>66239.42</v>
      </c>
      <c r="J9">
        <v>-2.4900000000000002</v>
      </c>
      <c r="K9">
        <v>21.45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F2E3-8EB4-43BE-9CAF-9E47D1888DC6}">
  <dimension ref="A1:E8"/>
  <sheetViews>
    <sheetView workbookViewId="0">
      <selection sqref="A1:E8"/>
    </sheetView>
  </sheetViews>
  <sheetFormatPr defaultRowHeight="14.5" x14ac:dyDescent="0.35"/>
  <cols>
    <col min="1" max="1" width="23.81640625" customWidth="1"/>
    <col min="2" max="2" width="21.08984375" customWidth="1"/>
    <col min="3" max="3" width="20.453125" customWidth="1"/>
    <col min="4" max="4" width="25.6328125" customWidth="1"/>
    <col min="5" max="5" width="27.6328125" customWidth="1"/>
  </cols>
  <sheetData>
    <row r="1" spans="1:5" x14ac:dyDescent="0.35">
      <c r="A1" s="86" t="s">
        <v>632</v>
      </c>
      <c r="B1" s="86" t="s">
        <v>633</v>
      </c>
      <c r="C1" s="86" t="s">
        <v>634</v>
      </c>
      <c r="D1" s="86" t="s">
        <v>635</v>
      </c>
      <c r="E1" s="86" t="s">
        <v>636</v>
      </c>
    </row>
    <row r="2" spans="1:5" x14ac:dyDescent="0.35">
      <c r="A2" t="s">
        <v>637</v>
      </c>
      <c r="B2" s="44">
        <v>564749</v>
      </c>
      <c r="C2" s="44">
        <v>594650</v>
      </c>
      <c r="D2" s="44">
        <v>53617</v>
      </c>
      <c r="E2" s="44">
        <v>53883</v>
      </c>
    </row>
    <row r="3" spans="1:5" x14ac:dyDescent="0.35">
      <c r="A3" t="s">
        <v>638</v>
      </c>
      <c r="B3" s="44">
        <v>24439</v>
      </c>
      <c r="C3" s="44">
        <v>16508</v>
      </c>
      <c r="D3" s="44">
        <v>14831</v>
      </c>
      <c r="E3" s="44">
        <v>10933</v>
      </c>
    </row>
    <row r="4" spans="1:5" x14ac:dyDescent="0.35">
      <c r="A4" t="s">
        <v>639</v>
      </c>
      <c r="B4" s="44">
        <v>306848</v>
      </c>
      <c r="C4" s="44">
        <v>260394</v>
      </c>
      <c r="D4" s="44">
        <v>17498</v>
      </c>
      <c r="E4" s="44">
        <v>13994</v>
      </c>
    </row>
    <row r="5" spans="1:5" x14ac:dyDescent="0.35">
      <c r="A5" t="s">
        <v>640</v>
      </c>
      <c r="B5" s="44">
        <v>132938</v>
      </c>
      <c r="C5" s="44">
        <v>119791</v>
      </c>
      <c r="D5" s="44">
        <v>33124</v>
      </c>
      <c r="E5" s="44">
        <v>29681</v>
      </c>
    </row>
    <row r="6" spans="1:5" x14ac:dyDescent="0.35">
      <c r="A6" t="s">
        <v>641</v>
      </c>
      <c r="B6" s="44">
        <v>80516</v>
      </c>
      <c r="C6" s="44">
        <v>88455</v>
      </c>
      <c r="D6" s="44">
        <v>1387</v>
      </c>
      <c r="E6" s="44">
        <v>1045</v>
      </c>
    </row>
    <row r="7" spans="1:5" x14ac:dyDescent="0.35">
      <c r="A7" t="s">
        <v>642</v>
      </c>
      <c r="B7" s="44">
        <v>0</v>
      </c>
      <c r="C7" s="44">
        <v>0</v>
      </c>
      <c r="D7" s="44">
        <v>-2187</v>
      </c>
      <c r="E7" s="44">
        <v>-6516</v>
      </c>
    </row>
    <row r="8" spans="1:5" x14ac:dyDescent="0.35">
      <c r="A8" t="s">
        <v>643</v>
      </c>
      <c r="B8" s="44">
        <v>1000122</v>
      </c>
      <c r="C8" s="44">
        <v>974864</v>
      </c>
      <c r="D8" s="44">
        <v>118270</v>
      </c>
      <c r="E8" s="44">
        <v>103020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0A75-D3B2-4AFF-90FC-C966C6DA810A}">
  <dimension ref="A1:C5"/>
  <sheetViews>
    <sheetView workbookViewId="0">
      <selection sqref="A1:C5"/>
    </sheetView>
  </sheetViews>
  <sheetFormatPr defaultRowHeight="14.5" x14ac:dyDescent="0.35"/>
  <cols>
    <col min="1" max="1" width="26.7265625" customWidth="1"/>
    <col min="2" max="2" width="20.54296875" customWidth="1"/>
    <col min="3" max="3" width="27.36328125" customWidth="1"/>
  </cols>
  <sheetData>
    <row r="1" spans="1:3" x14ac:dyDescent="0.35">
      <c r="A1" t="s">
        <v>647</v>
      </c>
    </row>
    <row r="2" spans="1:3" x14ac:dyDescent="0.35">
      <c r="A2" s="86" t="s">
        <v>644</v>
      </c>
      <c r="B2" s="86" t="s">
        <v>633</v>
      </c>
      <c r="C2" s="86" t="s">
        <v>634</v>
      </c>
    </row>
    <row r="3" spans="1:3" x14ac:dyDescent="0.35">
      <c r="A3" t="s">
        <v>645</v>
      </c>
      <c r="B3" s="44">
        <v>649864</v>
      </c>
      <c r="C3" s="44">
        <v>579087</v>
      </c>
    </row>
    <row r="4" spans="1:3" x14ac:dyDescent="0.35">
      <c r="A4" t="s">
        <v>646</v>
      </c>
      <c r="B4" s="44">
        <v>350258</v>
      </c>
      <c r="C4" s="44">
        <v>395777</v>
      </c>
    </row>
    <row r="5" spans="1:3" x14ac:dyDescent="0.35">
      <c r="A5" t="s">
        <v>643</v>
      </c>
      <c r="B5" s="44">
        <v>1000122</v>
      </c>
      <c r="C5" s="44">
        <v>974864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7576-357D-4187-B2AF-5B0B6D17B034}">
  <dimension ref="A1:M13"/>
  <sheetViews>
    <sheetView workbookViewId="0">
      <selection activeCell="B1" sqref="B1:M1"/>
    </sheetView>
  </sheetViews>
  <sheetFormatPr defaultRowHeight="15.5" x14ac:dyDescent="0.35"/>
  <cols>
    <col min="1" max="1" width="24.36328125" style="123" customWidth="1"/>
    <col min="2" max="2" width="11.26953125" style="123" customWidth="1"/>
    <col min="3" max="13" width="11" style="123" bestFit="1" customWidth="1"/>
    <col min="14" max="16384" width="8.7265625" style="123"/>
  </cols>
  <sheetData>
    <row r="1" spans="1:13" x14ac:dyDescent="0.35">
      <c r="A1" s="123" t="s">
        <v>28</v>
      </c>
      <c r="B1" s="123" t="s">
        <v>1</v>
      </c>
      <c r="C1" s="123" t="s">
        <v>2</v>
      </c>
      <c r="D1" s="123" t="s">
        <v>3</v>
      </c>
      <c r="E1" s="123" t="s">
        <v>4</v>
      </c>
      <c r="F1" s="123" t="s">
        <v>5</v>
      </c>
      <c r="G1" s="123" t="s">
        <v>6</v>
      </c>
      <c r="H1" s="123" t="s">
        <v>7</v>
      </c>
      <c r="I1" s="123" t="s">
        <v>8</v>
      </c>
      <c r="J1" s="123" t="s">
        <v>9</v>
      </c>
      <c r="K1" s="123" t="s">
        <v>10</v>
      </c>
      <c r="L1" s="123" t="s">
        <v>11</v>
      </c>
      <c r="M1" s="123" t="s">
        <v>305</v>
      </c>
    </row>
    <row r="2" spans="1:13" x14ac:dyDescent="0.35">
      <c r="A2" s="123" t="s">
        <v>25</v>
      </c>
      <c r="B2" s="124">
        <f>+[1]Sheet2!B2/[1]Sheet2!B2</f>
        <v>1</v>
      </c>
      <c r="C2" s="124">
        <f>+[1]Sheet2!C2/[1]Sheet2!$C$2</f>
        <v>1</v>
      </c>
      <c r="D2" s="124">
        <f>+[1]Sheet2!D2/[1]Sheet2!$D$2</f>
        <v>1</v>
      </c>
      <c r="E2" s="124">
        <f>+[1]Sheet2!E2/[1]Sheet2!$E$2</f>
        <v>1</v>
      </c>
      <c r="F2" s="124">
        <f>+[1]Sheet2!F2/[1]Sheet2!$F$2</f>
        <v>1</v>
      </c>
      <c r="G2" s="124">
        <f>+[1]Sheet2!G2/[1]Sheet2!$G$2</f>
        <v>1</v>
      </c>
      <c r="H2" s="124">
        <f>+[1]Sheet2!H2/[1]Sheet2!$H$2</f>
        <v>1</v>
      </c>
      <c r="I2" s="124">
        <f>+[1]Sheet2!I2/[1]Sheet2!$I$2</f>
        <v>1</v>
      </c>
      <c r="J2" s="124">
        <f>+[1]Sheet2!J2/[1]Sheet2!$J$2</f>
        <v>1</v>
      </c>
      <c r="K2" s="124">
        <f>+[1]Sheet2!K2/[1]Sheet2!$K$2</f>
        <v>1</v>
      </c>
      <c r="L2" s="124">
        <f>+[1]Sheet2!L2/[1]Sheet2!$L$2</f>
        <v>1</v>
      </c>
      <c r="M2" s="124">
        <f>+[1]Sheet2!M2/[1]Sheet2!$M$2</f>
        <v>1</v>
      </c>
    </row>
    <row r="3" spans="1:13" x14ac:dyDescent="0.35">
      <c r="A3" s="123" t="s">
        <v>26</v>
      </c>
      <c r="B3" s="125">
        <f>+[1]Sheet2!B3/[1]Sheet2!$B$2</f>
        <v>0.91626616021436669</v>
      </c>
      <c r="C3" s="125">
        <f>+[1]Sheet2!C3/[1]Sheet2!$C$2</f>
        <v>0.91941566844512723</v>
      </c>
      <c r="D3" s="125">
        <f>+[1]Sheet2!D3/[1]Sheet2!$D$2</f>
        <v>0.899968480548759</v>
      </c>
      <c r="E3" s="125">
        <f>+[1]Sheet2!E3/[1]Sheet2!$E$2</f>
        <v>0.84672191589350765</v>
      </c>
      <c r="F3" s="125">
        <f>+[1]Sheet2!F3/[1]Sheet2!$F$2</f>
        <v>0.84765128933983436</v>
      </c>
      <c r="G3" s="125">
        <f>+[1]Sheet2!G3/[1]Sheet2!$G$2</f>
        <v>0.83543701368650258</v>
      </c>
      <c r="H3" s="125">
        <f>+[1]Sheet2!H3/[1]Sheet2!$H$2</f>
        <v>0.8517604871757426</v>
      </c>
      <c r="I3" s="125">
        <f>+[1]Sheet2!I3/[1]Sheet2!$I$2</f>
        <v>0.85039527115919955</v>
      </c>
      <c r="J3" s="125">
        <f>+[1]Sheet2!J3/[1]Sheet2!$J$2</f>
        <v>0.82674504135687432</v>
      </c>
      <c r="K3" s="125">
        <f>+[1]Sheet2!K3/[1]Sheet2!$K$2</f>
        <v>0.8436948031663819</v>
      </c>
      <c r="L3" s="125">
        <f>+[1]Sheet2!L3/[1]Sheet2!$L$2</f>
        <v>0.83760993888607438</v>
      </c>
      <c r="M3" s="125">
        <f>+[1]Sheet2!M3/[1]Sheet2!$M$2</f>
        <v>0.81925407183877041</v>
      </c>
    </row>
    <row r="4" spans="1:13" x14ac:dyDescent="0.35">
      <c r="A4" s="126" t="s">
        <v>29</v>
      </c>
      <c r="B4" s="127">
        <f>+[1]Sheet2!B4/[1]Sheet2!$B$2</f>
        <v>8.3733839785633285E-2</v>
      </c>
      <c r="C4" s="127">
        <f>+[1]Sheet2!C4/[1]Sheet2!$C$2</f>
        <v>8.0584331554872768E-2</v>
      </c>
      <c r="D4" s="127">
        <f>+[1]Sheet2!D4/[1]Sheet2!$D$2</f>
        <v>0.10003151945124102</v>
      </c>
      <c r="E4" s="127">
        <f>+[1]Sheet2!E4/[1]Sheet2!$E$2</f>
        <v>0.15327808410649232</v>
      </c>
      <c r="F4" s="127">
        <f>+[1]Sheet2!F4/[1]Sheet2!$F$2</f>
        <v>0.15234871066016567</v>
      </c>
      <c r="G4" s="127">
        <f>+[1]Sheet2!G4/[1]Sheet2!$G$2</f>
        <v>0.16456298631349742</v>
      </c>
      <c r="H4" s="127">
        <f>+[1]Sheet2!H4/[1]Sheet2!$H$2</f>
        <v>0.14823951282425743</v>
      </c>
      <c r="I4" s="127">
        <f>+[1]Sheet2!I4/[1]Sheet2!$I$2</f>
        <v>0.1496047288408005</v>
      </c>
      <c r="J4" s="127">
        <f>+[1]Sheet2!J4/[1]Sheet2!$J$2</f>
        <v>0.17325495864312568</v>
      </c>
      <c r="K4" s="127">
        <f>+[1]Sheet2!K4/[1]Sheet2!$K$2</f>
        <v>0.15630519683361813</v>
      </c>
      <c r="L4" s="127">
        <f>+[1]Sheet2!L4/[1]Sheet2!$L$2</f>
        <v>0.16239006111392568</v>
      </c>
      <c r="M4" s="127">
        <f>+[1]Sheet2!M4/[1]Sheet2!$M$2</f>
        <v>0.18074592816122959</v>
      </c>
    </row>
    <row r="5" spans="1:13" x14ac:dyDescent="0.35">
      <c r="A5" s="123" t="s">
        <v>15</v>
      </c>
      <c r="B5" s="125">
        <f>+[1]Sheet2!B5/[1]Sheet2!$B$2</f>
        <v>2.8366716587912323E-2</v>
      </c>
      <c r="C5" s="125">
        <f>+[1]Sheet2!C5/[1]Sheet2!$C$2</f>
        <v>2.5837272012197793E-2</v>
      </c>
      <c r="D5" s="125">
        <f>+[1]Sheet2!D5/[1]Sheet2!$D$2</f>
        <v>3.0843652837284841E-2</v>
      </c>
      <c r="E5" s="125">
        <f>+[1]Sheet2!E5/[1]Sheet2!$E$2</f>
        <v>4.242744411793839E-2</v>
      </c>
      <c r="F5" s="125">
        <f>+[1]Sheet2!F5/[1]Sheet2!$F$2</f>
        <v>3.8315008192029057E-2</v>
      </c>
      <c r="G5" s="125">
        <f>+[1]Sheet2!G5/[1]Sheet2!$G$2</f>
        <v>4.2745693063100179E-2</v>
      </c>
      <c r="H5" s="125">
        <f>+[1]Sheet2!H5/[1]Sheet2!$H$2</f>
        <v>3.6833779958017863E-2</v>
      </c>
      <c r="I5" s="125">
        <f>+[1]Sheet2!I5/[1]Sheet2!$I$2</f>
        <v>3.721096267842508E-2</v>
      </c>
      <c r="J5" s="125">
        <f>+[1]Sheet2!J5/[1]Sheet2!$J$2</f>
        <v>5.6983918319905125E-2</v>
      </c>
      <c r="K5" s="125">
        <f>+[1]Sheet2!K5/[1]Sheet2!$K$2</f>
        <v>4.2871969977241089E-2</v>
      </c>
      <c r="L5" s="125">
        <f>+[1]Sheet2!L5/[1]Sheet2!$L$2</f>
        <v>4.5987202132369384E-2</v>
      </c>
      <c r="M5" s="125">
        <f>+[1]Sheet2!M5/[1]Sheet2!$M$2</f>
        <v>5.6540246774062587E-2</v>
      </c>
    </row>
    <row r="6" spans="1:13" x14ac:dyDescent="0.35">
      <c r="A6" s="123" t="s">
        <v>32</v>
      </c>
      <c r="B6" s="125">
        <f>+[1]Sheet2!B6/[1]Sheet2!$B$2</f>
        <v>1.5403187719878675E-2</v>
      </c>
      <c r="C6" s="125">
        <f>+[1]Sheet2!C6/[1]Sheet2!$C$2</f>
        <v>1.5011960204926636E-2</v>
      </c>
      <c r="D6" s="125">
        <f>+[1]Sheet2!D6/[1]Sheet2!$D$2</f>
        <v>1.8305321979207846E-2</v>
      </c>
      <c r="E6" s="125">
        <f>+[1]Sheet2!E6/[1]Sheet2!$E$2</f>
        <v>4.4925765730071204E-2</v>
      </c>
      <c r="F6" s="125">
        <f>+[1]Sheet2!F6/[1]Sheet2!$F$2</f>
        <v>3.0711884035084257E-2</v>
      </c>
      <c r="G6" s="125">
        <f>+[1]Sheet2!G6/[1]Sheet2!$G$2</f>
        <v>2.5607500070364334E-2</v>
      </c>
      <c r="H6" s="125">
        <f>+[1]Sheet2!H6/[1]Sheet2!$H$2</f>
        <v>1.4936560526588979E-2</v>
      </c>
      <c r="I6" s="125">
        <f>+[1]Sheet2!I6/[1]Sheet2!$I$2</f>
        <v>2.2241439702084372E-2</v>
      </c>
      <c r="J6" s="125">
        <f>+[1]Sheet2!J6/[1]Sheet2!$J$2</f>
        <v>3.6119981042532064E-2</v>
      </c>
      <c r="K6" s="125">
        <f>+[1]Sheet2!K6/[1]Sheet2!$K$2</f>
        <v>2.1935500588046462E-2</v>
      </c>
      <c r="L6" s="125">
        <f>+[1]Sheet2!L6/[1]Sheet2!$L$2</f>
        <v>1.3416309522179471E-2</v>
      </c>
      <c r="M6" s="125">
        <f>+[1]Sheet2!M6/[1]Sheet2!$M$2</f>
        <v>1.8290600762367902E-2</v>
      </c>
    </row>
    <row r="7" spans="1:13" x14ac:dyDescent="0.35">
      <c r="A7" s="128" t="s">
        <v>30</v>
      </c>
      <c r="B7" s="129">
        <f>+[1]Sheet2!B7/[1]Sheet2!$B$2</f>
        <v>7.0770310917599638E-2</v>
      </c>
      <c r="C7" s="129">
        <f>+[1]Sheet2!C7/[1]Sheet2!$C$2</f>
        <v>6.9759019747601611E-2</v>
      </c>
      <c r="D7" s="129">
        <f>+[1]Sheet2!D7/[1]Sheet2!$D$2</f>
        <v>8.7493188593164017E-2</v>
      </c>
      <c r="E7" s="129">
        <f>+[1]Sheet2!E7/[1]Sheet2!$E$2</f>
        <v>0.15577640571862517</v>
      </c>
      <c r="F7" s="129">
        <f>+[1]Sheet2!F7/[1]Sheet2!$F$2</f>
        <v>0.14474558650322089</v>
      </c>
      <c r="G7" s="129">
        <f>+[1]Sheet2!G7/[1]Sheet2!$G$2</f>
        <v>0.14742479332076158</v>
      </c>
      <c r="H7" s="129">
        <f>+[1]Sheet2!H7/[1]Sheet2!$H$2</f>
        <v>0.12634229339282854</v>
      </c>
      <c r="I7" s="129">
        <f>+[1]Sheet2!I7/[1]Sheet2!$I$2</f>
        <v>0.13463520586445979</v>
      </c>
      <c r="J7" s="129">
        <f>+[1]Sheet2!J7/[1]Sheet2!$J$2</f>
        <v>0.15239102136575261</v>
      </c>
      <c r="K7" s="129">
        <f>+[1]Sheet2!K7/[1]Sheet2!$K$2</f>
        <v>0.13536872744442349</v>
      </c>
      <c r="L7" s="129">
        <f>+[1]Sheet2!L7/[1]Sheet2!$L$2</f>
        <v>0.12981916850373576</v>
      </c>
      <c r="M7" s="129">
        <f>+[1]Sheet2!M7/[1]Sheet2!$M$2</f>
        <v>0.14249628214953489</v>
      </c>
    </row>
    <row r="8" spans="1:13" x14ac:dyDescent="0.35">
      <c r="A8" s="123" t="s">
        <v>14</v>
      </c>
      <c r="B8" s="125">
        <f>+[1]Sheet2!B8/[1]Sheet2!$B$2</f>
        <v>8.745899175920618E-3</v>
      </c>
      <c r="C8" s="125">
        <f>+[1]Sheet2!C8/[1]Sheet2!$C$2</f>
        <v>8.8484756217115206E-3</v>
      </c>
      <c r="D8" s="125">
        <f>+[1]Sheet2!D8/[1]Sheet2!$D$2</f>
        <v>8.8575000267113995E-3</v>
      </c>
      <c r="E8" s="125">
        <f>+[1]Sheet2!E8/[1]Sheet2!$E$2</f>
        <v>1.3540829765612676E-2</v>
      </c>
      <c r="F8" s="125">
        <f>+[1]Sheet2!F8/[1]Sheet2!$F$2</f>
        <v>1.2663100337551077E-2</v>
      </c>
      <c r="G8" s="125">
        <f>+[1]Sheet2!G8/[1]Sheet2!$G$2</f>
        <v>2.0602676915125261E-2</v>
      </c>
      <c r="H8" s="125">
        <f>+[1]Sheet2!H8/[1]Sheet2!$H$2</f>
        <v>2.902327316363355E-2</v>
      </c>
      <c r="I8" s="125">
        <f>+[1]Sheet2!I8/[1]Sheet2!$I$2</f>
        <v>3.6915996708447925E-2</v>
      </c>
      <c r="J8" s="125">
        <f>+[1]Sheet2!J8/[1]Sheet2!$J$2</f>
        <v>4.5440021273538675E-2</v>
      </c>
      <c r="K8" s="125">
        <f>+[1]Sheet2!K8/[1]Sheet2!$K$2</f>
        <v>2.0994050438119805E-2</v>
      </c>
      <c r="L8" s="125">
        <f>+[1]Sheet2!L8/[1]Sheet2!$L$2</f>
        <v>2.2331229261657971E-2</v>
      </c>
      <c r="M8" s="125">
        <f>+[1]Sheet2!M8/[1]Sheet2!$M$2</f>
        <v>2.5714066433010285E-2</v>
      </c>
    </row>
    <row r="9" spans="1:13" x14ac:dyDescent="0.35">
      <c r="A9" s="123" t="s">
        <v>31</v>
      </c>
      <c r="B9" s="125">
        <f>+[1]Sheet2!B9/[1]Sheet2!$B$2</f>
        <v>4.1873233709721009E-3</v>
      </c>
      <c r="C9" s="125">
        <f>+[1]Sheet2!C9/[1]Sheet2!$C$2</f>
        <v>5.4368761836220162E-3</v>
      </c>
      <c r="D9" s="125">
        <f>+[1]Sheet2!D9/[1]Sheet2!$D$2</f>
        <v>4.4741593922622419E-3</v>
      </c>
      <c r="E9" s="125">
        <f>+[1]Sheet2!E9/[1]Sheet2!$E$2</f>
        <v>-1.2473265023864292E-4</v>
      </c>
      <c r="F9" s="125">
        <f>+[1]Sheet2!F9/[1]Sheet2!$F$2</f>
        <v>-3.7176678049968088E-4</v>
      </c>
      <c r="G9" s="125">
        <f>+[1]Sheet2!G9/[1]Sheet2!$G$2</f>
        <v>-3.5565972319950465E-4</v>
      </c>
      <c r="H9" s="125">
        <f>+[1]Sheet2!H9/[1]Sheet2!$H$2</f>
        <v>-1.4604011352419428E-4</v>
      </c>
      <c r="I9" s="125">
        <f>+[1]Sheet2!I9/[1]Sheet2!$I$2</f>
        <v>-7.8786080958103098E-3</v>
      </c>
      <c r="J9" s="125">
        <f>+[1]Sheet2!J9/[1]Sheet2!$J$2</f>
        <v>1.1985666095512184E-2</v>
      </c>
      <c r="K9" s="125">
        <f>+[1]Sheet2!K9/[1]Sheet2!$K$2</f>
        <v>6.2792133852906332E-3</v>
      </c>
      <c r="L9" s="125">
        <f>+[1]Sheet2!L9/[1]Sheet2!$L$2</f>
        <v>2.989516154797603E-4</v>
      </c>
      <c r="M9" s="125">
        <f>+[1]Sheet2!M9/[1]Sheet2!$M$2</f>
        <v>-2.9475852602940244E-4</v>
      </c>
    </row>
    <row r="10" spans="1:13" x14ac:dyDescent="0.35">
      <c r="A10" s="130" t="s">
        <v>306</v>
      </c>
      <c r="B10" s="131">
        <f>+[1]Sheet2!B10/[1]Sheet2!$B$2</f>
        <v>6.6211735112651118E-2</v>
      </c>
      <c r="C10" s="131">
        <f>+[1]Sheet2!C10/[1]Sheet2!$C$2</f>
        <v>6.6347420309512115E-2</v>
      </c>
      <c r="D10" s="131">
        <f>+[1]Sheet2!D10/[1]Sheet2!$D$2</f>
        <v>8.3109847958714858E-2</v>
      </c>
      <c r="E10" s="131">
        <f>+[1]Sheet2!E10/[1]Sheet2!$E$2</f>
        <v>0.14211084330277382</v>
      </c>
      <c r="F10" s="131">
        <f>+[1]Sheet2!F10/[1]Sheet2!$F$2</f>
        <v>0.13171071938517012</v>
      </c>
      <c r="G10" s="131">
        <f>+[1]Sheet2!G10/[1]Sheet2!$G$2</f>
        <v>0.12646645668243681</v>
      </c>
      <c r="H10" s="131">
        <f>+[1]Sheet2!H10/[1]Sheet2!$H$2</f>
        <v>9.7172980115670812E-2</v>
      </c>
      <c r="I10" s="131">
        <f>+[1]Sheet2!I10/[1]Sheet2!$I$2</f>
        <v>8.9840601060201544E-2</v>
      </c>
      <c r="J10" s="131">
        <f>+[1]Sheet2!J10/[1]Sheet2!$J$2</f>
        <v>0.11893666618772611</v>
      </c>
      <c r="K10" s="131">
        <f>+[1]Sheet2!K10/[1]Sheet2!$K$2</f>
        <v>0.12065389039159431</v>
      </c>
      <c r="L10" s="131">
        <f>+[1]Sheet2!L10/[1]Sheet2!$L$2</f>
        <v>0.10778689085755755</v>
      </c>
      <c r="M10" s="131">
        <f>+[1]Sheet2!M10/[1]Sheet2!$M$2</f>
        <v>0.11648745719049521</v>
      </c>
    </row>
    <row r="11" spans="1:13" x14ac:dyDescent="0.35">
      <c r="A11" s="123" t="s">
        <v>33</v>
      </c>
      <c r="B11" s="125">
        <f>+[1]Sheet2!B11/[1]Sheet2!$B$2</f>
        <v>1.3463583166859028E-2</v>
      </c>
      <c r="C11" s="125">
        <f>+[1]Sheet2!C11/[1]Sheet2!$C$2</f>
        <v>1.4336099058638451E-2</v>
      </c>
      <c r="D11" s="125">
        <f>+[1]Sheet2!D11/[1]Sheet2!$D$2</f>
        <v>1.9964099879264476E-2</v>
      </c>
      <c r="E11" s="125">
        <f>+[1]Sheet2!E11/[1]Sheet2!$E$2</f>
        <v>3.2562558927005721E-2</v>
      </c>
      <c r="F11" s="125">
        <f>+[1]Sheet2!F11/[1]Sheet2!$F$2</f>
        <v>3.356099936174553E-2</v>
      </c>
      <c r="G11" s="125">
        <f>+[1]Sheet2!G11/[1]Sheet2!$G$2</f>
        <v>3.4148450833241646E-2</v>
      </c>
      <c r="H11" s="125">
        <f>+[1]Sheet2!H11/[1]Sheet2!$H$2</f>
        <v>2.707900418237771E-2</v>
      </c>
      <c r="I11" s="125">
        <f>+[1]Sheet2!I11/[1]Sheet2!$I$2</f>
        <v>2.3003993772195769E-2</v>
      </c>
      <c r="J11" s="125">
        <f>+[1]Sheet2!J11/[1]Sheet2!$J$2</f>
        <v>3.6928461292667705E-3</v>
      </c>
      <c r="K11" s="125">
        <f>+[1]Sheet2!K11/[1]Sheet2!$K$2</f>
        <v>2.2989233783377215E-2</v>
      </c>
      <c r="L11" s="125">
        <f>+[1]Sheet2!L11/[1]Sheet2!$L$2</f>
        <v>2.3249763805403036E-2</v>
      </c>
      <c r="M11" s="125">
        <f>+[1]Sheet2!M11/[1]Sheet2!$M$2</f>
        <v>2.8593801617501316E-2</v>
      </c>
    </row>
    <row r="12" spans="1:13" x14ac:dyDescent="0.35">
      <c r="A12" s="132" t="s">
        <v>27</v>
      </c>
      <c r="B12" s="133">
        <f>+[1]Sheet2!B12/[1]Sheet2!$B$2</f>
        <v>5.2748151945792091E-2</v>
      </c>
      <c r="C12" s="133">
        <f>+[1]Sheet2!C12/[1]Sheet2!$C$2</f>
        <v>5.2011321250873661E-2</v>
      </c>
      <c r="D12" s="133">
        <f>+[1]Sheet2!D12/[1]Sheet2!$D$2</f>
        <v>6.3145748079450392E-2</v>
      </c>
      <c r="E12" s="133">
        <f>+[1]Sheet2!E12/[1]Sheet2!$E$2</f>
        <v>0.10954828437576812</v>
      </c>
      <c r="F12" s="133">
        <f>+[1]Sheet2!F12/[1]Sheet2!$F$2</f>
        <v>9.8149720023424591E-2</v>
      </c>
      <c r="G12" s="133">
        <f>+[1]Sheet2!G12/[1]Sheet2!$G$2</f>
        <v>9.2318005849195153E-2</v>
      </c>
      <c r="H12" s="133">
        <f>+[1]Sheet2!H12/[1]Sheet2!$H$2</f>
        <v>7.0093975933293098E-2</v>
      </c>
      <c r="I12" s="133">
        <f>+[1]Sheet2!I12/[1]Sheet2!$I$2</f>
        <v>6.6836607288005778E-2</v>
      </c>
      <c r="J12" s="133">
        <f>+[1]Sheet2!J12/[1]Sheet2!$J$2</f>
        <v>0.11524382005845935</v>
      </c>
      <c r="K12" s="133">
        <f>+[1]Sheet2!K12/[1]Sheet2!$K$2</f>
        <v>9.7664656608217104E-2</v>
      </c>
      <c r="L12" s="133">
        <f>+[1]Sheet2!L12/[1]Sheet2!$L$2</f>
        <v>8.4537127052154507E-2</v>
      </c>
      <c r="M12" s="133">
        <f>+[1]Sheet2!M12/[1]Sheet2!$M$2</f>
        <v>8.789365557299389E-2</v>
      </c>
    </row>
    <row r="13" spans="1:13" x14ac:dyDescent="0.35">
      <c r="J13" s="124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E67F-5E52-4AD0-958B-BFEDC2097201}">
  <dimension ref="A1:O48"/>
  <sheetViews>
    <sheetView workbookViewId="0">
      <pane xSplit="1" topLeftCell="G1" activePane="topRight" state="frozen"/>
      <selection pane="topRight" activeCell="G23" sqref="G23"/>
    </sheetView>
  </sheetViews>
  <sheetFormatPr defaultRowHeight="14.5" x14ac:dyDescent="0.35"/>
  <cols>
    <col min="1" max="1" width="32.6328125" customWidth="1"/>
    <col min="2" max="4" width="12.453125" bestFit="1" customWidth="1"/>
    <col min="5" max="8" width="14.26953125" bestFit="1" customWidth="1"/>
    <col min="9" max="10" width="14.453125" bestFit="1" customWidth="1"/>
    <col min="11" max="11" width="19.08984375" customWidth="1"/>
    <col min="12" max="12" width="14.453125" bestFit="1" customWidth="1"/>
    <col min="13" max="13" width="16.08984375" customWidth="1"/>
    <col min="14" max="14" width="12.08984375" customWidth="1"/>
    <col min="15" max="15" width="8.7265625" customWidth="1"/>
    <col min="16" max="16" width="14.36328125" customWidth="1"/>
    <col min="17" max="17" width="13.54296875" customWidth="1"/>
  </cols>
  <sheetData>
    <row r="1" spans="1:15" x14ac:dyDescent="0.35">
      <c r="A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1" t="s">
        <v>305</v>
      </c>
      <c r="N1" s="61" t="s">
        <v>428</v>
      </c>
    </row>
    <row r="2" spans="1:15" ht="18.5" x14ac:dyDescent="0.45">
      <c r="A2" s="1" t="s">
        <v>37</v>
      </c>
      <c r="B2" s="2">
        <v>2936</v>
      </c>
      <c r="C2" s="2">
        <v>2940</v>
      </c>
      <c r="D2" s="2">
        <v>2943</v>
      </c>
      <c r="E2" s="2">
        <v>2948</v>
      </c>
      <c r="F2" s="2">
        <v>2959</v>
      </c>
      <c r="G2" s="2">
        <v>5922</v>
      </c>
      <c r="H2" s="2">
        <v>5926</v>
      </c>
      <c r="I2" s="2">
        <v>6339</v>
      </c>
      <c r="J2" s="2">
        <v>6445</v>
      </c>
      <c r="K2" s="2">
        <v>6765</v>
      </c>
      <c r="L2" s="2">
        <v>6766</v>
      </c>
      <c r="M2" s="81" t="str">
        <f>+'Table 8 (2)'!N3</f>
        <v>6,766</v>
      </c>
      <c r="N2" s="81" t="str">
        <f>+'Table 8 (2)'!N3</f>
        <v>6,766</v>
      </c>
      <c r="O2" t="s">
        <v>36</v>
      </c>
    </row>
    <row r="3" spans="1:15" ht="18.5" x14ac:dyDescent="0.45">
      <c r="A3" s="1" t="s">
        <v>20</v>
      </c>
      <c r="B3" s="2">
        <v>179119</v>
      </c>
      <c r="C3" s="2">
        <v>195747</v>
      </c>
      <c r="D3" s="2">
        <v>215556</v>
      </c>
      <c r="E3" s="2">
        <v>228608</v>
      </c>
      <c r="F3" s="2">
        <v>260750</v>
      </c>
      <c r="G3" s="2">
        <v>287584</v>
      </c>
      <c r="H3" s="2">
        <v>381186</v>
      </c>
      <c r="I3" s="2">
        <v>442827</v>
      </c>
      <c r="J3" s="2">
        <v>693727</v>
      </c>
      <c r="K3" s="2">
        <v>772720</v>
      </c>
      <c r="L3" s="2">
        <v>709106</v>
      </c>
      <c r="M3" s="74" t="str">
        <f>+'Table 8 (2)'!M4</f>
        <v>786,715</v>
      </c>
      <c r="N3" s="81" t="str">
        <f>+'Table 8 (2)'!N4</f>
        <v>812,687</v>
      </c>
      <c r="O3" t="s">
        <v>36</v>
      </c>
    </row>
    <row r="4" spans="1:15" ht="18.5" x14ac:dyDescent="0.45">
      <c r="A4" s="1" t="s">
        <v>51</v>
      </c>
      <c r="B4" s="2">
        <f t="shared" ref="B4:N4" si="0">+B3+B2</f>
        <v>182055</v>
      </c>
      <c r="C4" s="2">
        <f t="shared" si="0"/>
        <v>198687</v>
      </c>
      <c r="D4" s="2">
        <f t="shared" si="0"/>
        <v>218499</v>
      </c>
      <c r="E4" s="2">
        <f t="shared" si="0"/>
        <v>231556</v>
      </c>
      <c r="F4" s="2">
        <f t="shared" si="0"/>
        <v>263709</v>
      </c>
      <c r="G4" s="2">
        <f t="shared" si="0"/>
        <v>293506</v>
      </c>
      <c r="H4" s="2">
        <f t="shared" si="0"/>
        <v>387112</v>
      </c>
      <c r="I4" s="2">
        <f t="shared" si="0"/>
        <v>449166</v>
      </c>
      <c r="J4" s="2">
        <f t="shared" si="0"/>
        <v>700172</v>
      </c>
      <c r="K4" s="2">
        <f t="shared" si="0"/>
        <v>779485</v>
      </c>
      <c r="L4" s="2">
        <f t="shared" si="0"/>
        <v>715872</v>
      </c>
      <c r="M4" s="2">
        <f t="shared" si="0"/>
        <v>793481</v>
      </c>
      <c r="N4" s="2">
        <f t="shared" si="0"/>
        <v>819453</v>
      </c>
      <c r="O4" t="s">
        <v>36</v>
      </c>
    </row>
    <row r="5" spans="1:15" ht="18.5" x14ac:dyDescent="0.45">
      <c r="A5" s="1" t="s">
        <v>38</v>
      </c>
      <c r="B5" s="2">
        <v>107219</v>
      </c>
      <c r="C5" s="2">
        <v>138761</v>
      </c>
      <c r="D5" s="2">
        <v>168251</v>
      </c>
      <c r="E5" s="2">
        <v>194714</v>
      </c>
      <c r="F5" s="2">
        <v>217475</v>
      </c>
      <c r="G5" s="2">
        <v>239843</v>
      </c>
      <c r="H5" s="2">
        <v>307714</v>
      </c>
      <c r="I5" s="2">
        <v>355133</v>
      </c>
      <c r="J5" s="2">
        <v>278962</v>
      </c>
      <c r="K5" s="2">
        <v>319158</v>
      </c>
      <c r="L5" s="2">
        <v>451664</v>
      </c>
      <c r="M5" s="75" t="str">
        <f>+Table_8__2[[#This Row],[Column13]]</f>
        <v>458,991</v>
      </c>
      <c r="N5" s="74" t="str">
        <f>+Table_8__2[[#This Row],[Column14]]</f>
        <v>357,525</v>
      </c>
    </row>
    <row r="6" spans="1:15" ht="18.5" x14ac:dyDescent="0.45">
      <c r="A6" s="1" t="s">
        <v>42</v>
      </c>
      <c r="B6" s="2">
        <f t="shared" ref="B6:N6" si="1">+B5+B4</f>
        <v>289274</v>
      </c>
      <c r="C6" s="2">
        <f t="shared" si="1"/>
        <v>337448</v>
      </c>
      <c r="D6" s="2">
        <f t="shared" si="1"/>
        <v>386750</v>
      </c>
      <c r="E6" s="2">
        <f t="shared" si="1"/>
        <v>426270</v>
      </c>
      <c r="F6" s="2">
        <f t="shared" si="1"/>
        <v>481184</v>
      </c>
      <c r="G6" s="2">
        <f t="shared" si="1"/>
        <v>533349</v>
      </c>
      <c r="H6" s="2">
        <f t="shared" si="1"/>
        <v>694826</v>
      </c>
      <c r="I6" s="2">
        <f t="shared" si="1"/>
        <v>804299</v>
      </c>
      <c r="J6" s="2">
        <f t="shared" si="1"/>
        <v>979134</v>
      </c>
      <c r="K6" s="2">
        <f t="shared" si="1"/>
        <v>1098643</v>
      </c>
      <c r="L6" s="2">
        <f t="shared" si="1"/>
        <v>1167536</v>
      </c>
      <c r="M6" s="2">
        <f t="shared" si="1"/>
        <v>1252472</v>
      </c>
      <c r="N6" s="2">
        <f t="shared" si="1"/>
        <v>1176978</v>
      </c>
    </row>
    <row r="7" spans="1:15" ht="18.5" x14ac:dyDescent="0.45">
      <c r="A7" s="1" t="s">
        <v>43</v>
      </c>
      <c r="B7" s="2">
        <v>949</v>
      </c>
      <c r="C7" s="2">
        <v>959</v>
      </c>
      <c r="D7" s="2">
        <v>3038</v>
      </c>
      <c r="E7" s="2">
        <v>3356</v>
      </c>
      <c r="F7" s="2">
        <v>2917</v>
      </c>
      <c r="G7" s="2">
        <v>3539</v>
      </c>
      <c r="H7" s="2">
        <v>8280</v>
      </c>
      <c r="I7" s="2">
        <v>12181</v>
      </c>
      <c r="J7" s="2">
        <v>99260</v>
      </c>
      <c r="K7" s="2">
        <v>109499</v>
      </c>
      <c r="L7" s="2">
        <v>113009</v>
      </c>
      <c r="M7" s="74">
        <v>132307</v>
      </c>
      <c r="N7" s="2">
        <v>134871</v>
      </c>
    </row>
    <row r="8" spans="1:15" ht="18.5" x14ac:dyDescent="0.45">
      <c r="A8" s="1" t="s">
        <v>44</v>
      </c>
      <c r="B8" s="2">
        <v>49700</v>
      </c>
      <c r="C8" s="2">
        <v>60860</v>
      </c>
      <c r="D8" s="2">
        <v>59407</v>
      </c>
      <c r="E8" s="2">
        <v>60296</v>
      </c>
      <c r="F8" s="2">
        <v>76595</v>
      </c>
      <c r="G8" s="73">
        <v>106861</v>
      </c>
      <c r="H8" s="2">
        <v>108309</v>
      </c>
      <c r="I8" s="2">
        <v>96799</v>
      </c>
      <c r="J8" s="2">
        <v>108897</v>
      </c>
      <c r="K8" s="2">
        <v>159330</v>
      </c>
      <c r="L8" s="2">
        <v>147172</v>
      </c>
      <c r="M8" s="74">
        <v>178377</v>
      </c>
      <c r="N8" s="74">
        <v>175576</v>
      </c>
    </row>
    <row r="9" spans="1:15" ht="18.5" x14ac:dyDescent="0.45">
      <c r="A9" s="1" t="s">
        <v>45</v>
      </c>
      <c r="B9" s="2">
        <v>22434</v>
      </c>
      <c r="C9" s="2">
        <v>29576</v>
      </c>
      <c r="D9" s="2">
        <v>55291</v>
      </c>
      <c r="E9" s="2">
        <v>109075</v>
      </c>
      <c r="F9" s="2">
        <v>146106</v>
      </c>
      <c r="G9" s="2">
        <v>167524</v>
      </c>
      <c r="H9" s="2">
        <v>186215</v>
      </c>
      <c r="I9" s="2">
        <v>249736</v>
      </c>
      <c r="J9" s="2">
        <v>132774</v>
      </c>
      <c r="K9" s="2">
        <v>131150</v>
      </c>
      <c r="L9" s="2">
        <v>178165</v>
      </c>
      <c r="M9" s="2">
        <v>191892</v>
      </c>
      <c r="N9" s="2">
        <v>327698</v>
      </c>
    </row>
    <row r="10" spans="1:15" ht="18.5" x14ac:dyDescent="0.45">
      <c r="A10" s="58" t="s">
        <v>39</v>
      </c>
      <c r="B10" s="59">
        <f t="shared" ref="B10:N10" si="2">+B9+B8+B7</f>
        <v>73083</v>
      </c>
      <c r="C10" s="59">
        <f t="shared" si="2"/>
        <v>91395</v>
      </c>
      <c r="D10" s="59">
        <f t="shared" si="2"/>
        <v>117736</v>
      </c>
      <c r="E10" s="59">
        <f t="shared" si="2"/>
        <v>172727</v>
      </c>
      <c r="F10" s="59">
        <f t="shared" si="2"/>
        <v>225618</v>
      </c>
      <c r="G10" s="59">
        <f t="shared" si="2"/>
        <v>277924</v>
      </c>
      <c r="H10" s="59">
        <f t="shared" si="2"/>
        <v>302804</v>
      </c>
      <c r="I10" s="59">
        <f t="shared" si="2"/>
        <v>358716</v>
      </c>
      <c r="J10" s="59">
        <f t="shared" si="2"/>
        <v>340931</v>
      </c>
      <c r="K10" s="59">
        <f t="shared" si="2"/>
        <v>399979</v>
      </c>
      <c r="L10" s="59">
        <f t="shared" si="2"/>
        <v>438346</v>
      </c>
      <c r="M10" s="74">
        <f t="shared" si="2"/>
        <v>502576</v>
      </c>
      <c r="N10" s="74">
        <f t="shared" si="2"/>
        <v>638145</v>
      </c>
    </row>
    <row r="11" spans="1:15" s="6" customFormat="1" ht="18.5" x14ac:dyDescent="0.45">
      <c r="A11" s="4" t="s">
        <v>21</v>
      </c>
      <c r="B11" s="5">
        <f t="shared" ref="B11:N11" si="3">+B10+B6</f>
        <v>362357</v>
      </c>
      <c r="C11" s="5">
        <f t="shared" si="3"/>
        <v>428843</v>
      </c>
      <c r="D11" s="5">
        <f t="shared" si="3"/>
        <v>504486</v>
      </c>
      <c r="E11" s="5">
        <f t="shared" si="3"/>
        <v>598997</v>
      </c>
      <c r="F11" s="5">
        <f t="shared" si="3"/>
        <v>706802</v>
      </c>
      <c r="G11" s="5">
        <f t="shared" si="3"/>
        <v>811273</v>
      </c>
      <c r="H11" s="5">
        <f t="shared" si="3"/>
        <v>997630</v>
      </c>
      <c r="I11" s="5">
        <f t="shared" si="3"/>
        <v>1163015</v>
      </c>
      <c r="J11" s="5">
        <f t="shared" si="3"/>
        <v>1320065</v>
      </c>
      <c r="K11" s="5">
        <f t="shared" si="3"/>
        <v>1498622</v>
      </c>
      <c r="L11" s="5">
        <f t="shared" si="3"/>
        <v>1605882</v>
      </c>
      <c r="M11" s="5">
        <f t="shared" si="3"/>
        <v>1755048</v>
      </c>
      <c r="N11" s="5">
        <f t="shared" si="3"/>
        <v>1815123</v>
      </c>
    </row>
    <row r="12" spans="1:15" ht="18.5" x14ac:dyDescent="0.45">
      <c r="A12" s="1" t="s">
        <v>40</v>
      </c>
      <c r="B12" s="2">
        <v>133487</v>
      </c>
      <c r="C12" s="2">
        <v>141417</v>
      </c>
      <c r="D12" s="2">
        <v>156458</v>
      </c>
      <c r="E12" s="2">
        <v>184910</v>
      </c>
      <c r="F12" s="2">
        <v>198526</v>
      </c>
      <c r="G12" s="2">
        <v>403885</v>
      </c>
      <c r="H12" s="2">
        <v>398374</v>
      </c>
      <c r="I12" s="2">
        <v>532658</v>
      </c>
      <c r="J12" s="2">
        <v>541258</v>
      </c>
      <c r="K12" s="2">
        <v>627798</v>
      </c>
      <c r="L12" s="2">
        <v>724805</v>
      </c>
      <c r="M12" s="74" t="str">
        <f>+'Table 8 (2)'!M8</f>
        <v>779,985</v>
      </c>
      <c r="N12" s="2" t="str">
        <f>+'Table 8 (2)'!N8</f>
        <v>968,747</v>
      </c>
    </row>
    <row r="13" spans="1:15" ht="18.5" x14ac:dyDescent="0.45">
      <c r="A13" s="1" t="s">
        <v>22</v>
      </c>
      <c r="B13" s="2">
        <v>49952</v>
      </c>
      <c r="C13" s="2">
        <v>91494</v>
      </c>
      <c r="D13" s="2">
        <v>166462</v>
      </c>
      <c r="E13" s="2">
        <v>228697</v>
      </c>
      <c r="F13" s="2">
        <v>324837</v>
      </c>
      <c r="G13" s="2">
        <v>187022</v>
      </c>
      <c r="H13" s="2">
        <v>179463</v>
      </c>
      <c r="I13" s="2">
        <v>109106</v>
      </c>
      <c r="J13" s="2">
        <v>125953</v>
      </c>
      <c r="K13" s="2">
        <v>172506</v>
      </c>
      <c r="L13" s="2">
        <v>293752</v>
      </c>
      <c r="M13" s="74" t="str">
        <f>+'Table 8 (2)'!M9</f>
        <v>338,855</v>
      </c>
      <c r="N13" s="2" t="str">
        <f>+'Table 8 (2)'!N9</f>
        <v>198,873</v>
      </c>
    </row>
    <row r="14" spans="1:15" ht="18.5" x14ac:dyDescent="0.45">
      <c r="A14" s="1" t="s">
        <v>23</v>
      </c>
      <c r="B14" s="2">
        <v>42848</v>
      </c>
      <c r="C14" s="2">
        <v>60602</v>
      </c>
      <c r="D14" s="2">
        <v>76451</v>
      </c>
      <c r="E14" s="2">
        <v>84015</v>
      </c>
      <c r="F14" s="2">
        <v>82899</v>
      </c>
      <c r="G14" s="2">
        <v>82862</v>
      </c>
      <c r="H14" s="2">
        <v>235635</v>
      </c>
      <c r="I14" s="2">
        <v>276767</v>
      </c>
      <c r="J14" s="2">
        <v>364828</v>
      </c>
      <c r="K14" s="2">
        <v>394264</v>
      </c>
      <c r="L14" s="2">
        <v>235560</v>
      </c>
      <c r="M14" s="74" t="str">
        <f>+'Table 8 (2)'!M10</f>
        <v>225,672</v>
      </c>
      <c r="N14" s="74" t="str">
        <f>+'Table 8 (2)'!N10</f>
        <v>244,559</v>
      </c>
    </row>
    <row r="15" spans="1:15" ht="18.5" x14ac:dyDescent="0.45">
      <c r="A15" s="1" t="s">
        <v>46</v>
      </c>
      <c r="B15" s="2">
        <v>54601</v>
      </c>
      <c r="C15" s="2">
        <v>56720</v>
      </c>
      <c r="D15" s="2">
        <v>53248</v>
      </c>
      <c r="E15" s="2">
        <v>46486</v>
      </c>
      <c r="F15" s="2">
        <v>48951</v>
      </c>
      <c r="G15" s="73">
        <v>60837</v>
      </c>
      <c r="H15" s="2">
        <v>67561</v>
      </c>
      <c r="I15" s="2">
        <v>73903</v>
      </c>
      <c r="J15" s="2">
        <v>81672</v>
      </c>
      <c r="K15" s="2">
        <v>107778</v>
      </c>
      <c r="L15" s="2">
        <v>140008</v>
      </c>
      <c r="M15" s="74">
        <v>152770</v>
      </c>
      <c r="N15" s="74">
        <v>160950</v>
      </c>
    </row>
    <row r="16" spans="1:15" ht="18.5" x14ac:dyDescent="0.45">
      <c r="A16" s="1" t="s">
        <v>47</v>
      </c>
      <c r="B16" s="2">
        <v>9750</v>
      </c>
      <c r="C16" s="2">
        <v>9411</v>
      </c>
      <c r="D16" s="2">
        <v>5315</v>
      </c>
      <c r="E16" s="2">
        <v>4465</v>
      </c>
      <c r="F16" s="2">
        <v>8177</v>
      </c>
      <c r="G16" s="73">
        <v>17555</v>
      </c>
      <c r="H16" s="2">
        <v>30089</v>
      </c>
      <c r="I16" s="2">
        <v>19656</v>
      </c>
      <c r="J16" s="2">
        <v>19014</v>
      </c>
      <c r="K16" s="2">
        <v>23640</v>
      </c>
      <c r="L16" s="2">
        <v>28448</v>
      </c>
      <c r="M16" s="2">
        <v>31628</v>
      </c>
      <c r="N16" s="2">
        <v>30121</v>
      </c>
    </row>
    <row r="17" spans="1:14" ht="18.5" x14ac:dyDescent="0.45">
      <c r="A17" s="1" t="s">
        <v>48</v>
      </c>
      <c r="B17" s="2">
        <v>50456</v>
      </c>
      <c r="C17" s="2">
        <v>37984</v>
      </c>
      <c r="D17" s="2">
        <v>12545</v>
      </c>
      <c r="E17" s="2">
        <v>11028</v>
      </c>
      <c r="F17" s="2">
        <v>3023</v>
      </c>
      <c r="G17" s="73">
        <v>4255</v>
      </c>
      <c r="H17" s="2">
        <v>11081</v>
      </c>
      <c r="I17" s="2">
        <v>30920</v>
      </c>
      <c r="J17" s="2">
        <v>17397</v>
      </c>
      <c r="K17" s="2">
        <v>36178</v>
      </c>
      <c r="L17" s="2">
        <v>68664</v>
      </c>
      <c r="M17" s="74">
        <v>97225</v>
      </c>
      <c r="N17" s="2">
        <v>90353</v>
      </c>
    </row>
    <row r="18" spans="1:14" ht="18.5" x14ac:dyDescent="0.45">
      <c r="A18" s="1" t="s">
        <v>49</v>
      </c>
      <c r="B18" s="2">
        <v>84</v>
      </c>
      <c r="C18" s="2">
        <v>0</v>
      </c>
      <c r="D18" s="2">
        <v>0</v>
      </c>
      <c r="E18" s="2">
        <v>841</v>
      </c>
      <c r="F18" s="2">
        <v>996</v>
      </c>
      <c r="G18" s="2">
        <v>2327</v>
      </c>
      <c r="H18" s="2">
        <v>545</v>
      </c>
      <c r="I18" s="2">
        <v>669</v>
      </c>
      <c r="J18" s="2">
        <v>65</v>
      </c>
      <c r="K18" s="2">
        <v>130</v>
      </c>
      <c r="L18" s="2">
        <v>176</v>
      </c>
      <c r="M18" s="2">
        <v>2517</v>
      </c>
      <c r="N18" s="2">
        <v>8085</v>
      </c>
    </row>
    <row r="19" spans="1:14" ht="18.5" x14ac:dyDescent="0.45">
      <c r="A19" s="1" t="s">
        <v>50</v>
      </c>
      <c r="B19" s="2">
        <v>21179</v>
      </c>
      <c r="C19" s="2">
        <v>31215</v>
      </c>
      <c r="D19" s="2">
        <v>34007</v>
      </c>
      <c r="E19" s="2">
        <v>38555</v>
      </c>
      <c r="F19" s="2">
        <v>39393</v>
      </c>
      <c r="G19" s="2">
        <v>52530</v>
      </c>
      <c r="H19" s="2">
        <v>74882</v>
      </c>
      <c r="I19" s="2">
        <v>119336</v>
      </c>
      <c r="J19" s="2">
        <v>169878</v>
      </c>
      <c r="K19" s="2">
        <v>136328</v>
      </c>
      <c r="L19" s="2">
        <v>114469</v>
      </c>
      <c r="M19" s="74">
        <v>126396</v>
      </c>
      <c r="N19" s="2">
        <v>113435</v>
      </c>
    </row>
    <row r="20" spans="1:14" ht="18.5" x14ac:dyDescent="0.45">
      <c r="A20" s="62" t="s">
        <v>52</v>
      </c>
      <c r="B20" s="63">
        <f t="shared" ref="B20:N20" si="4">+B15+B16+B17+B18+B19</f>
        <v>136070</v>
      </c>
      <c r="C20" s="63">
        <f t="shared" si="4"/>
        <v>135330</v>
      </c>
      <c r="D20" s="63">
        <f t="shared" si="4"/>
        <v>105115</v>
      </c>
      <c r="E20" s="63">
        <f t="shared" si="4"/>
        <v>101375</v>
      </c>
      <c r="F20" s="63">
        <f t="shared" si="4"/>
        <v>100540</v>
      </c>
      <c r="G20" s="63">
        <f t="shared" si="4"/>
        <v>137504</v>
      </c>
      <c r="H20" s="63">
        <f t="shared" si="4"/>
        <v>184158</v>
      </c>
      <c r="I20" s="63">
        <f t="shared" si="4"/>
        <v>244484</v>
      </c>
      <c r="J20" s="63">
        <f t="shared" si="4"/>
        <v>288026</v>
      </c>
      <c r="K20" s="63">
        <f t="shared" si="4"/>
        <v>304054</v>
      </c>
      <c r="L20" s="63">
        <f t="shared" si="4"/>
        <v>351765</v>
      </c>
      <c r="M20" s="63">
        <f t="shared" si="4"/>
        <v>410536</v>
      </c>
      <c r="N20" s="63">
        <f t="shared" si="4"/>
        <v>402944</v>
      </c>
    </row>
    <row r="21" spans="1:14" ht="18.5" x14ac:dyDescent="0.45">
      <c r="A21" s="4" t="s">
        <v>24</v>
      </c>
      <c r="B21" s="5">
        <f t="shared" ref="B21:N21" si="5">+B20+B14+B13+B12</f>
        <v>362357</v>
      </c>
      <c r="C21" s="5">
        <f t="shared" si="5"/>
        <v>428843</v>
      </c>
      <c r="D21" s="5">
        <f t="shared" si="5"/>
        <v>504486</v>
      </c>
      <c r="E21" s="5">
        <f t="shared" si="5"/>
        <v>598997</v>
      </c>
      <c r="F21" s="5">
        <f t="shared" si="5"/>
        <v>706802</v>
      </c>
      <c r="G21" s="5">
        <f t="shared" si="5"/>
        <v>811273</v>
      </c>
      <c r="H21" s="5">
        <f t="shared" si="5"/>
        <v>997630</v>
      </c>
      <c r="I21" s="5">
        <f t="shared" si="5"/>
        <v>1163015</v>
      </c>
      <c r="J21" s="5">
        <f t="shared" si="5"/>
        <v>1320065</v>
      </c>
      <c r="K21" s="5">
        <f t="shared" si="5"/>
        <v>1498622</v>
      </c>
      <c r="L21" s="5">
        <f t="shared" si="5"/>
        <v>1605882</v>
      </c>
      <c r="M21" s="5">
        <f t="shared" si="5"/>
        <v>1755048</v>
      </c>
      <c r="N21" s="5">
        <f t="shared" si="5"/>
        <v>1815123</v>
      </c>
    </row>
    <row r="22" spans="1:14" ht="18.5" x14ac:dyDescent="0.4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 t="s">
        <v>533</v>
      </c>
      <c r="N22" s="2"/>
    </row>
    <row r="23" spans="1:14" x14ac:dyDescent="0.35">
      <c r="C23" s="46">
        <f>+C16+C15</f>
        <v>66131</v>
      </c>
      <c r="D23" s="46">
        <f>+D16+D15</f>
        <v>58563</v>
      </c>
      <c r="E23" s="46">
        <f t="shared" ref="E23:N23" si="6">+E16+E15</f>
        <v>50951</v>
      </c>
      <c r="F23" s="46">
        <f t="shared" si="6"/>
        <v>57128</v>
      </c>
      <c r="G23" s="46">
        <f t="shared" si="6"/>
        <v>78392</v>
      </c>
      <c r="H23" s="46">
        <f t="shared" si="6"/>
        <v>97650</v>
      </c>
      <c r="I23" s="46">
        <f t="shared" si="6"/>
        <v>93559</v>
      </c>
      <c r="J23" s="46">
        <f t="shared" si="6"/>
        <v>100686</v>
      </c>
      <c r="K23" s="46">
        <f t="shared" si="6"/>
        <v>131418</v>
      </c>
      <c r="L23" s="46">
        <f t="shared" si="6"/>
        <v>168456</v>
      </c>
      <c r="M23" s="46">
        <f t="shared" si="6"/>
        <v>184398</v>
      </c>
      <c r="N23" s="46">
        <f t="shared" si="6"/>
        <v>191071</v>
      </c>
    </row>
    <row r="24" spans="1:14" x14ac:dyDescent="0.35">
      <c r="A24" t="s">
        <v>36</v>
      </c>
      <c r="C24" s="46">
        <f>+C8</f>
        <v>60860</v>
      </c>
      <c r="D24" s="46">
        <f>+D8</f>
        <v>59407</v>
      </c>
      <c r="E24" s="46">
        <f t="shared" ref="E24:N24" si="7">+E8</f>
        <v>60296</v>
      </c>
      <c r="F24" s="46">
        <f t="shared" si="7"/>
        <v>76595</v>
      </c>
      <c r="G24" s="46">
        <f t="shared" si="7"/>
        <v>106861</v>
      </c>
      <c r="H24" s="46">
        <f t="shared" si="7"/>
        <v>108309</v>
      </c>
      <c r="I24" s="46">
        <f t="shared" si="7"/>
        <v>96799</v>
      </c>
      <c r="J24" s="46">
        <f t="shared" si="7"/>
        <v>108897</v>
      </c>
      <c r="K24" s="46">
        <f t="shared" si="7"/>
        <v>159330</v>
      </c>
      <c r="L24" s="46">
        <f t="shared" si="7"/>
        <v>147172</v>
      </c>
      <c r="M24" s="46">
        <f t="shared" si="7"/>
        <v>178377</v>
      </c>
      <c r="N24" s="46">
        <f t="shared" si="7"/>
        <v>175576</v>
      </c>
    </row>
    <row r="25" spans="1:14" x14ac:dyDescent="0.35">
      <c r="C25" s="47">
        <f>+C23/C24</f>
        <v>1.0866086099244168</v>
      </c>
      <c r="D25" s="47">
        <f>+D23/D24</f>
        <v>0.98579292002625951</v>
      </c>
      <c r="E25" s="47">
        <f t="shared" ref="E25:N25" si="8">+E23/E24</f>
        <v>0.8450145946663129</v>
      </c>
      <c r="F25" s="47">
        <f t="shared" si="8"/>
        <v>0.74584502904889349</v>
      </c>
      <c r="G25" s="47">
        <f t="shared" si="8"/>
        <v>0.73358849346347121</v>
      </c>
      <c r="H25" s="47">
        <f t="shared" si="8"/>
        <v>0.90158712572362409</v>
      </c>
      <c r="I25" s="47">
        <f t="shared" si="8"/>
        <v>0.96652857984070084</v>
      </c>
      <c r="J25" s="47">
        <f t="shared" si="8"/>
        <v>0.92459847378715665</v>
      </c>
      <c r="K25" s="47">
        <f t="shared" si="8"/>
        <v>0.8248164187535304</v>
      </c>
      <c r="L25" s="47">
        <f t="shared" si="8"/>
        <v>1.1446199005245563</v>
      </c>
      <c r="M25" s="47">
        <f t="shared" si="8"/>
        <v>1.0337543517381724</v>
      </c>
      <c r="N25" s="47">
        <f t="shared" si="8"/>
        <v>1.0882523807354081</v>
      </c>
    </row>
    <row r="26" spans="1:14" x14ac:dyDescent="0.35">
      <c r="L26" s="47"/>
    </row>
    <row r="27" spans="1:14" x14ac:dyDescent="0.35">
      <c r="K27" t="s">
        <v>140</v>
      </c>
    </row>
    <row r="28" spans="1:14" x14ac:dyDescent="0.35">
      <c r="K28" s="6" t="s">
        <v>138</v>
      </c>
    </row>
    <row r="29" spans="1:14" x14ac:dyDescent="0.35">
      <c r="K29" t="s">
        <v>46</v>
      </c>
      <c r="L29" s="44">
        <v>140008</v>
      </c>
      <c r="M29" s="46" t="s">
        <v>36</v>
      </c>
    </row>
    <row r="30" spans="1:14" x14ac:dyDescent="0.35">
      <c r="K30" t="s">
        <v>125</v>
      </c>
      <c r="L30" s="44">
        <v>118473</v>
      </c>
      <c r="M30" s="46" t="s">
        <v>36</v>
      </c>
    </row>
    <row r="31" spans="1:14" x14ac:dyDescent="0.35">
      <c r="K31" t="s">
        <v>126</v>
      </c>
      <c r="L31" s="44">
        <v>28448</v>
      </c>
      <c r="M31" s="46" t="s">
        <v>36</v>
      </c>
    </row>
    <row r="32" spans="1:14" x14ac:dyDescent="0.35">
      <c r="K32" t="s">
        <v>127</v>
      </c>
      <c r="L32" s="44">
        <v>68664</v>
      </c>
      <c r="M32" s="46" t="s">
        <v>36</v>
      </c>
    </row>
    <row r="33" spans="11:13" x14ac:dyDescent="0.35">
      <c r="K33" t="s">
        <v>129</v>
      </c>
      <c r="L33" s="44">
        <v>19696</v>
      </c>
      <c r="M33" s="46" t="s">
        <v>36</v>
      </c>
    </row>
    <row r="34" spans="11:13" x14ac:dyDescent="0.35">
      <c r="K34" t="s">
        <v>128</v>
      </c>
      <c r="L34" s="44">
        <v>176</v>
      </c>
      <c r="M34" s="46" t="s">
        <v>36</v>
      </c>
    </row>
    <row r="35" spans="11:13" x14ac:dyDescent="0.35">
      <c r="K35" t="s">
        <v>130</v>
      </c>
      <c r="L35" s="44">
        <v>49831</v>
      </c>
      <c r="M35" s="46" t="s">
        <v>36</v>
      </c>
    </row>
    <row r="36" spans="11:13" x14ac:dyDescent="0.35">
      <c r="L36" s="46">
        <f>SUM(L29:L35)</f>
        <v>425296</v>
      </c>
      <c r="M36" s="46" t="s">
        <v>36</v>
      </c>
    </row>
    <row r="38" spans="11:13" x14ac:dyDescent="0.35">
      <c r="K38" s="6" t="s">
        <v>139</v>
      </c>
    </row>
    <row r="39" spans="11:13" x14ac:dyDescent="0.35">
      <c r="K39" t="s">
        <v>131</v>
      </c>
      <c r="L39" t="s">
        <v>36</v>
      </c>
    </row>
    <row r="40" spans="11:13" x14ac:dyDescent="0.35">
      <c r="K40" t="s">
        <v>132</v>
      </c>
      <c r="L40" s="44">
        <v>130790</v>
      </c>
    </row>
    <row r="41" spans="11:13" x14ac:dyDescent="0.35">
      <c r="K41" t="s">
        <v>133</v>
      </c>
      <c r="L41" s="44">
        <v>4196</v>
      </c>
    </row>
    <row r="42" spans="11:13" x14ac:dyDescent="0.35">
      <c r="K42" t="s">
        <v>134</v>
      </c>
      <c r="L42" s="44">
        <v>147172</v>
      </c>
      <c r="M42" s="46" t="s">
        <v>36</v>
      </c>
    </row>
    <row r="43" spans="11:13" x14ac:dyDescent="0.35">
      <c r="K43" t="s">
        <v>135</v>
      </c>
      <c r="L43" s="44">
        <v>68501</v>
      </c>
    </row>
    <row r="44" spans="11:13" x14ac:dyDescent="0.35">
      <c r="K44" t="s">
        <v>136</v>
      </c>
      <c r="L44" s="44">
        <v>42906</v>
      </c>
    </row>
    <row r="45" spans="11:13" x14ac:dyDescent="0.35">
      <c r="K45" t="s">
        <v>137</v>
      </c>
      <c r="L45" s="44">
        <v>2178</v>
      </c>
    </row>
    <row r="46" spans="11:13" x14ac:dyDescent="0.35">
      <c r="L46" s="46">
        <f>SUM(L40:L45)</f>
        <v>395743</v>
      </c>
    </row>
    <row r="48" spans="11:13" x14ac:dyDescent="0.35">
      <c r="L48" s="47">
        <f>+L36/L46</f>
        <v>1.0746772526614494</v>
      </c>
    </row>
  </sheetData>
  <phoneticPr fontId="9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I A A B Q S w M E F A A C A A g A + U 1 I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5 T U h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+ U 1 I W h K 8 1 W I P B Q A A 8 l Q A A B M A H A B G b 3 J t d W x h c y 9 T Z W N 0 a W 9 u M S 5 t I K I Y A C i g F A A A A A A A A A A A A A A A A A A A A A A A A A A A A O 2 b X W / i O B S G 7 5 H 6 H 6 x U u w M r C J h v Z t W V O p T V d D V l W E C z W l W 9 c I N b o g 0 J 4 5 g y I 9 T / v g 6 w C w G 7 H m g D p 5 W 5 a C u f J O d x 8 u L z m h 5 C 6 n A 3 8 F F v 8 R v / m k q F Q 8 L o A J 1 a f X L r U Y Q t d I Y 8 y k 9 S S L x 6 w Y Q 5 V I z 8 R W / t D r m n 6 e i P Z u B z 6 v M w b Q 0 5 H 4 f v 8 / n p d G q H D q P U p 8 x 2 / b w T j M b E / 5 7 v t j 5 d n r e b L T H g h 4 H n D g i n g / z p m A V 3 L s 9 5 Q R h a 6 G f 0 E p f J Z L I L 5 A v C C R b E C / Q Z f r y O R m 6 W 0 V O r O S T + v Z h w / / u Y R n O d T 9 v u M + K H d w E b N Q N v M v K j Y J i e X y o 7 m 1 l W F n E x g j j 9 x h + z a G Z d E Y a K B V z 8 L + B P R r e U r Y d K 6 l B Z H a q o Q 1 V 1 q K Y O 1 d W h h j J U L K h D W B 1 S 3 4 2 i 7 G 7 0 + 1 c b o 4 + Z k 5 T r S x / U t l C r h x D q L f G I 7 9 B c O K S U x z V W X W m s + k y N V X U a u / R 5 t W x H J 2 x K T B 4 p K y M V Z a S q j N S U k b o y 0 l B F 5 t q S R 7 A y o r w H x Y 1 7 s J O C M E o X M 2 a 5 M 8 v d a 1 j u 6 o c Q K i P C F W y I q 7 4 S V / 2 Z 4 q o b c S U g r p 1 k 1 D i E j O Y 5 h 4 E 3 c P 3 7 u J g a K z E 1 n i m m h l R M P T p W 3 f Q L 6 u z x P P 6 Y + K r Q M p c s t M y 1 4 w N e 5 p K F l r l k o W W u H Z e j Z a 5 n i U k U 0 N L B C 6 i p f G 9 2 c R J 6 K h s 9 G T 3 t q a e T 1 M m m o o p q N X 1 g w T S k 7 G W 1 9 L 9 Y W t 8 4 I w 6 P 2 O Y g v 7 N g h D 7 y k R c B R b / t + X h 6 g S Q m P L M W A o p u k 9 V r N f u X n 9 v X 7 u D s 3 d c J Y Z y y 8 N 0 N + g 1 d X H 6 x G Q 3 H g s B 9 o L m o x g r I O 9 f z c g 5 h g 9 z U H f D h e 5 8 P c 8 7 Q 9 Q Z i e R Y n 9 c 8 / f G r Z A p f k + F y z a 1 e I h J n z g y k j Y 3 H k L 9 H R X f F j 7 R I 4 Y 8 0 f y A K v C A 2 v G M M r Q c M r x f D K 0 P D K M b w K N L x K D K 8 K D a 8 a w 6 t B w 6 v F 8 O r Q 8 O o x v A Y 0 v E Y M D x e g 8 e F C H B B e 4 Y h X D g y u d O B 4 7 c D g i g e O V w 8 M r n z g q H 4 I w u t u M O 1 R j z o 8 Y G d H J r R u M v t Y 9 q c s W z b m z u K G f m W L Z O M l x X h Z M V 5 R j F c V 4 z X F e F 0 x 3 l C M 4 4 I q o J o x V k 0 Z q + a M 4 5 P e 1 c k / / W H 9 a 3 H z a 9 c H a u g B E G o 8 P Q B C j a 0 H Q K h x 9 g A I N e Y e A K H G 3 w M g 1 F h 8 A I Q a l w + A U G f 0 A S B q v T 4 E R p 3 d h 8 C o c / w Q G H W m H w K j 1 v c f B d J Y / z d p / e u H s f 4 b v V 4 J m P 9 Y h r 3 e F s X E 7 T 8 I R s 0 G A A S j Z g s A g l G z C Q D B q N k G g G D U b A R A M G q 2 A i A Y N Z s B E I y 6 7 Q A I S O 2 G A A a l b k s A g 1 K 3 K Y B B q d s W w K D U b g y O h G m 2 B m 9 y a 4 B R 5 B 9 e 5 X 8 F t h S 8 J l s 7 5 M w d 0 4 E 9 I u y f 3 I M b u i K L 7 Q c 5 w R y I 9 w V z 7 4 f 8 x / 1 9 U q k k N j 2 p V B K 3 n V Q q i W l O K p X E + y a V S m J h k 0 o l c a J J p Z I Y y q R S y X x h Y u 9 h m b 1 L L B m W 1 e y X y 7 Z e e j t i i Q y i F f M j J a L K h 6 v y u 4 w s x 5 8 u v O h 6 e f S 5 5 / U c Y S h Y e M b Z h O 5 b 4 7 e o o t L e s 9 u B b W 1 9 7 6 x N R n S 7 l F 1 1 T t P e X Q Z t v b q h L W l u 7 e R b i p b X J h m r r 9 R k s o t d u A / o b 2 + g O O 0 n y R n t D v q T s 1 3 z i F N Q Z 1 4 I 0 R e i O l u W r k c 8 G u 6 b c X H y b g m 7 n 5 u t H z x 8 9 y 6 E p 7 7 x A N l v g O o b M j 3 F p q c Y Z t v B s f F M T 7 H p K Y b b Z 3 B 0 Q N N T b H q K T U + x + f T w R T 4 9 L L 1 + J w + h G c j 0 E y d t 6 Q E Q m n 5 i 0 0 8 M g d D 0 E 5 t + Y j i M p p / Y 9 B M b 2 w / Z 9 v 8 L U E s B A i 0 A F A A C A A g A + U 1 I W s i A H 7 C m A A A A 9 w A A A B I A A A A A A A A A A A A A A A A A A A A A A E N v b m Z p Z y 9 Q Y W N r Y W d l L n h t b F B L A Q I t A B Q A A g A I A P l N S F p T c j g s m w A A A O E A A A A T A A A A A A A A A A A A A A A A A P I A A A B b Q 2 9 u d G V u d F 9 U e X B l c 1 0 u e G 1 s U E s B A i 0 A F A A C A A g A + U 1 I W h K 8 1 W I P B Q A A 8 l Q A A B M A A A A A A A A A A A A A A A A A 2 g E A A E Z v c m 1 1 b G F z L 1 N l Y 3 R p b 2 4 x L m 1 Q S w U G A A A A A A M A A w D C A A A A N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c I A A A A A A A D D w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T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N U M D E 6 N D k 6 M D Q u O T Q 0 N D g y N V o i I C 8 + P E V u d H J 5 I F R 5 c G U 9 I k Z p b G x D b 2 x 1 b W 5 U e X B l c y I g V m F s d W U 9 I n N C Z 1 V G Q l F V R k J R V U Z C U V V G Q l F V P S I g L z 4 8 R W 5 0 c n k g V H l w Z T 0 i R m l s b E N v b H V t b k 5 h b W V z I i B W Y W x 1 Z T 0 i c 1 s m c X V v d D t D b 2 x 1 b W 4 x J n F 1 b 3 Q 7 L C Z x d W 9 0 O 0 1 h c i A y M D E y J n F 1 b 3 Q 7 L C Z x d W 9 0 O 0 1 h c i A y M D E z J n F 1 b 3 Q 7 L C Z x d W 9 0 O 0 1 h c i A y M D E 0 J n F 1 b 3 Q 7 L C Z x d W 9 0 O 0 1 h c i A y M D E 1 J n F 1 b 3 Q 7 L C Z x d W 9 0 O 0 1 h c i A y M D E 2 J n F 1 b 3 Q 7 L C Z x d W 9 0 O 0 1 h c i A y M D E 3 J n F 1 b 3 Q 7 L C Z x d W 9 0 O 0 1 h c i A y M D E 4 J n F 1 b 3 Q 7 L C Z x d W 9 0 O 0 1 h c i A y M D E 5 J n F 1 b 3 Q 7 L C Z x d W 9 0 O 0 1 h c i A y M D I w J n F 1 b 3 Q 7 L C Z x d W 9 0 O 0 1 h c i A y M D I x J n F 1 b 3 Q 7 L C Z x d W 9 0 O 0 1 h c i A y M D I y J n F 1 b 3 Q 7 L C Z x d W 9 0 O 0 1 h c i A y M D I z J n F 1 b 3 Q 7 L C Z x d W 9 0 O 1 R U T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T A 1 M m V h O S 0 y N z N k L T Q z Y T k t O D Y y Z C 0 y O T d j Y T M w M 2 U 4 Z D k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0 N v b H V t b j E s M H 0 m c X V v d D s s J n F 1 b 3 Q 7 U 2 V j d G l v b j E v V G F i b G U g M S 9 B d X R v U m V t b 3 Z l Z E N v b H V t b n M x L n t N Y X I g M j A x M i w x f S Z x d W 9 0 O y w m c X V v d D t T Z W N 0 a W 9 u M S 9 U Y W J s Z S A x L 0 F 1 d G 9 S Z W 1 v d m V k Q 2 9 s d W 1 u c z E u e 0 1 h c i A y M D E z L D J 9 J n F 1 b 3 Q 7 L C Z x d W 9 0 O 1 N l Y 3 R p b 2 4 x L 1 R h Y m x l I D E v Q X V 0 b 1 J l b W 9 2 Z W R D b 2 x 1 b W 5 z M S 5 7 T W F y I D I w M T Q s M 3 0 m c X V v d D s s J n F 1 b 3 Q 7 U 2 V j d G l v b j E v V G F i b G U g M S 9 B d X R v U m V t b 3 Z l Z E N v b H V t b n M x L n t N Y X I g M j A x N S w 0 f S Z x d W 9 0 O y w m c X V v d D t T Z W N 0 a W 9 u M S 9 U Y W J s Z S A x L 0 F 1 d G 9 S Z W 1 v d m V k Q 2 9 s d W 1 u c z E u e 0 1 h c i A y M D E 2 L D V 9 J n F 1 b 3 Q 7 L C Z x d W 9 0 O 1 N l Y 3 R p b 2 4 x L 1 R h Y m x l I D E v Q X V 0 b 1 J l b W 9 2 Z W R D b 2 x 1 b W 5 z M S 5 7 T W F y I D I w M T c s N n 0 m c X V v d D s s J n F 1 b 3 Q 7 U 2 V j d G l v b j E v V G F i b G U g M S 9 B d X R v U m V t b 3 Z l Z E N v b H V t b n M x L n t N Y X I g M j A x O C w 3 f S Z x d W 9 0 O y w m c X V v d D t T Z W N 0 a W 9 u M S 9 U Y W J s Z S A x L 0 F 1 d G 9 S Z W 1 v d m V k Q 2 9 s d W 1 u c z E u e 0 1 h c i A y M D E 5 L D h 9 J n F 1 b 3 Q 7 L C Z x d W 9 0 O 1 N l Y 3 R p b 2 4 x L 1 R h Y m x l I D E v Q X V 0 b 1 J l b W 9 2 Z W R D b 2 x 1 b W 5 z M S 5 7 T W F y I D I w M j A s O X 0 m c X V v d D s s J n F 1 b 3 Q 7 U 2 V j d G l v b j E v V G F i b G U g M S 9 B d X R v U m V t b 3 Z l Z E N v b H V t b n M x L n t N Y X I g M j A y M S w x M H 0 m c X V v d D s s J n F 1 b 3 Q 7 U 2 V j d G l v b j E v V G F i b G U g M S 9 B d X R v U m V t b 3 Z l Z E N v b H V t b n M x L n t N Y X I g M j A y M i w x M X 0 m c X V v d D s s J n F 1 b 3 Q 7 U 2 V j d G l v b j E v V G F i b G U g M S 9 B d X R v U m V t b 3 Z l Z E N v b H V t b n M x L n t N Y X I g M j A y M y w x M n 0 m c X V v d D s s J n F 1 b 3 Q 7 U 2 V j d G l v b j E v V G F i b G U g M S 9 B d X R v U m V t b 3 Z l Z E N v b H V t b n M x L n t U V E 0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x L 0 F 1 d G 9 S Z W 1 v d m V k Q 2 9 s d W 1 u c z E u e 0 N v b H V t b j E s M H 0 m c X V v d D s s J n F 1 b 3 Q 7 U 2 V j d G l v b j E v V G F i b G U g M S 9 B d X R v U m V t b 3 Z l Z E N v b H V t b n M x L n t N Y X I g M j A x M i w x f S Z x d W 9 0 O y w m c X V v d D t T Z W N 0 a W 9 u M S 9 U Y W J s Z S A x L 0 F 1 d G 9 S Z W 1 v d m V k Q 2 9 s d W 1 u c z E u e 0 1 h c i A y M D E z L D J 9 J n F 1 b 3 Q 7 L C Z x d W 9 0 O 1 N l Y 3 R p b 2 4 x L 1 R h Y m x l I D E v Q X V 0 b 1 J l b W 9 2 Z W R D b 2 x 1 b W 5 z M S 5 7 T W F y I D I w M T Q s M 3 0 m c X V v d D s s J n F 1 b 3 Q 7 U 2 V j d G l v b j E v V G F i b G U g M S 9 B d X R v U m V t b 3 Z l Z E N v b H V t b n M x L n t N Y X I g M j A x N S w 0 f S Z x d W 9 0 O y w m c X V v d D t T Z W N 0 a W 9 u M S 9 U Y W J s Z S A x L 0 F 1 d G 9 S Z W 1 v d m V k Q 2 9 s d W 1 u c z E u e 0 1 h c i A y M D E 2 L D V 9 J n F 1 b 3 Q 7 L C Z x d W 9 0 O 1 N l Y 3 R p b 2 4 x L 1 R h Y m x l I D E v Q X V 0 b 1 J l b W 9 2 Z W R D b 2 x 1 b W 5 z M S 5 7 T W F y I D I w M T c s N n 0 m c X V v d D s s J n F 1 b 3 Q 7 U 2 V j d G l v b j E v V G F i b G U g M S 9 B d X R v U m V t b 3 Z l Z E N v b H V t b n M x L n t N Y X I g M j A x O C w 3 f S Z x d W 9 0 O y w m c X V v d D t T Z W N 0 a W 9 u M S 9 U Y W J s Z S A x L 0 F 1 d G 9 S Z W 1 v d m V k Q 2 9 s d W 1 u c z E u e 0 1 h c i A y M D E 5 L D h 9 J n F 1 b 3 Q 7 L C Z x d W 9 0 O 1 N l Y 3 R p b 2 4 x L 1 R h Y m x l I D E v Q X V 0 b 1 J l b W 9 2 Z W R D b 2 x 1 b W 5 z M S 5 7 T W F y I D I w M j A s O X 0 m c X V v d D s s J n F 1 b 3 Q 7 U 2 V j d G l v b j E v V G F i b G U g M S 9 B d X R v U m V t b 3 Z l Z E N v b H V t b n M x L n t N Y X I g M j A y M S w x M H 0 m c X V v d D s s J n F 1 b 3 Q 7 U 2 V j d G l v b j E v V G F i b G U g M S 9 B d X R v U m V t b 3 Z l Z E N v b H V t b n M x L n t N Y X I g M j A y M i w x M X 0 m c X V v d D s s J n F 1 b 3 Q 7 U 2 V j d G l v b j E v V G F i b G U g M S 9 B d X R v U m V t b 3 Z l Z E N v b H V t b n M x L n t N Y X I g M j A y M y w x M n 0 m c X V v d D s s J n F 1 b 3 Q 7 U 2 V j d G l v b j E v V G F i b G U g M S 9 B d X R v U m V t b 3 Z l Z E N v b H V t b n M x L n t U V E 0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J T I w N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A x O j U w O j M x L j k y M D c 2 O D Z a I i A v P j x F b n R y e S B U e X B l P S J G a W x s Q 2 9 s d W 1 u V H l w Z X M i I F Z h b H V l P S J z Q m d N R E F 3 T U R B d 0 1 E Q X d N R E F 3 P T 0 i I C 8 + P E V u d H J 5 I F R 5 c G U 9 I k Z p b G x D b 2 x 1 b W 5 O Y W 1 l c y I g V m F s d W U 9 I n N b J n F 1 b 3 Q 7 Q 2 9 s d W 1 u M S Z x d W 9 0 O y w m c X V v d D t N Y X I g M j A x M i Z x d W 9 0 O y w m c X V v d D t N Y X I g M j A x M y Z x d W 9 0 O y w m c X V v d D t N Y X I g M j A x N C Z x d W 9 0 O y w m c X V v d D t N Y X I g M j A x N S Z x d W 9 0 O y w m c X V v d D t N Y X I g M j A x N i Z x d W 9 0 O y w m c X V v d D t N Y X I g M j A x N y Z x d W 9 0 O y w m c X V v d D t N Y X I g M j A x O C Z x d W 9 0 O y w m c X V v d D t N Y X I g M j A x O S Z x d W 9 0 O y w m c X V v d D t N Y X I g M j A y M C Z x d W 9 0 O y w m c X V v d D t N Y X I g M j A y M S Z x d W 9 0 O y w m c X V v d D t N Y X I g M j A y M i Z x d W 9 0 O y w m c X V v d D t N Y X I g M j A y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Z T g 5 Z T V k N S 1 m Y T k y L T Q 5 Z j Y t O D A 3 Z i 1 h N z k 4 Y m F m Z D l l O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N Y X I g M j A x M i w x f S Z x d W 9 0 O y w m c X V v d D t T Z W N 0 a W 9 u M S 9 U Y W J s Z S A 2 L 0 F 1 d G 9 S Z W 1 v d m V k Q 2 9 s d W 1 u c z E u e 0 1 h c i A y M D E z L D J 9 J n F 1 b 3 Q 7 L C Z x d W 9 0 O 1 N l Y 3 R p b 2 4 x L 1 R h Y m x l I D Y v Q X V 0 b 1 J l b W 9 2 Z W R D b 2 x 1 b W 5 z M S 5 7 T W F y I D I w M T Q s M 3 0 m c X V v d D s s J n F 1 b 3 Q 7 U 2 V j d G l v b j E v V G F i b G U g N i 9 B d X R v U m V t b 3 Z l Z E N v b H V t b n M x L n t N Y X I g M j A x N S w 0 f S Z x d W 9 0 O y w m c X V v d D t T Z W N 0 a W 9 u M S 9 U Y W J s Z S A 2 L 0 F 1 d G 9 S Z W 1 v d m V k Q 2 9 s d W 1 u c z E u e 0 1 h c i A y M D E 2 L D V 9 J n F 1 b 3 Q 7 L C Z x d W 9 0 O 1 N l Y 3 R p b 2 4 x L 1 R h Y m x l I D Y v Q X V 0 b 1 J l b W 9 2 Z W R D b 2 x 1 b W 5 z M S 5 7 T W F y I D I w M T c s N n 0 m c X V v d D s s J n F 1 b 3 Q 7 U 2 V j d G l v b j E v V G F i b G U g N i 9 B d X R v U m V t b 3 Z l Z E N v b H V t b n M x L n t N Y X I g M j A x O C w 3 f S Z x d W 9 0 O y w m c X V v d D t T Z W N 0 a W 9 u M S 9 U Y W J s Z S A 2 L 0 F 1 d G 9 S Z W 1 v d m V k Q 2 9 s d W 1 u c z E u e 0 1 h c i A y M D E 5 L D h 9 J n F 1 b 3 Q 7 L C Z x d W 9 0 O 1 N l Y 3 R p b 2 4 x L 1 R h Y m x l I D Y v Q X V 0 b 1 J l b W 9 2 Z W R D b 2 x 1 b W 5 z M S 5 7 T W F y I D I w M j A s O X 0 m c X V v d D s s J n F 1 b 3 Q 7 U 2 V j d G l v b j E v V G F i b G U g N i 9 B d X R v U m V t b 3 Z l Z E N v b H V t b n M x L n t N Y X I g M j A y M S w x M H 0 m c X V v d D s s J n F 1 b 3 Q 7 U 2 V j d G l v b j E v V G F i b G U g N i 9 B d X R v U m V t b 3 Z l Z E N v b H V t b n M x L n t N Y X I g M j A y M i w x M X 0 m c X V v d D s s J n F 1 b 3 Q 7 U 2 V j d G l v b j E v V G F i b G U g N i 9 B d X R v U m V t b 3 Z l Z E N v b H V t b n M x L n t N Y X I g M j A y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1 h c i A y M D E y L D F 9 J n F 1 b 3 Q 7 L C Z x d W 9 0 O 1 N l Y 3 R p b 2 4 x L 1 R h Y m x l I D Y v Q X V 0 b 1 J l b W 9 2 Z W R D b 2 x 1 b W 5 z M S 5 7 T W F y I D I w M T M s M n 0 m c X V v d D s s J n F 1 b 3 Q 7 U 2 V j d G l v b j E v V G F i b G U g N i 9 B d X R v U m V t b 3 Z l Z E N v b H V t b n M x L n t N Y X I g M j A x N C w z f S Z x d W 9 0 O y w m c X V v d D t T Z W N 0 a W 9 u M S 9 U Y W J s Z S A 2 L 0 F 1 d G 9 S Z W 1 v d m V k Q 2 9 s d W 1 u c z E u e 0 1 h c i A y M D E 1 L D R 9 J n F 1 b 3 Q 7 L C Z x d W 9 0 O 1 N l Y 3 R p b 2 4 x L 1 R h Y m x l I D Y v Q X V 0 b 1 J l b W 9 2 Z W R D b 2 x 1 b W 5 z M S 5 7 T W F y I D I w M T Y s N X 0 m c X V v d D s s J n F 1 b 3 Q 7 U 2 V j d G l v b j E v V G F i b G U g N i 9 B d X R v U m V t b 3 Z l Z E N v b H V t b n M x L n t N Y X I g M j A x N y w 2 f S Z x d W 9 0 O y w m c X V v d D t T Z W N 0 a W 9 u M S 9 U Y W J s Z S A 2 L 0 F 1 d G 9 S Z W 1 v d m V k Q 2 9 s d W 1 u c z E u e 0 1 h c i A y M D E 4 L D d 9 J n F 1 b 3 Q 7 L C Z x d W 9 0 O 1 N l Y 3 R p b 2 4 x L 1 R h Y m x l I D Y v Q X V 0 b 1 J l b W 9 2 Z W R D b 2 x 1 b W 5 z M S 5 7 T W F y I D I w M T k s O H 0 m c X V v d D s s J n F 1 b 3 Q 7 U 2 V j d G l v b j E v V G F i b G U g N i 9 B d X R v U m V t b 3 Z l Z E N v b H V t b n M x L n t N Y X I g M j A y M C w 5 f S Z x d W 9 0 O y w m c X V v d D t T Z W N 0 a W 9 u M S 9 U Y W J s Z S A 2 L 0 F 1 d G 9 S Z W 1 v d m V k Q 2 9 s d W 1 u c z E u e 0 1 h c i A y M D I x L D E w f S Z x d W 9 0 O y w m c X V v d D t T Z W N 0 a W 9 u M S 9 U Y W J s Z S A 2 L 0 F 1 d G 9 S Z W 1 v d m V k Q 2 9 s d W 1 u c z E u e 0 1 h c i A y M D I y L D E x f S Z x d W 9 0 O y w m c X V v d D t T Z W N 0 a W 9 u M S 9 U Y W J s Z S A 2 L 0 F 1 d G 9 S Z W 1 v d m V k Q 2 9 s d W 1 u c z E u e 0 1 h c i A y M D I z L D E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Y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D b 3 V u d C I g V m F s d W U 9 I m w x M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M T o 0 O T o w N C 4 5 N D Q 0 O D I 1 W i I g L z 4 8 R W 5 0 c n k g V H l w Z T 0 i R m l s b E N v b H V t b l R 5 c G V z I i B W Y W x 1 Z T 0 i c 0 J n V U Z C U V V G Q l F V R k J R V U Z C U V U 9 I i A v P j x F b n R y e S B U e X B l P S J G a W x s Q 2 9 s d W 1 u T m F t Z X M i I F Z h b H V l P S J z W y Z x d W 9 0 O 0 N v b H V t b j E m c X V v d D s s J n F 1 b 3 Q 7 T W F y I D I w M T I m c X V v d D s s J n F 1 b 3 Q 7 T W F y I D I w M T M m c X V v d D s s J n F 1 b 3 Q 7 T W F y I D I w M T Q m c X V v d D s s J n F 1 b 3 Q 7 T W F y I D I w M T U m c X V v d D s s J n F 1 b 3 Q 7 T W F y I D I w M T Y m c X V v d D s s J n F 1 b 3 Q 7 T W F y I D I w M T c m c X V v d D s s J n F 1 b 3 Q 7 T W F y I D I w M T g m c X V v d D s s J n F 1 b 3 Q 7 T W F y I D I w M T k m c X V v d D s s J n F 1 b 3 Q 7 T W F y I D I w M j A m c X V v d D s s J n F 1 b 3 Q 7 T W F y I D I w M j E m c X V v d D s s J n F 1 b 3 Q 7 T W F y I D I w M j I m c X V v d D s s J n F 1 b 3 Q 7 T W F y I D I w M j M m c X V v d D s s J n F 1 b 3 Q 7 V F R N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x Z W F h O G U 1 L T Q y Z D k t N D M 0 N S 1 h Y j Y x L T B h N W J h N j R k Y 2 R j N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1 h c i A y M D E y L D F 9 J n F 1 b 3 Q 7 L C Z x d W 9 0 O 1 N l Y 3 R p b 2 4 x L 1 R h Y m x l I D E v Q X V 0 b 1 J l b W 9 2 Z W R D b 2 x 1 b W 5 z M S 5 7 T W F y I D I w M T M s M n 0 m c X V v d D s s J n F 1 b 3 Q 7 U 2 V j d G l v b j E v V G F i b G U g M S 9 B d X R v U m V t b 3 Z l Z E N v b H V t b n M x L n t N Y X I g M j A x N C w z f S Z x d W 9 0 O y w m c X V v d D t T Z W N 0 a W 9 u M S 9 U Y W J s Z S A x L 0 F 1 d G 9 S Z W 1 v d m V k Q 2 9 s d W 1 u c z E u e 0 1 h c i A y M D E 1 L D R 9 J n F 1 b 3 Q 7 L C Z x d W 9 0 O 1 N l Y 3 R p b 2 4 x L 1 R h Y m x l I D E v Q X V 0 b 1 J l b W 9 2 Z W R D b 2 x 1 b W 5 z M S 5 7 T W F y I D I w M T Y s N X 0 m c X V v d D s s J n F 1 b 3 Q 7 U 2 V j d G l v b j E v V G F i b G U g M S 9 B d X R v U m V t b 3 Z l Z E N v b H V t b n M x L n t N Y X I g M j A x N y w 2 f S Z x d W 9 0 O y w m c X V v d D t T Z W N 0 a W 9 u M S 9 U Y W J s Z S A x L 0 F 1 d G 9 S Z W 1 v d m V k Q 2 9 s d W 1 u c z E u e 0 1 h c i A y M D E 4 L D d 9 J n F 1 b 3 Q 7 L C Z x d W 9 0 O 1 N l Y 3 R p b 2 4 x L 1 R h Y m x l I D E v Q X V 0 b 1 J l b W 9 2 Z W R D b 2 x 1 b W 5 z M S 5 7 T W F y I D I w M T k s O H 0 m c X V v d D s s J n F 1 b 3 Q 7 U 2 V j d G l v b j E v V G F i b G U g M S 9 B d X R v U m V t b 3 Z l Z E N v b H V t b n M x L n t N Y X I g M j A y M C w 5 f S Z x d W 9 0 O y w m c X V v d D t T Z W N 0 a W 9 u M S 9 U Y W J s Z S A x L 0 F 1 d G 9 S Z W 1 v d m V k Q 2 9 s d W 1 u c z E u e 0 1 h c i A y M D I x L D E w f S Z x d W 9 0 O y w m c X V v d D t T Z W N 0 a W 9 u M S 9 U Y W J s Z S A x L 0 F 1 d G 9 S Z W 1 v d m V k Q 2 9 s d W 1 u c z E u e 0 1 h c i A y M D I y L D E x f S Z x d W 9 0 O y w m c X V v d D t T Z W N 0 a W 9 u M S 9 U Y W J s Z S A x L 0 F 1 d G 9 S Z W 1 v d m V k Q 2 9 s d W 1 u c z E u e 0 1 h c i A y M D I z L D E y f S Z x d W 9 0 O y w m c X V v d D t T Z W N 0 a W 9 u M S 9 U Y W J s Z S A x L 0 F 1 d G 9 S Z W 1 v d m V k Q 2 9 s d W 1 u c z E u e 1 R U T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1 h c i A y M D E y L D F 9 J n F 1 b 3 Q 7 L C Z x d W 9 0 O 1 N l Y 3 R p b 2 4 x L 1 R h Y m x l I D E v Q X V 0 b 1 J l b W 9 2 Z W R D b 2 x 1 b W 5 z M S 5 7 T W F y I D I w M T M s M n 0 m c X V v d D s s J n F 1 b 3 Q 7 U 2 V j d G l v b j E v V G F i b G U g M S 9 B d X R v U m V t b 3 Z l Z E N v b H V t b n M x L n t N Y X I g M j A x N C w z f S Z x d W 9 0 O y w m c X V v d D t T Z W N 0 a W 9 u M S 9 U Y W J s Z S A x L 0 F 1 d G 9 S Z W 1 v d m V k Q 2 9 s d W 1 u c z E u e 0 1 h c i A y M D E 1 L D R 9 J n F 1 b 3 Q 7 L C Z x d W 9 0 O 1 N l Y 3 R p b 2 4 x L 1 R h Y m x l I D E v Q X V 0 b 1 J l b W 9 2 Z W R D b 2 x 1 b W 5 z M S 5 7 T W F y I D I w M T Y s N X 0 m c X V v d D s s J n F 1 b 3 Q 7 U 2 V j d G l v b j E v V G F i b G U g M S 9 B d X R v U m V t b 3 Z l Z E N v b H V t b n M x L n t N Y X I g M j A x N y w 2 f S Z x d W 9 0 O y w m c X V v d D t T Z W N 0 a W 9 u M S 9 U Y W J s Z S A x L 0 F 1 d G 9 S Z W 1 v d m V k Q 2 9 s d W 1 u c z E u e 0 1 h c i A y M D E 4 L D d 9 J n F 1 b 3 Q 7 L C Z x d W 9 0 O 1 N l Y 3 R p b 2 4 x L 1 R h Y m x l I D E v Q X V 0 b 1 J l b W 9 2 Z W R D b 2 x 1 b W 5 z M S 5 7 T W F y I D I w M T k s O H 0 m c X V v d D s s J n F 1 b 3 Q 7 U 2 V j d G l v b j E v V G F i b G U g M S 9 B d X R v U m V t b 3 Z l Z E N v b H V t b n M x L n t N Y X I g M j A y M C w 5 f S Z x d W 9 0 O y w m c X V v d D t T Z W N 0 a W 9 u M S 9 U Y W J s Z S A x L 0 F 1 d G 9 S Z W 1 v d m V k Q 2 9 s d W 1 u c z E u e 0 1 h c i A y M D I x L D E w f S Z x d W 9 0 O y w m c X V v d D t T Z W N 0 a W 9 u M S 9 U Y W J s Z S A x L 0 F 1 d G 9 S Z W 1 v d m V k Q 2 9 s d W 1 u c z E u e 0 1 h c i A y M D I y L D E x f S Z x d W 9 0 O y w m c X V v d D t T Z W N 0 a W 9 u M S 9 U Y W J s Z S A x L 0 F 1 d G 9 S Z W 1 v d m V k Q 2 9 s d W 1 u c z E u e 0 1 h c i A y M D I z L D E y f S Z x d W 9 0 O y w m c X V v d D t T Z W N 0 a W 9 u M S 9 U Y W J s Z S A x L 0 F 1 d G 9 S Z W 1 v d m V k Q 2 9 s d W 1 u c z E u e 1 R U T S w x M 3 0 m c X V v d D t d L C Z x d W 9 0 O 1 J l b G F 0 a W 9 u c 2 h p c E l u Z m 8 m c X V v d D s 6 W 1 1 9 I i A v P j x F b n R y e S B U e X B l P S J G a W x s T 2 J q Z W N 0 V H l w Z S I g V m F s d W U 9 I n N U Y W J s Z S I g L z 4 8 R W 5 0 c n k g V H l w Z T 0 i R m l s b F R h c m d l d C I g V m F s d W U 9 I n N U Y W J s Z V 8 x N S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J T I w O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B U M D Q 6 M D E 6 M D M u N D U 3 N T A x M F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D b 2 x 1 b W 4 x J n F 1 b 3 Q 7 L C Z x d W 9 0 O 0 1 h c i A y M D E y J n F 1 b 3 Q 7 L C Z x d W 9 0 O 0 1 h c i A y M D E z J n F 1 b 3 Q 7 L C Z x d W 9 0 O 0 1 h c i A y M D E 0 J n F 1 b 3 Q 7 L C Z x d W 9 0 O 0 1 h c i A y M D E 1 J n F 1 b 3 Q 7 L C Z x d W 9 0 O 0 1 h c i A y M D E 2 J n F 1 b 3 Q 7 L C Z x d W 9 0 O 0 1 h c i A y M D E 3 J n F 1 b 3 Q 7 L C Z x d W 9 0 O 0 1 h c i A y M D E 4 J n F 1 b 3 Q 7 L C Z x d W 9 0 O 0 1 h c i A y M D E 5 J n F 1 b 3 Q 7 L C Z x d W 9 0 O 0 1 h c i A y M D I w J n F 1 b 3 Q 7 L C Z x d W 9 0 O 0 1 h c i A y M D I x J n F 1 b 3 Q 7 L C Z x d W 9 0 O 0 1 h c i A y M D I y J n F 1 b 3 Q 7 L C Z x d W 9 0 O 0 1 h c i A y M D I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4 N z E 5 M T Q 3 L W E 3 N j M t N D h l N i 1 h M D B h L T Q 1 M 2 I 1 Z m M 2 Z G U 4 M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g v Q X V 0 b 1 J l b W 9 2 Z W R D b 2 x 1 b W 5 z M S 5 7 Q 2 9 s d W 1 u M S w w f S Z x d W 9 0 O y w m c X V v d D t T Z W N 0 a W 9 u M S 9 U Y W J s Z S A 4 L 0 F 1 d G 9 S Z W 1 v d m V k Q 2 9 s d W 1 u c z E u e 0 1 h c i A y M D E y L D F 9 J n F 1 b 3 Q 7 L C Z x d W 9 0 O 1 N l Y 3 R p b 2 4 x L 1 R h Y m x l I D g v Q X V 0 b 1 J l b W 9 2 Z W R D b 2 x 1 b W 5 z M S 5 7 T W F y I D I w M T M s M n 0 m c X V v d D s s J n F 1 b 3 Q 7 U 2 V j d G l v b j E v V G F i b G U g O C 9 B d X R v U m V t b 3 Z l Z E N v b H V t b n M x L n t N Y X I g M j A x N C w z f S Z x d W 9 0 O y w m c X V v d D t T Z W N 0 a W 9 u M S 9 U Y W J s Z S A 4 L 0 F 1 d G 9 S Z W 1 v d m V k Q 2 9 s d W 1 u c z E u e 0 1 h c i A y M D E 1 L D R 9 J n F 1 b 3 Q 7 L C Z x d W 9 0 O 1 N l Y 3 R p b 2 4 x L 1 R h Y m x l I D g v Q X V 0 b 1 J l b W 9 2 Z W R D b 2 x 1 b W 5 z M S 5 7 T W F y I D I w M T Y s N X 0 m c X V v d D s s J n F 1 b 3 Q 7 U 2 V j d G l v b j E v V G F i b G U g O C 9 B d X R v U m V t b 3 Z l Z E N v b H V t b n M x L n t N Y X I g M j A x N y w 2 f S Z x d W 9 0 O y w m c X V v d D t T Z W N 0 a W 9 u M S 9 U Y W J s Z S A 4 L 0 F 1 d G 9 S Z W 1 v d m V k Q 2 9 s d W 1 u c z E u e 0 1 h c i A y M D E 4 L D d 9 J n F 1 b 3 Q 7 L C Z x d W 9 0 O 1 N l Y 3 R p b 2 4 x L 1 R h Y m x l I D g v Q X V 0 b 1 J l b W 9 2 Z W R D b 2 x 1 b W 5 z M S 5 7 T W F y I D I w M T k s O H 0 m c X V v d D s s J n F 1 b 3 Q 7 U 2 V j d G l v b j E v V G F i b G U g O C 9 B d X R v U m V t b 3 Z l Z E N v b H V t b n M x L n t N Y X I g M j A y M C w 5 f S Z x d W 9 0 O y w m c X V v d D t T Z W N 0 a W 9 u M S 9 U Y W J s Z S A 4 L 0 F 1 d G 9 S Z W 1 v d m V k Q 2 9 s d W 1 u c z E u e 0 1 h c i A y M D I x L D E w f S Z x d W 9 0 O y w m c X V v d D t T Z W N 0 a W 9 u M S 9 U Y W J s Z S A 4 L 0 F 1 d G 9 S Z W 1 v d m V k Q 2 9 s d W 1 u c z E u e 0 1 h c i A y M D I y L D E x f S Z x d W 9 0 O y w m c X V v d D t T Z W N 0 a W 9 u M S 9 U Y W J s Z S A 4 L 0 F 1 d G 9 S Z W 1 v d m V k Q 2 9 s d W 1 u c z E u e 0 1 h c i A y M D I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g O C 9 B d X R v U m V t b 3 Z l Z E N v b H V t b n M x L n t D b 2 x 1 b W 4 x L D B 9 J n F 1 b 3 Q 7 L C Z x d W 9 0 O 1 N l Y 3 R p b 2 4 x L 1 R h Y m x l I D g v Q X V 0 b 1 J l b W 9 2 Z W R D b 2 x 1 b W 5 z M S 5 7 T W F y I D I w M T I s M X 0 m c X V v d D s s J n F 1 b 3 Q 7 U 2 V j d G l v b j E v V G F i b G U g O C 9 B d X R v U m V t b 3 Z l Z E N v b H V t b n M x L n t N Y X I g M j A x M y w y f S Z x d W 9 0 O y w m c X V v d D t T Z W N 0 a W 9 u M S 9 U Y W J s Z S A 4 L 0 F 1 d G 9 S Z W 1 v d m V k Q 2 9 s d W 1 u c z E u e 0 1 h c i A y M D E 0 L D N 9 J n F 1 b 3 Q 7 L C Z x d W 9 0 O 1 N l Y 3 R p b 2 4 x L 1 R h Y m x l I D g v Q X V 0 b 1 J l b W 9 2 Z W R D b 2 x 1 b W 5 z M S 5 7 T W F y I D I w M T U s N H 0 m c X V v d D s s J n F 1 b 3 Q 7 U 2 V j d G l v b j E v V G F i b G U g O C 9 B d X R v U m V t b 3 Z l Z E N v b H V t b n M x L n t N Y X I g M j A x N i w 1 f S Z x d W 9 0 O y w m c X V v d D t T Z W N 0 a W 9 u M S 9 U Y W J s Z S A 4 L 0 F 1 d G 9 S Z W 1 v d m V k Q 2 9 s d W 1 u c z E u e 0 1 h c i A y M D E 3 L D Z 9 J n F 1 b 3 Q 7 L C Z x d W 9 0 O 1 N l Y 3 R p b 2 4 x L 1 R h Y m x l I D g v Q X V 0 b 1 J l b W 9 2 Z W R D b 2 x 1 b W 5 z M S 5 7 T W F y I D I w M T g s N 3 0 m c X V v d D s s J n F 1 b 3 Q 7 U 2 V j d G l v b j E v V G F i b G U g O C 9 B d X R v U m V t b 3 Z l Z E N v b H V t b n M x L n t N Y X I g M j A x O S w 4 f S Z x d W 9 0 O y w m c X V v d D t T Z W N 0 a W 9 u M S 9 U Y W J s Z S A 4 L 0 F 1 d G 9 S Z W 1 v d m V k Q 2 9 s d W 1 u c z E u e 0 1 h c i A y M D I w L D l 9 J n F 1 b 3 Q 7 L C Z x d W 9 0 O 1 N l Y 3 R p b 2 4 x L 1 R h Y m x l I D g v Q X V 0 b 1 J l b W 9 2 Z W R D b 2 x 1 b W 5 z M S 5 7 T W F y I D I w M j E s M T B 9 J n F 1 b 3 Q 7 L C Z x d W 9 0 O 1 N l Y 3 R p b 2 4 x L 1 R h Y m x l I D g v Q X V 0 b 1 J l b W 9 2 Z W R D b 2 x 1 b W 5 z M S 5 7 T W F y I D I w M j I s M T F 9 J n F 1 b 3 Q 7 L C Z x d W 9 0 O 1 N l Y 3 R p b 2 4 x L 1 R h Y m x l I D g v Q X V 0 b 1 J l b W 9 2 Z W R D b 2 x 1 b W 5 z M S 5 7 T W F y I D I w M j M s M T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O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G F i b G U l M j A 5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F Q w N D o w M j o 1 N S 4 5 M j k y M T I z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N v b H V t b j E m c X V v d D s s J n F 1 b 3 Q 7 U 2 V w I D I w M j A m c X V v d D s s J n F 1 b 3 Q 7 R G V j I D I w M j A m c X V v d D s s J n F 1 b 3 Q 7 T W F y I D I w M j E m c X V v d D s s J n F 1 b 3 Q 7 S n V u I D I w M j E m c X V v d D s s J n F 1 b 3 Q 7 U 2 V w I D I w M j E m c X V v d D s s J n F 1 b 3 Q 7 R G V j I D I w M j E m c X V v d D s s J n F 1 b 3 Q 7 T W F y I D I w M j I m c X V v d D s s J n F 1 b 3 Q 7 S n V u I D I w M j I m c X V v d D s s J n F 1 b 3 Q 7 U 2 V w I D I w M j I m c X V v d D s s J n F 1 b 3 Q 7 R G V j I D I w M j I m c X V v d D s s J n F 1 b 3 Q 7 T W F y I D I w M j M m c X V v d D s s J n F 1 b 3 Q 7 S n V u I D I w M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E w Z m U 0 Z D Q t N z M 4 M C 0 0 Z m E 3 L T l k M m E t M 2 U 1 M D I 4 Z j k x M W U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O S 9 B d X R v U m V t b 3 Z l Z E N v b H V t b n M x L n t D b 2 x 1 b W 4 x L D B 9 J n F 1 b 3 Q 7 L C Z x d W 9 0 O 1 N l Y 3 R p b 2 4 x L 1 R h Y m x l I D k v Q X V 0 b 1 J l b W 9 2 Z W R D b 2 x 1 b W 5 z M S 5 7 U 2 V w I D I w M j A s M X 0 m c X V v d D s s J n F 1 b 3 Q 7 U 2 V j d G l v b j E v V G F i b G U g O S 9 B d X R v U m V t b 3 Z l Z E N v b H V t b n M x L n t E Z W M g M j A y M C w y f S Z x d W 9 0 O y w m c X V v d D t T Z W N 0 a W 9 u M S 9 U Y W J s Z S A 5 L 0 F 1 d G 9 S Z W 1 v d m V k Q 2 9 s d W 1 u c z E u e 0 1 h c i A y M D I x L D N 9 J n F 1 b 3 Q 7 L C Z x d W 9 0 O 1 N l Y 3 R p b 2 4 x L 1 R h Y m x l I D k v Q X V 0 b 1 J l b W 9 2 Z W R D b 2 x 1 b W 5 z M S 5 7 S n V u I D I w M j E s N H 0 m c X V v d D s s J n F 1 b 3 Q 7 U 2 V j d G l v b j E v V G F i b G U g O S 9 B d X R v U m V t b 3 Z l Z E N v b H V t b n M x L n t T Z X A g M j A y M S w 1 f S Z x d W 9 0 O y w m c X V v d D t T Z W N 0 a W 9 u M S 9 U Y W J s Z S A 5 L 0 F 1 d G 9 S Z W 1 v d m V k Q 2 9 s d W 1 u c z E u e 0 R l Y y A y M D I x L D Z 9 J n F 1 b 3 Q 7 L C Z x d W 9 0 O 1 N l Y 3 R p b 2 4 x L 1 R h Y m x l I D k v Q X V 0 b 1 J l b W 9 2 Z W R D b 2 x 1 b W 5 z M S 5 7 T W F y I D I w M j I s N 3 0 m c X V v d D s s J n F 1 b 3 Q 7 U 2 V j d G l v b j E v V G F i b G U g O S 9 B d X R v U m V t b 3 Z l Z E N v b H V t b n M x L n t K d W 4 g M j A y M i w 4 f S Z x d W 9 0 O y w m c X V v d D t T Z W N 0 a W 9 u M S 9 U Y W J s Z S A 5 L 0 F 1 d G 9 S Z W 1 v d m V k Q 2 9 s d W 1 u c z E u e 1 N l c C A y M D I y L D l 9 J n F 1 b 3 Q 7 L C Z x d W 9 0 O 1 N l Y 3 R p b 2 4 x L 1 R h Y m x l I D k v Q X V 0 b 1 J l b W 9 2 Z W R D b 2 x 1 b W 5 z M S 5 7 R G V j I D I w M j I s M T B 9 J n F 1 b 3 Q 7 L C Z x d W 9 0 O 1 N l Y 3 R p b 2 4 x L 1 R h Y m x l I D k v Q X V 0 b 1 J l b W 9 2 Z W R D b 2 x 1 b W 5 z M S 5 7 T W F y I D I w M j M s M T F 9 J n F 1 b 3 Q 7 L C Z x d W 9 0 O 1 N l Y 3 R p b 2 4 x L 1 R h Y m x l I D k v Q X V 0 b 1 J l b W 9 2 Z W R D b 2 x 1 b W 5 z M S 5 7 S n V u I D I w M j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S A 5 L 0 F 1 d G 9 S Z W 1 v d m V k Q 2 9 s d W 1 u c z E u e 0 N v b H V t b j E s M H 0 m c X V v d D s s J n F 1 b 3 Q 7 U 2 V j d G l v b j E v V G F i b G U g O S 9 B d X R v U m V t b 3 Z l Z E N v b H V t b n M x L n t T Z X A g M j A y M C w x f S Z x d W 9 0 O y w m c X V v d D t T Z W N 0 a W 9 u M S 9 U Y W J s Z S A 5 L 0 F 1 d G 9 S Z W 1 v d m V k Q 2 9 s d W 1 u c z E u e 0 R l Y y A y M D I w L D J 9 J n F 1 b 3 Q 7 L C Z x d W 9 0 O 1 N l Y 3 R p b 2 4 x L 1 R h Y m x l I D k v Q X V 0 b 1 J l b W 9 2 Z W R D b 2 x 1 b W 5 z M S 5 7 T W F y I D I w M j E s M 3 0 m c X V v d D s s J n F 1 b 3 Q 7 U 2 V j d G l v b j E v V G F i b G U g O S 9 B d X R v U m V t b 3 Z l Z E N v b H V t b n M x L n t K d W 4 g M j A y M S w 0 f S Z x d W 9 0 O y w m c X V v d D t T Z W N 0 a W 9 u M S 9 U Y W J s Z S A 5 L 0 F 1 d G 9 S Z W 1 v d m V k Q 2 9 s d W 1 u c z E u e 1 N l c C A y M D I x L D V 9 J n F 1 b 3 Q 7 L C Z x d W 9 0 O 1 N l Y 3 R p b 2 4 x L 1 R h Y m x l I D k v Q X V 0 b 1 J l b W 9 2 Z W R D b 2 x 1 b W 5 z M S 5 7 R G V j I D I w M j E s N n 0 m c X V v d D s s J n F 1 b 3 Q 7 U 2 V j d G l v b j E v V G F i b G U g O S 9 B d X R v U m V t b 3 Z l Z E N v b H V t b n M x L n t N Y X I g M j A y M i w 3 f S Z x d W 9 0 O y w m c X V v d D t T Z W N 0 a W 9 u M S 9 U Y W J s Z S A 5 L 0 F 1 d G 9 S Z W 1 v d m V k Q 2 9 s d W 1 u c z E u e 0 p 1 b i A y M D I y L D h 9 J n F 1 b 3 Q 7 L C Z x d W 9 0 O 1 N l Y 3 R p b 2 4 x L 1 R h Y m x l I D k v Q X V 0 b 1 J l b W 9 2 Z W R D b 2 x 1 b W 5 z M S 5 7 U 2 V w I D I w M j I s O X 0 m c X V v d D s s J n F 1 b 3 Q 7 U 2 V j d G l v b j E v V G F i b G U g O S 9 B d X R v U m V t b 3 Z l Z E N v b H V t b n M x L n t E Z W M g M j A y M i w x M H 0 m c X V v d D s s J n F 1 b 3 Q 7 U 2 V j d G l v b j E v V G F i b G U g O S 9 B d X R v U m V t b 3 Z l Z E N v b H V t b n M x L n t N Y X I g M j A y M y w x M X 0 m c X V v d D s s J n F 1 b 3 Q 7 U 2 V j d G l v b j E v V G F i b G U g O S 9 B d X R v U m V t b 3 Z l Z E N v b H V t b n M x L n t K d W 4 g M j A y M y w x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5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Z U M D U 6 M D U 6 M j M u N z Q 0 M T Y 3 N 1 o i I C 8 + P E V u d H J 5 I F R 5 c G U 9 I k Z p b G x D b 2 x 1 b W 5 U e X B l c y I g V m F s d W U 9 I n N C Z 1 V G Q l F V R k J R V U Z C U V V G Q l F Z P S I g L z 4 8 R W 5 0 c n k g V H l w Z T 0 i R m l s b E N v b H V t b k 5 h b W V z I i B W Y W x 1 Z T 0 i c 1 s m c X V v d D t D b 2 x 1 b W 4 x J n F 1 b 3 Q 7 L C Z x d W 9 0 O 0 1 h c i A y M D E y J n F 1 b 3 Q 7 L C Z x d W 9 0 O 0 1 h c i A y M D E z J n F 1 b 3 Q 7 L C Z x d W 9 0 O 0 1 h c i A y M D E 0 J n F 1 b 3 Q 7 L C Z x d W 9 0 O 0 1 h c i A y M D E 1 J n F 1 b 3 Q 7 L C Z x d W 9 0 O 0 1 h c i A y M D E 2 J n F 1 b 3 Q 7 L C Z x d W 9 0 O 0 1 h c i A y M D E 3 J n F 1 b 3 Q 7 L C Z x d W 9 0 O 0 1 h c i A y M D E 4 J n F 1 b 3 Q 7 L C Z x d W 9 0 O 0 1 h c i A y M D E 5 J n F 1 b 3 Q 7 L C Z x d W 9 0 O 0 1 h c i A y M D I w J n F 1 b 3 Q 7 L C Z x d W 9 0 O 0 1 h c i A y M D I x J n F 1 b 3 Q 7 L C Z x d W 9 0 O 0 1 h c i A y M D I y J n F 1 b 3 Q 7 L C Z x d W 9 0 O 0 1 h c i A y M D I z J n F 1 b 3 Q 7 L C Z x d W 9 0 O 1 R U T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M z U x N j U y N y 0 0 Z D R i L T Q 0 M j g t Y j N j N C 0 2 M j c 5 N 2 N h Y z V i N z Q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z K S 9 B d X R v U m V t b 3 Z l Z E N v b H V t b n M x L n t D b 2 x 1 b W 4 x L D B 9 J n F 1 b 3 Q 7 L C Z x d W 9 0 O 1 N l Y 3 R p b 2 4 x L 1 R h Y m x l I D E g K D M p L 0 F 1 d G 9 S Z W 1 v d m V k Q 2 9 s d W 1 u c z E u e 0 1 h c i A y M D E y L D F 9 J n F 1 b 3 Q 7 L C Z x d W 9 0 O 1 N l Y 3 R p b 2 4 x L 1 R h Y m x l I D E g K D M p L 0 F 1 d G 9 S Z W 1 v d m V k Q 2 9 s d W 1 u c z E u e 0 1 h c i A y M D E z L D J 9 J n F 1 b 3 Q 7 L C Z x d W 9 0 O 1 N l Y 3 R p b 2 4 x L 1 R h Y m x l I D E g K D M p L 0 F 1 d G 9 S Z W 1 v d m V k Q 2 9 s d W 1 u c z E u e 0 1 h c i A y M D E 0 L D N 9 J n F 1 b 3 Q 7 L C Z x d W 9 0 O 1 N l Y 3 R p b 2 4 x L 1 R h Y m x l I D E g K D M p L 0 F 1 d G 9 S Z W 1 v d m V k Q 2 9 s d W 1 u c z E u e 0 1 h c i A y M D E 1 L D R 9 J n F 1 b 3 Q 7 L C Z x d W 9 0 O 1 N l Y 3 R p b 2 4 x L 1 R h Y m x l I D E g K D M p L 0 F 1 d G 9 S Z W 1 v d m V k Q 2 9 s d W 1 u c z E u e 0 1 h c i A y M D E 2 L D V 9 J n F 1 b 3 Q 7 L C Z x d W 9 0 O 1 N l Y 3 R p b 2 4 x L 1 R h Y m x l I D E g K D M p L 0 F 1 d G 9 S Z W 1 v d m V k Q 2 9 s d W 1 u c z E u e 0 1 h c i A y M D E 3 L D Z 9 J n F 1 b 3 Q 7 L C Z x d W 9 0 O 1 N l Y 3 R p b 2 4 x L 1 R h Y m x l I D E g K D M p L 0 F 1 d G 9 S Z W 1 v d m V k Q 2 9 s d W 1 u c z E u e 0 1 h c i A y M D E 4 L D d 9 J n F 1 b 3 Q 7 L C Z x d W 9 0 O 1 N l Y 3 R p b 2 4 x L 1 R h Y m x l I D E g K D M p L 0 F 1 d G 9 S Z W 1 v d m V k Q 2 9 s d W 1 u c z E u e 0 1 h c i A y M D E 5 L D h 9 J n F 1 b 3 Q 7 L C Z x d W 9 0 O 1 N l Y 3 R p b 2 4 x L 1 R h Y m x l I D E g K D M p L 0 F 1 d G 9 S Z W 1 v d m V k Q 2 9 s d W 1 u c z E u e 0 1 h c i A y M D I w L D l 9 J n F 1 b 3 Q 7 L C Z x d W 9 0 O 1 N l Y 3 R p b 2 4 x L 1 R h Y m x l I D E g K D M p L 0 F 1 d G 9 S Z W 1 v d m V k Q 2 9 s d W 1 u c z E u e 0 1 h c i A y M D I x L D E w f S Z x d W 9 0 O y w m c X V v d D t T Z W N 0 a W 9 u M S 9 U Y W J s Z S A x I C g z K S 9 B d X R v U m V t b 3 Z l Z E N v b H V t b n M x L n t N Y X I g M j A y M i w x M X 0 m c X V v d D s s J n F 1 b 3 Q 7 U 2 V j d G l v b j E v V G F i b G U g M S A o M y k v Q X V 0 b 1 J l b W 9 2 Z W R D b 2 x 1 b W 5 z M S 5 7 T W F y I D I w M j M s M T J 9 J n F 1 b 3 Q 7 L C Z x d W 9 0 O 1 N l Y 3 R p b 2 4 x L 1 R h Y m x l I D E g K D M p L 0 F 1 d G 9 S Z W 1 v d m V k Q 2 9 s d W 1 u c z E u e 1 R U T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E g K D M p L 0 F 1 d G 9 S Z W 1 v d m V k Q 2 9 s d W 1 u c z E u e 0 N v b H V t b j E s M H 0 m c X V v d D s s J n F 1 b 3 Q 7 U 2 V j d G l v b j E v V G F i b G U g M S A o M y k v Q X V 0 b 1 J l b W 9 2 Z W R D b 2 x 1 b W 5 z M S 5 7 T W F y I D I w M T I s M X 0 m c X V v d D s s J n F 1 b 3 Q 7 U 2 V j d G l v b j E v V G F i b G U g M S A o M y k v Q X V 0 b 1 J l b W 9 2 Z W R D b 2 x 1 b W 5 z M S 5 7 T W F y I D I w M T M s M n 0 m c X V v d D s s J n F 1 b 3 Q 7 U 2 V j d G l v b j E v V G F i b G U g M S A o M y k v Q X V 0 b 1 J l b W 9 2 Z W R D b 2 x 1 b W 5 z M S 5 7 T W F y I D I w M T Q s M 3 0 m c X V v d D s s J n F 1 b 3 Q 7 U 2 V j d G l v b j E v V G F i b G U g M S A o M y k v Q X V 0 b 1 J l b W 9 2 Z W R D b 2 x 1 b W 5 z M S 5 7 T W F y I D I w M T U s N H 0 m c X V v d D s s J n F 1 b 3 Q 7 U 2 V j d G l v b j E v V G F i b G U g M S A o M y k v Q X V 0 b 1 J l b W 9 2 Z W R D b 2 x 1 b W 5 z M S 5 7 T W F y I D I w M T Y s N X 0 m c X V v d D s s J n F 1 b 3 Q 7 U 2 V j d G l v b j E v V G F i b G U g M S A o M y k v Q X V 0 b 1 J l b W 9 2 Z W R D b 2 x 1 b W 5 z M S 5 7 T W F y I D I w M T c s N n 0 m c X V v d D s s J n F 1 b 3 Q 7 U 2 V j d G l v b j E v V G F i b G U g M S A o M y k v Q X V 0 b 1 J l b W 9 2 Z W R D b 2 x 1 b W 5 z M S 5 7 T W F y I D I w M T g s N 3 0 m c X V v d D s s J n F 1 b 3 Q 7 U 2 V j d G l v b j E v V G F i b G U g M S A o M y k v Q X V 0 b 1 J l b W 9 2 Z W R D b 2 x 1 b W 5 z M S 5 7 T W F y I D I w M T k s O H 0 m c X V v d D s s J n F 1 b 3 Q 7 U 2 V j d G l v b j E v V G F i b G U g M S A o M y k v Q X V 0 b 1 J l b W 9 2 Z W R D b 2 x 1 b W 5 z M S 5 7 T W F y I D I w M j A s O X 0 m c X V v d D s s J n F 1 b 3 Q 7 U 2 V j d G l v b j E v V G F i b G U g M S A o M y k v Q X V 0 b 1 J l b W 9 2 Z W R D b 2 x 1 b W 5 z M S 5 7 T W F y I D I w M j E s M T B 9 J n F 1 b 3 Q 7 L C Z x d W 9 0 O 1 N l Y 3 R p b 2 4 x L 1 R h Y m x l I D E g K D M p L 0 F 1 d G 9 S Z W 1 v d m V k Q 2 9 s d W 1 u c z E u e 0 1 h c i A y M D I y L D E x f S Z x d W 9 0 O y w m c X V v d D t T Z W N 0 a W 9 u M S 9 U Y W J s Z S A x I C g z K S 9 B d X R v U m V t b 3 Z l Z E N v b H V t b n M x L n t N Y X I g M j A y M y w x M n 0 m c X V v d D s s J n F 1 b 3 Q 7 U 2 V j d G l v b j E v V G F i b G U g M S A o M y k v Q X V 0 b 1 J l b W 9 2 Z W R D b 2 x 1 b W 5 z M S 5 7 V F R N L D E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N C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Z U M D U 6 M D Y 6 M j Y u M D Y 4 M D c 4 N l o i I C 8 + P E V u d H J 5 I F R 5 c G U 9 I k Z p b G x D b 2 x 1 b W 5 U e X B l c y I g V m F s d W U 9 I n N C Z 1 V G Q l F V R k J R V U Z C U V V G Q l F Z P S I g L z 4 8 R W 5 0 c n k g V H l w Z T 0 i R m l s b E N v b H V t b k 5 h b W V z I i B W Y W x 1 Z T 0 i c 1 s m c X V v d D t D b 2 x 1 b W 4 x J n F 1 b 3 Q 7 L C Z x d W 9 0 O 0 1 h c i A y M D E y J n F 1 b 3 Q 7 L C Z x d W 9 0 O 0 1 h c i A y M D E z J n F 1 b 3 Q 7 L C Z x d W 9 0 O 0 1 h c i A y M D E 0 J n F 1 b 3 Q 7 L C Z x d W 9 0 O 0 1 h c i A y M D E 1 J n F 1 b 3 Q 7 L C Z x d W 9 0 O 0 1 h c i A y M D E 2 J n F 1 b 3 Q 7 L C Z x d W 9 0 O 0 1 h c i A y M D E 3 J n F 1 b 3 Q 7 L C Z x d W 9 0 O 0 1 h c i A y M D E 4 J n F 1 b 3 Q 7 L C Z x d W 9 0 O 0 1 h c i A y M D E 5 J n F 1 b 3 Q 7 L C Z x d W 9 0 O 0 1 h c i A y M D I w J n F 1 b 3 Q 7 L C Z x d W 9 0 O 0 1 h c i A y M D I x J n F 1 b 3 Q 7 L C Z x d W 9 0 O 0 1 h c i A y M D I y J n F 1 b 3 Q 7 L C Z x d W 9 0 O 0 1 h c i A y M D I z J n F 1 b 3 Q 7 L C Z x d W 9 0 O 1 R U T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J h N D M x N S 1 l N j M 2 L T Q y N D M t Y j c 3 Y i 0 2 M G Y z Y T U w M z I 4 N D c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0 K S 9 B d X R v U m V t b 3 Z l Z E N v b H V t b n M x L n t D b 2 x 1 b W 4 x L D B 9 J n F 1 b 3 Q 7 L C Z x d W 9 0 O 1 N l Y 3 R p b 2 4 x L 1 R h Y m x l I D E g K D Q p L 0 F 1 d G 9 S Z W 1 v d m V k Q 2 9 s d W 1 u c z E u e 0 1 h c i A y M D E y L D F 9 J n F 1 b 3 Q 7 L C Z x d W 9 0 O 1 N l Y 3 R p b 2 4 x L 1 R h Y m x l I D E g K D Q p L 0 F 1 d G 9 S Z W 1 v d m V k Q 2 9 s d W 1 u c z E u e 0 1 h c i A y M D E z L D J 9 J n F 1 b 3 Q 7 L C Z x d W 9 0 O 1 N l Y 3 R p b 2 4 x L 1 R h Y m x l I D E g K D Q p L 0 F 1 d G 9 S Z W 1 v d m V k Q 2 9 s d W 1 u c z E u e 0 1 h c i A y M D E 0 L D N 9 J n F 1 b 3 Q 7 L C Z x d W 9 0 O 1 N l Y 3 R p b 2 4 x L 1 R h Y m x l I D E g K D Q p L 0 F 1 d G 9 S Z W 1 v d m V k Q 2 9 s d W 1 u c z E u e 0 1 h c i A y M D E 1 L D R 9 J n F 1 b 3 Q 7 L C Z x d W 9 0 O 1 N l Y 3 R p b 2 4 x L 1 R h Y m x l I D E g K D Q p L 0 F 1 d G 9 S Z W 1 v d m V k Q 2 9 s d W 1 u c z E u e 0 1 h c i A y M D E 2 L D V 9 J n F 1 b 3 Q 7 L C Z x d W 9 0 O 1 N l Y 3 R p b 2 4 x L 1 R h Y m x l I D E g K D Q p L 0 F 1 d G 9 S Z W 1 v d m V k Q 2 9 s d W 1 u c z E u e 0 1 h c i A y M D E 3 L D Z 9 J n F 1 b 3 Q 7 L C Z x d W 9 0 O 1 N l Y 3 R p b 2 4 x L 1 R h Y m x l I D E g K D Q p L 0 F 1 d G 9 S Z W 1 v d m V k Q 2 9 s d W 1 u c z E u e 0 1 h c i A y M D E 4 L D d 9 J n F 1 b 3 Q 7 L C Z x d W 9 0 O 1 N l Y 3 R p b 2 4 x L 1 R h Y m x l I D E g K D Q p L 0 F 1 d G 9 S Z W 1 v d m V k Q 2 9 s d W 1 u c z E u e 0 1 h c i A y M D E 5 L D h 9 J n F 1 b 3 Q 7 L C Z x d W 9 0 O 1 N l Y 3 R p b 2 4 x L 1 R h Y m x l I D E g K D Q p L 0 F 1 d G 9 S Z W 1 v d m V k Q 2 9 s d W 1 u c z E u e 0 1 h c i A y M D I w L D l 9 J n F 1 b 3 Q 7 L C Z x d W 9 0 O 1 N l Y 3 R p b 2 4 x L 1 R h Y m x l I D E g K D Q p L 0 F 1 d G 9 S Z W 1 v d m V k Q 2 9 s d W 1 u c z E u e 0 1 h c i A y M D I x L D E w f S Z x d W 9 0 O y w m c X V v d D t T Z W N 0 a W 9 u M S 9 U Y W J s Z S A x I C g 0 K S 9 B d X R v U m V t b 3 Z l Z E N v b H V t b n M x L n t N Y X I g M j A y M i w x M X 0 m c X V v d D s s J n F 1 b 3 Q 7 U 2 V j d G l v b j E v V G F i b G U g M S A o N C k v Q X V 0 b 1 J l b W 9 2 Z W R D b 2 x 1 b W 5 z M S 5 7 T W F y I D I w M j M s M T J 9 J n F 1 b 3 Q 7 L C Z x d W 9 0 O 1 N l Y 3 R p b 2 4 x L 1 R h Y m x l I D E g K D Q p L 0 F 1 d G 9 S Z W 1 v d m V k Q 2 9 s d W 1 u c z E u e 1 R U T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E g K D Q p L 0 F 1 d G 9 S Z W 1 v d m V k Q 2 9 s d W 1 u c z E u e 0 N v b H V t b j E s M H 0 m c X V v d D s s J n F 1 b 3 Q 7 U 2 V j d G l v b j E v V G F i b G U g M S A o N C k v Q X V 0 b 1 J l b W 9 2 Z W R D b 2 x 1 b W 5 z M S 5 7 T W F y I D I w M T I s M X 0 m c X V v d D s s J n F 1 b 3 Q 7 U 2 V j d G l v b j E v V G F i b G U g M S A o N C k v Q X V 0 b 1 J l b W 9 2 Z W R D b 2 x 1 b W 5 z M S 5 7 T W F y I D I w M T M s M n 0 m c X V v d D s s J n F 1 b 3 Q 7 U 2 V j d G l v b j E v V G F i b G U g M S A o N C k v Q X V 0 b 1 J l b W 9 2 Z W R D b 2 x 1 b W 5 z M S 5 7 T W F y I D I w M T Q s M 3 0 m c X V v d D s s J n F 1 b 3 Q 7 U 2 V j d G l v b j E v V G F i b G U g M S A o N C k v Q X V 0 b 1 J l b W 9 2 Z W R D b 2 x 1 b W 5 z M S 5 7 T W F y I D I w M T U s N H 0 m c X V v d D s s J n F 1 b 3 Q 7 U 2 V j d G l v b j E v V G F i b G U g M S A o N C k v Q X V 0 b 1 J l b W 9 2 Z W R D b 2 x 1 b W 5 z M S 5 7 T W F y I D I w M T Y s N X 0 m c X V v d D s s J n F 1 b 3 Q 7 U 2 V j d G l v b j E v V G F i b G U g M S A o N C k v Q X V 0 b 1 J l b W 9 2 Z W R D b 2 x 1 b W 5 z M S 5 7 T W F y I D I w M T c s N n 0 m c X V v d D s s J n F 1 b 3 Q 7 U 2 V j d G l v b j E v V G F i b G U g M S A o N C k v Q X V 0 b 1 J l b W 9 2 Z W R D b 2 x 1 b W 5 z M S 5 7 T W F y I D I w M T g s N 3 0 m c X V v d D s s J n F 1 b 3 Q 7 U 2 V j d G l v b j E v V G F i b G U g M S A o N C k v Q X V 0 b 1 J l b W 9 2 Z W R D b 2 x 1 b W 5 z M S 5 7 T W F y I D I w M T k s O H 0 m c X V v d D s s J n F 1 b 3 Q 7 U 2 V j d G l v b j E v V G F i b G U g M S A o N C k v Q X V 0 b 1 J l b W 9 2 Z W R D b 2 x 1 b W 5 z M S 5 7 T W F y I D I w M j A s O X 0 m c X V v d D s s J n F 1 b 3 Q 7 U 2 V j d G l v b j E v V G F i b G U g M S A o N C k v Q X V 0 b 1 J l b W 9 2 Z W R D b 2 x 1 b W 5 z M S 5 7 T W F y I D I w M j E s M T B 9 J n F 1 b 3 Q 7 L C Z x d W 9 0 O 1 N l Y 3 R p b 2 4 x L 1 R h Y m x l I D E g K D Q p L 0 F 1 d G 9 S Z W 1 v d m V k Q 2 9 s d W 1 u c z E u e 0 1 h c i A y M D I y L D E x f S Z x d W 9 0 O y w m c X V v d D t T Z W N 0 a W 9 u M S 9 U Y W J s Z S A x I C g 0 K S 9 B d X R v U m V t b 3 Z l Z E N v b H V t b n M x L n t N Y X I g M j A y M y w x M n 0 m c X V v d D s s J n F 1 b 3 Q 7 U 2 V j d G l v b j E v V G F i b G U g M S A o N C k v Q X V 0 b 1 J l b W 9 2 Z W R D b 2 x 1 b W 5 z M S 5 7 V F R N L D E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4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S 9 E Y X R h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l F 1 Z X J 5 S U Q i I F Z h b H V l P S J z Z T l j N D V m Z j E t N T h j M C 0 0 Y z N j L W E 5 O W I t M 2 Y 3 Y z k 1 N D E z M z A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F Q y M z o z M j o 1 M i 4 5 O T Q z O T U 3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Q X V 0 b 1 J l b W 9 2 Z W R D b 2 x 1 b W 5 z M S 5 7 Q 2 9 s d W 1 u M S w w f S Z x d W 9 0 O y w m c X V v d D t T Z W N 0 a W 9 u M S 9 U Y W J s Z S A y L 0 F 1 d G 9 S Z W 1 v d m V k Q 2 9 s d W 1 u c z E u e 0 N v b H V t b j I s M X 0 m c X V v d D s s J n F 1 b 3 Q 7 U 2 V j d G l v b j E v V G F i b G U g M i 9 B d X R v U m V t b 3 Z l Z E N v b H V t b n M x L n t D b 2 x 1 b W 4 z L D J 9 J n F 1 b 3 Q 7 L C Z x d W 9 0 O 1 N l Y 3 R p b 2 4 x L 1 R h Y m x l I D I v Q X V 0 b 1 J l b W 9 2 Z W R D b 2 x 1 b W 5 z M S 5 7 Q 2 9 s d W 1 u N C w z f S Z x d W 9 0 O y w m c X V v d D t T Z W N 0 a W 9 u M S 9 U Y W J s Z S A y L 0 F 1 d G 9 S Z W 1 v d m V k Q 2 9 s d W 1 u c z E u e 0 N v b H V t b j U s N H 0 m c X V v d D s s J n F 1 b 3 Q 7 U 2 V j d G l v b j E v V G F i b G U g M i 9 B d X R v U m V t b 3 Z l Z E N v b H V t b n M x L n t D b 2 x 1 b W 4 2 L D V 9 J n F 1 b 3 Q 7 L C Z x d W 9 0 O 1 N l Y 3 R p b 2 4 x L 1 R h Y m x l I D I v Q X V 0 b 1 J l b W 9 2 Z W R D b 2 x 1 b W 5 z M S 5 7 Q 2 9 s d W 1 u N y w 2 f S Z x d W 9 0 O y w m c X V v d D t T Z W N 0 a W 9 u M S 9 U Y W J s Z S A y L 0 F 1 d G 9 S Z W 1 v d m V k Q 2 9 s d W 1 u c z E u e 0 N v b H V t b j g s N 3 0 m c X V v d D s s J n F 1 b 3 Q 7 U 2 V j d G l v b j E v V G F i b G U g M i 9 B d X R v U m V t b 3 Z l Z E N v b H V t b n M x L n t D b 2 x 1 b W 4 5 L D h 9 J n F 1 b 3 Q 7 L C Z x d W 9 0 O 1 N l Y 3 R p b 2 4 x L 1 R h Y m x l I D I v Q X V 0 b 1 J l b W 9 2 Z W R D b 2 x 1 b W 5 z M S 5 7 Q 2 9 s d W 1 u M T A s O X 0 m c X V v d D s s J n F 1 b 3 Q 7 U 2 V j d G l v b j E v V G F i b G U g M i 9 B d X R v U m V t b 3 Z l Z E N v b H V t b n M x L n t D b 2 x 1 b W 4 x M S w x M H 0 m c X V v d D s s J n F 1 b 3 Q 7 U 2 V j d G l v b j E v V G F i b G U g M i 9 B d X R v U m V t b 3 Z l Z E N v b H V t b n M x L n t D b 2 x 1 b W 4 x M i w x M X 0 m c X V v d D s s J n F 1 b 3 Q 7 U 2 V j d G l v b j E v V G F i b G U g M i 9 B d X R v U m V t b 3 Z l Z E N v b H V t b n M x L n t D b 2 x 1 b W 4 x M y w x M n 0 m c X V v d D s s J n F 1 b 3 Q 7 U 2 V j d G l v b j E v V G F i b G U g M i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I v Q X V 0 b 1 J l b W 9 2 Z W R D b 2 x 1 b W 5 z M S 5 7 Q 2 9 s d W 1 u M S w w f S Z x d W 9 0 O y w m c X V v d D t T Z W N 0 a W 9 u M S 9 U Y W J s Z S A y L 0 F 1 d G 9 S Z W 1 v d m V k Q 2 9 s d W 1 u c z E u e 0 N v b H V t b j I s M X 0 m c X V v d D s s J n F 1 b 3 Q 7 U 2 V j d G l v b j E v V G F i b G U g M i 9 B d X R v U m V t b 3 Z l Z E N v b H V t b n M x L n t D b 2 x 1 b W 4 z L D J 9 J n F 1 b 3 Q 7 L C Z x d W 9 0 O 1 N l Y 3 R p b 2 4 x L 1 R h Y m x l I D I v Q X V 0 b 1 J l b W 9 2 Z W R D b 2 x 1 b W 5 z M S 5 7 Q 2 9 s d W 1 u N C w z f S Z x d W 9 0 O y w m c X V v d D t T Z W N 0 a W 9 u M S 9 U Y W J s Z S A y L 0 F 1 d G 9 S Z W 1 v d m V k Q 2 9 s d W 1 u c z E u e 0 N v b H V t b j U s N H 0 m c X V v d D s s J n F 1 b 3 Q 7 U 2 V j d G l v b j E v V G F i b G U g M i 9 B d X R v U m V t b 3 Z l Z E N v b H V t b n M x L n t D b 2 x 1 b W 4 2 L D V 9 J n F 1 b 3 Q 7 L C Z x d W 9 0 O 1 N l Y 3 R p b 2 4 x L 1 R h Y m x l I D I v Q X V 0 b 1 J l b W 9 2 Z W R D b 2 x 1 b W 5 z M S 5 7 Q 2 9 s d W 1 u N y w 2 f S Z x d W 9 0 O y w m c X V v d D t T Z W N 0 a W 9 u M S 9 U Y W J s Z S A y L 0 F 1 d G 9 S Z W 1 v d m V k Q 2 9 s d W 1 u c z E u e 0 N v b H V t b j g s N 3 0 m c X V v d D s s J n F 1 b 3 Q 7 U 2 V j d G l v b j E v V G F i b G U g M i 9 B d X R v U m V t b 3 Z l Z E N v b H V t b n M x L n t D b 2 x 1 b W 4 5 L D h 9 J n F 1 b 3 Q 7 L C Z x d W 9 0 O 1 N l Y 3 R p b 2 4 x L 1 R h Y m x l I D I v Q X V 0 b 1 J l b W 9 2 Z W R D b 2 x 1 b W 5 z M S 5 7 Q 2 9 s d W 1 u M T A s O X 0 m c X V v d D s s J n F 1 b 3 Q 7 U 2 V j d G l v b j E v V G F i b G U g M i 9 B d X R v U m V t b 3 Z l Z E N v b H V t b n M x L n t D b 2 x 1 b W 4 x M S w x M H 0 m c X V v d D s s J n F 1 b 3 Q 7 U 2 V j d G l v b j E v V G F i b G U g M i 9 B d X R v U m V t b 3 Z l Z E N v b H V t b n M x L n t D b 2 x 1 b W 4 x M i w x M X 0 m c X V v d D s s J n F 1 b 3 Q 7 U 2 V j d G l v b j E v V G F i b G U g M i 9 B d X R v U m V t b 3 Z l Z E N v b H V t b n M x L n t D b 2 x 1 b W 4 x M y w x M n 0 m c X V v d D s s J n F 1 b 3 Q 7 U 2 V j d G l v b j E v V G F i b G U g M i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T w v S X R l b V B h d G g + P C 9 J d G V t T G 9 j Y X R p b 2 4 + P F N 0 Y W J s Z U V u d H J p Z X M + P E V u d H J 5 I F R 5 c G U 9 I l F 1 Z X J 5 S U Q i I F Z h b H V l P S J z M j I 3 O G I 5 O W Y t M D M 2 Y i 0 0 N j d h L T l l M G Q t M D V h Y W V j N G E 5 M T E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w V D I z O j M 0 O j E 4 L j E 2 M z Y 1 M D N a I i A v P j x F b n R y e S B U e X B l P S J G a W x s Q 2 9 s d W 1 u V H l w Z X M i I F Z h b H V l P S J z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M i k v Q X V 0 b 1 J l b W 9 2 Z W R D b 2 x 1 b W 5 z M S 5 7 Q 2 9 s d W 1 u M S w w f S Z x d W 9 0 O y w m c X V v d D t T Z W N 0 a W 9 u M S 9 U Y W J s Z S A y I C g y K S 9 B d X R v U m V t b 3 Z l Z E N v b H V t b n M x L n t D b 2 x 1 b W 4 y L D F 9 J n F 1 b 3 Q 7 L C Z x d W 9 0 O 1 N l Y 3 R p b 2 4 x L 1 R h Y m x l I D I g K D I p L 0 F 1 d G 9 S Z W 1 v d m V k Q 2 9 s d W 1 u c z E u e 0 N v b H V t b j M s M n 0 m c X V v d D s s J n F 1 b 3 Q 7 U 2 V j d G l v b j E v V G F i b G U g M i A o M i k v Q X V 0 b 1 J l b W 9 2 Z W R D b 2 x 1 b W 5 z M S 5 7 Q 2 9 s d W 1 u N C w z f S Z x d W 9 0 O y w m c X V v d D t T Z W N 0 a W 9 u M S 9 U Y W J s Z S A y I C g y K S 9 B d X R v U m V t b 3 Z l Z E N v b H V t b n M x L n t D b 2 x 1 b W 4 1 L D R 9 J n F 1 b 3 Q 7 L C Z x d W 9 0 O 1 N l Y 3 R p b 2 4 x L 1 R h Y m x l I D I g K D I p L 0 F 1 d G 9 S Z W 1 v d m V k Q 2 9 s d W 1 u c z E u e 0 N v b H V t b j Y s N X 0 m c X V v d D s s J n F 1 b 3 Q 7 U 2 V j d G l v b j E v V G F i b G U g M i A o M i k v Q X V 0 b 1 J l b W 9 2 Z W R D b 2 x 1 b W 5 z M S 5 7 Q 2 9 s d W 1 u N y w 2 f S Z x d W 9 0 O y w m c X V v d D t T Z W N 0 a W 9 u M S 9 U Y W J s Z S A y I C g y K S 9 B d X R v U m V t b 3 Z l Z E N v b H V t b n M x L n t D b 2 x 1 b W 4 4 L D d 9 J n F 1 b 3 Q 7 L C Z x d W 9 0 O 1 N l Y 3 R p b 2 4 x L 1 R h Y m x l I D I g K D I p L 0 F 1 d G 9 S Z W 1 v d m V k Q 2 9 s d W 1 u c z E u e 0 N v b H V t b j k s O H 0 m c X V v d D s s J n F 1 b 3 Q 7 U 2 V j d G l v b j E v V G F i b G U g M i A o M i k v Q X V 0 b 1 J l b W 9 2 Z W R D b 2 x 1 b W 5 z M S 5 7 Q 2 9 s d W 1 u M T A s O X 0 m c X V v d D s s J n F 1 b 3 Q 7 U 2 V j d G l v b j E v V G F i b G U g M i A o M i k v Q X V 0 b 1 J l b W 9 2 Z W R D b 2 x 1 b W 5 z M S 5 7 Q 2 9 s d W 1 u M T E s M T B 9 J n F 1 b 3 Q 7 L C Z x d W 9 0 O 1 N l Y 3 R p b 2 4 x L 1 R h Y m x l I D I g K D I p L 0 F 1 d G 9 S Z W 1 v d m V k Q 2 9 s d W 1 u c z E u e 0 N v b H V t b j E y L D E x f S Z x d W 9 0 O y w m c X V v d D t T Z W N 0 a W 9 u M S 9 U Y W J s Z S A y I C g y K S 9 B d X R v U m V t b 3 Z l Z E N v b H V t b n M x L n t D b 2 x 1 b W 4 x M y w x M n 0 m c X V v d D s s J n F 1 b 3 Q 7 U 2 V j d G l v b j E v V G F i b G U g M i A o M i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y I C g y K S 9 B d X R v U m V t b 3 Z l Z E N v b H V t b n M x L n t D b 2 x 1 b W 4 x L D B 9 J n F 1 b 3 Q 7 L C Z x d W 9 0 O 1 N l Y 3 R p b 2 4 x L 1 R h Y m x l I D I g K D I p L 0 F 1 d G 9 S Z W 1 v d m V k Q 2 9 s d W 1 u c z E u e 0 N v b H V t b j I s M X 0 m c X V v d D s s J n F 1 b 3 Q 7 U 2 V j d G l v b j E v V G F i b G U g M i A o M i k v Q X V 0 b 1 J l b W 9 2 Z W R D b 2 x 1 b W 5 z M S 5 7 Q 2 9 s d W 1 u M y w y f S Z x d W 9 0 O y w m c X V v d D t T Z W N 0 a W 9 u M S 9 U Y W J s Z S A y I C g y K S 9 B d X R v U m V t b 3 Z l Z E N v b H V t b n M x L n t D b 2 x 1 b W 4 0 L D N 9 J n F 1 b 3 Q 7 L C Z x d W 9 0 O 1 N l Y 3 R p b 2 4 x L 1 R h Y m x l I D I g K D I p L 0 F 1 d G 9 S Z W 1 v d m V k Q 2 9 s d W 1 u c z E u e 0 N v b H V t b j U s N H 0 m c X V v d D s s J n F 1 b 3 Q 7 U 2 V j d G l v b j E v V G F i b G U g M i A o M i k v Q X V 0 b 1 J l b W 9 2 Z W R D b 2 x 1 b W 5 z M S 5 7 Q 2 9 s d W 1 u N i w 1 f S Z x d W 9 0 O y w m c X V v d D t T Z W N 0 a W 9 u M S 9 U Y W J s Z S A y I C g y K S 9 B d X R v U m V t b 3 Z l Z E N v b H V t b n M x L n t D b 2 x 1 b W 4 3 L D Z 9 J n F 1 b 3 Q 7 L C Z x d W 9 0 O 1 N l Y 3 R p b 2 4 x L 1 R h Y m x l I D I g K D I p L 0 F 1 d G 9 S Z W 1 v d m V k Q 2 9 s d W 1 u c z E u e 0 N v b H V t b j g s N 3 0 m c X V v d D s s J n F 1 b 3 Q 7 U 2 V j d G l v b j E v V G F i b G U g M i A o M i k v Q X V 0 b 1 J l b W 9 2 Z W R D b 2 x 1 b W 5 z M S 5 7 Q 2 9 s d W 1 u O S w 4 f S Z x d W 9 0 O y w m c X V v d D t T Z W N 0 a W 9 u M S 9 U Y W J s Z S A y I C g y K S 9 B d X R v U m V t b 3 Z l Z E N v b H V t b n M x L n t D b 2 x 1 b W 4 x M C w 5 f S Z x d W 9 0 O y w m c X V v d D t T Z W N 0 a W 9 u M S 9 U Y W J s Z S A y I C g y K S 9 B d X R v U m V t b 3 Z l Z E N v b H V t b n M x L n t D b 2 x 1 b W 4 x M S w x M H 0 m c X V v d D s s J n F 1 b 3 Q 7 U 2 V j d G l v b j E v V G F i b G U g M i A o M i k v Q X V 0 b 1 J l b W 9 2 Z W R D b 2 x 1 b W 5 z M S 5 7 Q 2 9 s d W 1 u M T I s M T F 9 J n F 1 b 3 Q 7 L C Z x d W 9 0 O 1 N l Y 3 R p b 2 4 x L 1 R h Y m x l I D I g K D I p L 0 F 1 d G 9 S Z W 1 v d m V k Q 2 9 s d W 1 u c z E u e 0 N v b H V t b j E z L D E y f S Z x d W 9 0 O y w m c X V v d D t T Z W N 0 a W 9 u M S 9 U Y W J s Z S A y I C g y K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C U y M C g y K T w v S X R l b V B h d G g + P C 9 J d G V t T G 9 j Y X R p b 2 4 + P F N 0 Y W J s Z U V u d H J p Z X M + P E V u d H J 5 I F R 5 c G U 9 I l F 1 Z X J 5 S U Q i I F Z h b H V l P S J z Y 2 Q 3 Z T M 1 Z D Y t Z j I 0 O C 0 0 Z j Y 3 L T h j Z j k t Z T E 0 O T F m Z T Z h Y m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4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x V D E w O j M 4 O j U 4 L j U 3 N T A 4 O D J a I i A v P j x F b n R y e S B U e X B l P S J G a W x s Q 2 9 s d W 1 u V H l w Z X M i I F Z h b H V l P S J z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O C A o M i k v Q X V 0 b 1 J l b W 9 2 Z W R D b 2 x 1 b W 5 z M S 5 7 Q 2 9 s d W 1 u M S w w f S Z x d W 9 0 O y w m c X V v d D t T Z W N 0 a W 9 u M S 9 U Y W J s Z S A 4 I C g y K S 9 B d X R v U m V t b 3 Z l Z E N v b H V t b n M x L n t D b 2 x 1 b W 4 y L D F 9 J n F 1 b 3 Q 7 L C Z x d W 9 0 O 1 N l Y 3 R p b 2 4 x L 1 R h Y m x l I D g g K D I p L 0 F 1 d G 9 S Z W 1 v d m V k Q 2 9 s d W 1 u c z E u e 0 N v b H V t b j M s M n 0 m c X V v d D s s J n F 1 b 3 Q 7 U 2 V j d G l v b j E v V G F i b G U g O C A o M i k v Q X V 0 b 1 J l b W 9 2 Z W R D b 2 x 1 b W 5 z M S 5 7 Q 2 9 s d W 1 u N C w z f S Z x d W 9 0 O y w m c X V v d D t T Z W N 0 a W 9 u M S 9 U Y W J s Z S A 4 I C g y K S 9 B d X R v U m V t b 3 Z l Z E N v b H V t b n M x L n t D b 2 x 1 b W 4 1 L D R 9 J n F 1 b 3 Q 7 L C Z x d W 9 0 O 1 N l Y 3 R p b 2 4 x L 1 R h Y m x l I D g g K D I p L 0 F 1 d G 9 S Z W 1 v d m V k Q 2 9 s d W 1 u c z E u e 0 N v b H V t b j Y s N X 0 m c X V v d D s s J n F 1 b 3 Q 7 U 2 V j d G l v b j E v V G F i b G U g O C A o M i k v Q X V 0 b 1 J l b W 9 2 Z W R D b 2 x 1 b W 5 z M S 5 7 Q 2 9 s d W 1 u N y w 2 f S Z x d W 9 0 O y w m c X V v d D t T Z W N 0 a W 9 u M S 9 U Y W J s Z S A 4 I C g y K S 9 B d X R v U m V t b 3 Z l Z E N v b H V t b n M x L n t D b 2 x 1 b W 4 4 L D d 9 J n F 1 b 3 Q 7 L C Z x d W 9 0 O 1 N l Y 3 R p b 2 4 x L 1 R h Y m x l I D g g K D I p L 0 F 1 d G 9 S Z W 1 v d m V k Q 2 9 s d W 1 u c z E u e 0 N v b H V t b j k s O H 0 m c X V v d D s s J n F 1 b 3 Q 7 U 2 V j d G l v b j E v V G F i b G U g O C A o M i k v Q X V 0 b 1 J l b W 9 2 Z W R D b 2 x 1 b W 5 z M S 5 7 Q 2 9 s d W 1 u M T A s O X 0 m c X V v d D s s J n F 1 b 3 Q 7 U 2 V j d G l v b j E v V G F i b G U g O C A o M i k v Q X V 0 b 1 J l b W 9 2 Z W R D b 2 x 1 b W 5 z M S 5 7 Q 2 9 s d W 1 u M T E s M T B 9 J n F 1 b 3 Q 7 L C Z x d W 9 0 O 1 N l Y 3 R p b 2 4 x L 1 R h Y m x l I D g g K D I p L 0 F 1 d G 9 S Z W 1 v d m V k Q 2 9 s d W 1 u c z E u e 0 N v b H V t b j E y L D E x f S Z x d W 9 0 O y w m c X V v d D t T Z W N 0 a W 9 u M S 9 U Y W J s Z S A 4 I C g y K S 9 B d X R v U m V t b 3 Z l Z E N v b H V t b n M x L n t D b 2 x 1 b W 4 x M y w x M n 0 m c X V v d D s s J n F 1 b 3 Q 7 U 2 V j d G l v b j E v V G F i b G U g O C A o M i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4 I C g y K S 9 B d X R v U m V t b 3 Z l Z E N v b H V t b n M x L n t D b 2 x 1 b W 4 x L D B 9 J n F 1 b 3 Q 7 L C Z x d W 9 0 O 1 N l Y 3 R p b 2 4 x L 1 R h Y m x l I D g g K D I p L 0 F 1 d G 9 S Z W 1 v d m V k Q 2 9 s d W 1 u c z E u e 0 N v b H V t b j I s M X 0 m c X V v d D s s J n F 1 b 3 Q 7 U 2 V j d G l v b j E v V G F i b G U g O C A o M i k v Q X V 0 b 1 J l b W 9 2 Z W R D b 2 x 1 b W 5 z M S 5 7 Q 2 9 s d W 1 u M y w y f S Z x d W 9 0 O y w m c X V v d D t T Z W N 0 a W 9 u M S 9 U Y W J s Z S A 4 I C g y K S 9 B d X R v U m V t b 3 Z l Z E N v b H V t b n M x L n t D b 2 x 1 b W 4 0 L D N 9 J n F 1 b 3 Q 7 L C Z x d W 9 0 O 1 N l Y 3 R p b 2 4 x L 1 R h Y m x l I D g g K D I p L 0 F 1 d G 9 S Z W 1 v d m V k Q 2 9 s d W 1 u c z E u e 0 N v b H V t b j U s N H 0 m c X V v d D s s J n F 1 b 3 Q 7 U 2 V j d G l v b j E v V G F i b G U g O C A o M i k v Q X V 0 b 1 J l b W 9 2 Z W R D b 2 x 1 b W 5 z M S 5 7 Q 2 9 s d W 1 u N i w 1 f S Z x d W 9 0 O y w m c X V v d D t T Z W N 0 a W 9 u M S 9 U Y W J s Z S A 4 I C g y K S 9 B d X R v U m V t b 3 Z l Z E N v b H V t b n M x L n t D b 2 x 1 b W 4 3 L D Z 9 J n F 1 b 3 Q 7 L C Z x d W 9 0 O 1 N l Y 3 R p b 2 4 x L 1 R h Y m x l I D g g K D I p L 0 F 1 d G 9 S Z W 1 v d m V k Q 2 9 s d W 1 u c z E u e 0 N v b H V t b j g s N 3 0 m c X V v d D s s J n F 1 b 3 Q 7 U 2 V j d G l v b j E v V G F i b G U g O C A o M i k v Q X V 0 b 1 J l b W 9 2 Z W R D b 2 x 1 b W 5 z M S 5 7 Q 2 9 s d W 1 u O S w 4 f S Z x d W 9 0 O y w m c X V v d D t T Z W N 0 a W 9 u M S 9 U Y W J s Z S A 4 I C g y K S 9 B d X R v U m V t b 3 Z l Z E N v b H V t b n M x L n t D b 2 x 1 b W 4 x M C w 5 f S Z x d W 9 0 O y w m c X V v d D t T Z W N 0 a W 9 u M S 9 U Y W J s Z S A 4 I C g y K S 9 B d X R v U m V t b 3 Z l Z E N v b H V t b n M x L n t D b 2 x 1 b W 4 x M S w x M H 0 m c X V v d D s s J n F 1 b 3 Q 7 U 2 V j d G l v b j E v V G F i b G U g O C A o M i k v Q X V 0 b 1 J l b W 9 2 Z W R D b 2 x 1 b W 5 z M S 5 7 Q 2 9 s d W 1 u M T I s M T F 9 J n F 1 b 3 Q 7 L C Z x d W 9 0 O 1 N l Y 3 R p b 2 4 x L 1 R h Y m x l I D g g K D I p L 0 F 1 d G 9 S Z W 1 v d m V k Q 2 9 s d W 1 u c z E u e 0 N v b H V t b j E z L D E y f S Z x d W 9 0 O y w m c X V v d D t T Z W N 0 a W 9 u M S 9 U Y W J s Z S A 4 I C g y K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g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T w v S X R l b V B h d G g + P C 9 J d G V t T G 9 j Y X R p b 2 4 + P F N 0 Y W J s Z U V u d H J p Z X M + P E V u d H J 5 I F R 5 c G U 9 I l F 1 Z X J 5 S U Q i I F Z h b H V l P S J z O T d k Z W J l N m Q t Z j g z Z S 0 0 M D F h L W J k M 2 U t O T Q 5 Z D B m O D h l N z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h U M D Q 6 M D k 6 M j M u N T k x M z I 4 N V o i I C 8 + P E V u d H J 5 I F R 5 c G U 9 I k Z p b G x D b 2 x 1 b W 5 U e X B l c y I g V m F s d W U 9 I n N B d 1 l G Q l F V R k J R V U Z C U V U 9 I i A v P j x F b n R y e S B U e X B l P S J G a W x s Q 2 9 s d W 1 u T m F t Z X M i I F Z h b H V l P S J z W y Z x d W 9 0 O 1 M u T m 8 u J n F 1 b 3 Q 7 L C Z x d W 9 0 O 0 5 h b W U m c X V v d D s s J n F 1 b 3 Q 7 Q 0 1 Q X G 4 g I C A g I C A g I C A g I C A g I C A g I C B S c y 4 m c X V v d D s s J n F 1 b 3 Q 7 U C 9 F J n F 1 b 3 Q 7 L C Z x d W 9 0 O 0 1 h c i B D Y X B c b i A g I C A g I C A g I C A g I C A g I C A g I F J z L k N y L i Z x d W 9 0 O y w m c X V v d D t E a X Y g W W x k X G 4 g I C A g I C A g I C A g I C A g I C A g I C A l J n F 1 b 3 Q 7 L C Z x d W 9 0 O 0 5 Q I F F 0 c l x u I C A g I C A g I C A g I C A g I C A g I C A g U n M u Q 3 I u J n F 1 b 3 Q 7 L C Z x d W 9 0 O 1 F 0 c i B Q c m 9 m a X Q g V m F y X G 4 g I C A g I C A g I C A g I C A g I C A g I C A l J n F 1 b 3 Q 7 L C Z x d W 9 0 O 1 N h b G V z I F F 0 c l x u I C A g I C A g I C A g I C A g I C A g I C A g U n M u Q 3 I u J n F 1 b 3 Q 7 L C Z x d W 9 0 O 1 F 0 c i B T Y W x l c y B W Y X J c b i A g I C A g I C A g I C A g I C A g I C A g I C U m c X V v d D s s J n F 1 b 3 Q 7 U k 9 D R V x u I C A g I C A g I C A g I C A g I C A g I C A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1 K S 9 B d X R v U m V t b 3 Z l Z E N v b H V t b n M x L n t T L k 5 v L i w w f S Z x d W 9 0 O y w m c X V v d D t T Z W N 0 a W 9 u M S 9 U Y W J s Z S A x I C g 1 K S 9 B d X R v U m V t b 3 Z l Z E N v b H V t b n M x L n t O Y W 1 l L D F 9 J n F 1 b 3 Q 7 L C Z x d W 9 0 O 1 N l Y 3 R p b 2 4 x L 1 R h Y m x l I D E g K D U p L 0 F 1 d G 9 S Z W 1 v d m V k Q 2 9 s d W 1 u c z E u e 0 N N U F x u I C A g I C A g I C A g I C A g I C A g I C A g U n M u L D J 9 J n F 1 b 3 Q 7 L C Z x d W 9 0 O 1 N l Y 3 R p b 2 4 x L 1 R h Y m x l I D E g K D U p L 0 F 1 d G 9 S Z W 1 v d m V k Q 2 9 s d W 1 u c z E u e 1 A v R S w z f S Z x d W 9 0 O y w m c X V v d D t T Z W N 0 a W 9 u M S 9 U Y W J s Z S A x I C g 1 K S 9 B d X R v U m V t b 3 Z l Z E N v b H V t b n M x L n t N Y X I g Q 2 F w X G 4 g I C A g I C A g I C A g I C A g I C A g I C B S c y 5 D c i 4 s N H 0 m c X V v d D s s J n F 1 b 3 Q 7 U 2 V j d G l v b j E v V G F i b G U g M S A o N S k v Q X V 0 b 1 J l b W 9 2 Z W R D b 2 x 1 b W 5 z M S 5 7 R G l 2 I F l s Z F x u I C A g I C A g I C A g I C A g I C A g I C A g J S w 1 f S Z x d W 9 0 O y w m c X V v d D t T Z W N 0 a W 9 u M S 9 U Y W J s Z S A x I C g 1 K S 9 B d X R v U m V t b 3 Z l Z E N v b H V t b n M x L n t O U C B R d H J c b i A g I C A g I C A g I C A g I C A g I C A g I F J z L k N y L i w 2 f S Z x d W 9 0 O y w m c X V v d D t T Z W N 0 a W 9 u M S 9 U Y W J s Z S A x I C g 1 K S 9 B d X R v U m V t b 3 Z l Z E N v b H V t b n M x L n t R d H I g U H J v Z m l 0 I F Z h c l x u I C A g I C A g I C A g I C A g I C A g I C A g J S w 3 f S Z x d W 9 0 O y w m c X V v d D t T Z W N 0 a W 9 u M S 9 U Y W J s Z S A x I C g 1 K S 9 B d X R v U m V t b 3 Z l Z E N v b H V t b n M x L n t T Y W x l c y B R d H J c b i A g I C A g I C A g I C A g I C A g I C A g I F J z L k N y L i w 4 f S Z x d W 9 0 O y w m c X V v d D t T Z W N 0 a W 9 u M S 9 U Y W J s Z S A x I C g 1 K S 9 B d X R v U m V t b 3 Z l Z E N v b H V t b n M x L n t R d H I g U 2 F s Z X M g V m F y X G 4 g I C A g I C A g I C A g I C A g I C A g I C A l L D l 9 J n F 1 b 3 Q 7 L C Z x d W 9 0 O 1 N l Y 3 R p b 2 4 x L 1 R h Y m x l I D E g K D U p L 0 F 1 d G 9 S Z W 1 v d m V k Q 2 9 s d W 1 u c z E u e 1 J P Q 0 V c b i A g I C A g I C A g I C A g I C A g I C A g I C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x I C g 1 K S 9 B d X R v U m V t b 3 Z l Z E N v b H V t b n M x L n t T L k 5 v L i w w f S Z x d W 9 0 O y w m c X V v d D t T Z W N 0 a W 9 u M S 9 U Y W J s Z S A x I C g 1 K S 9 B d X R v U m V t b 3 Z l Z E N v b H V t b n M x L n t O Y W 1 l L D F 9 J n F 1 b 3 Q 7 L C Z x d W 9 0 O 1 N l Y 3 R p b 2 4 x L 1 R h Y m x l I D E g K D U p L 0 F 1 d G 9 S Z W 1 v d m V k Q 2 9 s d W 1 u c z E u e 0 N N U F x u I C A g I C A g I C A g I C A g I C A g I C A g U n M u L D J 9 J n F 1 b 3 Q 7 L C Z x d W 9 0 O 1 N l Y 3 R p b 2 4 x L 1 R h Y m x l I D E g K D U p L 0 F 1 d G 9 S Z W 1 v d m V k Q 2 9 s d W 1 u c z E u e 1 A v R S w z f S Z x d W 9 0 O y w m c X V v d D t T Z W N 0 a W 9 u M S 9 U Y W J s Z S A x I C g 1 K S 9 B d X R v U m V t b 3 Z l Z E N v b H V t b n M x L n t N Y X I g Q 2 F w X G 4 g I C A g I C A g I C A g I C A g I C A g I C B S c y 5 D c i 4 s N H 0 m c X V v d D s s J n F 1 b 3 Q 7 U 2 V j d G l v b j E v V G F i b G U g M S A o N S k v Q X V 0 b 1 J l b W 9 2 Z W R D b 2 x 1 b W 5 z M S 5 7 R G l 2 I F l s Z F x u I C A g I C A g I C A g I C A g I C A g I C A g J S w 1 f S Z x d W 9 0 O y w m c X V v d D t T Z W N 0 a W 9 u M S 9 U Y W J s Z S A x I C g 1 K S 9 B d X R v U m V t b 3 Z l Z E N v b H V t b n M x L n t O U C B R d H J c b i A g I C A g I C A g I C A g I C A g I C A g I F J z L k N y L i w 2 f S Z x d W 9 0 O y w m c X V v d D t T Z W N 0 a W 9 u M S 9 U Y W J s Z S A x I C g 1 K S 9 B d X R v U m V t b 3 Z l Z E N v b H V t b n M x L n t R d H I g U H J v Z m l 0 I F Z h c l x u I C A g I C A g I C A g I C A g I C A g I C A g J S w 3 f S Z x d W 9 0 O y w m c X V v d D t T Z W N 0 a W 9 u M S 9 U Y W J s Z S A x I C g 1 K S 9 B d X R v U m V t b 3 Z l Z E N v b H V t b n M x L n t T Y W x l c y B R d H J c b i A g I C A g I C A g I C A g I C A g I C A g I F J z L k N y L i w 4 f S Z x d W 9 0 O y w m c X V v d D t T Z W N 0 a W 9 u M S 9 U Y W J s Z S A x I C g 1 K S 9 B d X R v U m V t b 3 Z l Z E N v b H V t b n M x L n t R d H I g U 2 F s Z X M g V m F y X G 4 g I C A g I C A g I C A g I C A g I C A g I C A l L D l 9 J n F 1 b 3 Q 7 L C Z x d W 9 0 O 1 N l Y 3 R p b 2 4 x L 1 R h Y m x l I D E g K D U p L 0 F 1 d G 9 S Z W 1 v d m V k Q 2 9 s d W 1 u c z E u e 1 J P Q 0 V c b i A g I C A g I C A g I C A g I C A g I C A g I C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U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M p P C 9 J d G V t U G F 0 a D 4 8 L 0 l 0 Z W 1 M b 2 N h d G l v b j 4 8 U 3 R h Y m x l R W 5 0 c m l l c z 4 8 R W 5 0 c n k g V H l w Z T 0 i U X V l c n l J R C I g V m F s d W U 9 I n N l N z V m N j Y 5 Y S 1 m O G V l L T Q 2 O W U t O W N i N C 0 3 M W R i M D M 0 Z W Q 4 N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4 V D A 0 O j E y O j E 1 L j k 5 O T E 5 N j F a I i A v P j x F b n R y e S B U e X B l P S J G a W x s Q 2 9 s d W 1 u V H l w Z X M i I F Z h b H V l P S J z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M y k v Q X V 0 b 1 J l b W 9 2 Z W R D b 2 x 1 b W 5 z M S 5 7 Q 2 9 s d W 1 u M S w w f S Z x d W 9 0 O y w m c X V v d D t T Z W N 0 a W 9 u M S 9 U Y W J s Z S A y I C g z K S 9 B d X R v U m V t b 3 Z l Z E N v b H V t b n M x L n t D b 2 x 1 b W 4 y L D F 9 J n F 1 b 3 Q 7 L C Z x d W 9 0 O 1 N l Y 3 R p b 2 4 x L 1 R h Y m x l I D I g K D M p L 0 F 1 d G 9 S Z W 1 v d m V k Q 2 9 s d W 1 u c z E u e 0 N v b H V t b j M s M n 0 m c X V v d D s s J n F 1 b 3 Q 7 U 2 V j d G l v b j E v V G F i b G U g M i A o M y k v Q X V 0 b 1 J l b W 9 2 Z W R D b 2 x 1 b W 5 z M S 5 7 Q 2 9 s d W 1 u N C w z f S Z x d W 9 0 O y w m c X V v d D t T Z W N 0 a W 9 u M S 9 U Y W J s Z S A y I C g z K S 9 B d X R v U m V t b 3 Z l Z E N v b H V t b n M x L n t D b 2 x 1 b W 4 1 L D R 9 J n F 1 b 3 Q 7 L C Z x d W 9 0 O 1 N l Y 3 R p b 2 4 x L 1 R h Y m x l I D I g K D M p L 0 F 1 d G 9 S Z W 1 v d m V k Q 2 9 s d W 1 u c z E u e 0 N v b H V t b j Y s N X 0 m c X V v d D s s J n F 1 b 3 Q 7 U 2 V j d G l v b j E v V G F i b G U g M i A o M y k v Q X V 0 b 1 J l b W 9 2 Z W R D b 2 x 1 b W 5 z M S 5 7 Q 2 9 s d W 1 u N y w 2 f S Z x d W 9 0 O y w m c X V v d D t T Z W N 0 a W 9 u M S 9 U Y W J s Z S A y I C g z K S 9 B d X R v U m V t b 3 Z l Z E N v b H V t b n M x L n t D b 2 x 1 b W 4 4 L D d 9 J n F 1 b 3 Q 7 L C Z x d W 9 0 O 1 N l Y 3 R p b 2 4 x L 1 R h Y m x l I D I g K D M p L 0 F 1 d G 9 S Z W 1 v d m V k Q 2 9 s d W 1 u c z E u e 0 N v b H V t b j k s O H 0 m c X V v d D s s J n F 1 b 3 Q 7 U 2 V j d G l v b j E v V G F i b G U g M i A o M y k v Q X V 0 b 1 J l b W 9 2 Z W R D b 2 x 1 b W 5 z M S 5 7 Q 2 9 s d W 1 u M T A s O X 0 m c X V v d D s s J n F 1 b 3 Q 7 U 2 V j d G l v b j E v V G F i b G U g M i A o M y k v Q X V 0 b 1 J l b W 9 2 Z W R D b 2 x 1 b W 5 z M S 5 7 Q 2 9 s d W 1 u M T E s M T B 9 J n F 1 b 3 Q 7 L C Z x d W 9 0 O 1 N l Y 3 R p b 2 4 x L 1 R h Y m x l I D I g K D M p L 0 F 1 d G 9 S Z W 1 v d m V k Q 2 9 s d W 1 u c z E u e 0 N v b H V t b j E y L D E x f S Z x d W 9 0 O y w m c X V v d D t T Z W N 0 a W 9 u M S 9 U Y W J s Z S A y I C g z K S 9 B d X R v U m V t b 3 Z l Z E N v b H V t b n M x L n t D b 2 x 1 b W 4 x M y w x M n 0 m c X V v d D s s J n F 1 b 3 Q 7 U 2 V j d G l v b j E v V G F i b G U g M i A o M y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y I C g z K S 9 B d X R v U m V t b 3 Z l Z E N v b H V t b n M x L n t D b 2 x 1 b W 4 x L D B 9 J n F 1 b 3 Q 7 L C Z x d W 9 0 O 1 N l Y 3 R p b 2 4 x L 1 R h Y m x l I D I g K D M p L 0 F 1 d G 9 S Z W 1 v d m V k Q 2 9 s d W 1 u c z E u e 0 N v b H V t b j I s M X 0 m c X V v d D s s J n F 1 b 3 Q 7 U 2 V j d G l v b j E v V G F i b G U g M i A o M y k v Q X V 0 b 1 J l b W 9 2 Z W R D b 2 x 1 b W 5 z M S 5 7 Q 2 9 s d W 1 u M y w y f S Z x d W 9 0 O y w m c X V v d D t T Z W N 0 a W 9 u M S 9 U Y W J s Z S A y I C g z K S 9 B d X R v U m V t b 3 Z l Z E N v b H V t b n M x L n t D b 2 x 1 b W 4 0 L D N 9 J n F 1 b 3 Q 7 L C Z x d W 9 0 O 1 N l Y 3 R p b 2 4 x L 1 R h Y m x l I D I g K D M p L 0 F 1 d G 9 S Z W 1 v d m V k Q 2 9 s d W 1 u c z E u e 0 N v b H V t b j U s N H 0 m c X V v d D s s J n F 1 b 3 Q 7 U 2 V j d G l v b j E v V G F i b G U g M i A o M y k v Q X V 0 b 1 J l b W 9 2 Z W R D b 2 x 1 b W 5 z M S 5 7 Q 2 9 s d W 1 u N i w 1 f S Z x d W 9 0 O y w m c X V v d D t T Z W N 0 a W 9 u M S 9 U Y W J s Z S A y I C g z K S 9 B d X R v U m V t b 3 Z l Z E N v b H V t b n M x L n t D b 2 x 1 b W 4 3 L D Z 9 J n F 1 b 3 Q 7 L C Z x d W 9 0 O 1 N l Y 3 R p b 2 4 x L 1 R h Y m x l I D I g K D M p L 0 F 1 d G 9 S Z W 1 v d m V k Q 2 9 s d W 1 u c z E u e 0 N v b H V t b j g s N 3 0 m c X V v d D s s J n F 1 b 3 Q 7 U 2 V j d G l v b j E v V G F i b G U g M i A o M y k v Q X V 0 b 1 J l b W 9 2 Z W R D b 2 x 1 b W 5 z M S 5 7 Q 2 9 s d W 1 u O S w 4 f S Z x d W 9 0 O y w m c X V v d D t T Z W N 0 a W 9 u M S 9 U Y W J s Z S A y I C g z K S 9 B d X R v U m V t b 3 Z l Z E N v b H V t b n M x L n t D b 2 x 1 b W 4 x M C w 5 f S Z x d W 9 0 O y w m c X V v d D t T Z W N 0 a W 9 u M S 9 U Y W J s Z S A y I C g z K S 9 B d X R v U m V t b 3 Z l Z E N v b H V t b n M x L n t D b 2 x 1 b W 4 x M S w x M H 0 m c X V v d D s s J n F 1 b 3 Q 7 U 2 V j d G l v b j E v V G F i b G U g M i A o M y k v Q X V 0 b 1 J l b W 9 2 Z W R D b 2 x 1 b W 5 z M S 5 7 Q 2 9 s d W 1 u M T I s M T F 9 J n F 1 b 3 Q 7 L C Z x d W 9 0 O 1 N l Y 3 R p b 2 4 x L 1 R h Y m x l I D I g K D M p L 0 F 1 d G 9 S Z W 1 v d m V k Q 2 9 s d W 1 u c z E u e 0 N v b H V t b j E z L D E y f S Z x d W 9 0 O y w m c X V v d D t T Z W N 0 a W 9 u M S 9 U Y W J s Z S A y I C g z K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z w v S X R l b V B h d G g + P C 9 J d G V t T G 9 j Y X R p b 2 4 + P F N 0 Y W J s Z U V u d H J p Z X M + P E V u d H J 5 I F R 5 c G U 9 I l F 1 Z X J 5 S U Q i I F Z h b H V l P S J z M 2 Y 2 Z D c 5 Y T k t N T d k Y y 0 0 N D R m L T k 4 N G M t Z m M z N j A 0 N W J i O W E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O F Q w N D o x N D o w M i 4 5 O D E y M z c 1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X V 0 b 1 J l b W 9 2 Z W R D b 2 x 1 b W 5 z M S 5 7 Q 2 9 s d W 1 u M S w w f S Z x d W 9 0 O y w m c X V v d D t T Z W N 0 a W 9 u M S 9 U Y W J s Z S A z L 0 F 1 d G 9 S Z W 1 v d m V k Q 2 9 s d W 1 u c z E u e 0 N v b H V t b j I s M X 0 m c X V v d D s s J n F 1 b 3 Q 7 U 2 V j d G l v b j E v V G F i b G U g M y 9 B d X R v U m V t b 3 Z l Z E N v b H V t b n M x L n t D b 2 x 1 b W 4 z L D J 9 J n F 1 b 3 Q 7 L C Z x d W 9 0 O 1 N l Y 3 R p b 2 4 x L 1 R h Y m x l I D M v Q X V 0 b 1 J l b W 9 2 Z W R D b 2 x 1 b W 5 z M S 5 7 Q 2 9 s d W 1 u N C w z f S Z x d W 9 0 O y w m c X V v d D t T Z W N 0 a W 9 u M S 9 U Y W J s Z S A z L 0 F 1 d G 9 S Z W 1 v d m V k Q 2 9 s d W 1 u c z E u e 0 N v b H V t b j U s N H 0 m c X V v d D s s J n F 1 b 3 Q 7 U 2 V j d G l v b j E v V G F i b G U g M y 9 B d X R v U m V t b 3 Z l Z E N v b H V t b n M x L n t D b 2 x 1 b W 4 2 L D V 9 J n F 1 b 3 Q 7 L C Z x d W 9 0 O 1 N l Y 3 R p b 2 4 x L 1 R h Y m x l I D M v Q X V 0 b 1 J l b W 9 2 Z W R D b 2 x 1 b W 5 z M S 5 7 Q 2 9 s d W 1 u N y w 2 f S Z x d W 9 0 O y w m c X V v d D t T Z W N 0 a W 9 u M S 9 U Y W J s Z S A z L 0 F 1 d G 9 S Z W 1 v d m V k Q 2 9 s d W 1 u c z E u e 0 N v b H V t b j g s N 3 0 m c X V v d D s s J n F 1 b 3 Q 7 U 2 V j d G l v b j E v V G F i b G U g M y 9 B d X R v U m V t b 3 Z l Z E N v b H V t b n M x L n t D b 2 x 1 b W 4 5 L D h 9 J n F 1 b 3 Q 7 L C Z x d W 9 0 O 1 N l Y 3 R p b 2 4 x L 1 R h Y m x l I D M v Q X V 0 b 1 J l b W 9 2 Z W R D b 2 x 1 b W 5 z M S 5 7 Q 2 9 s d W 1 u M T A s O X 0 m c X V v d D s s J n F 1 b 3 Q 7 U 2 V j d G l v b j E v V G F i b G U g M y 9 B d X R v U m V t b 3 Z l Z E N v b H V t b n M x L n t D b 2 x 1 b W 4 x M S w x M H 0 m c X V v d D s s J n F 1 b 3 Q 7 U 2 V j d G l v b j E v V G F i b G U g M y 9 B d X R v U m V t b 3 Z l Z E N v b H V t b n M x L n t D b 2 x 1 b W 4 x M i w x M X 0 m c X V v d D s s J n F 1 b 3 Q 7 U 2 V j d G l v b j E v V G F i b G U g M y 9 B d X R v U m V t b 3 Z l Z E N v b H V t b n M x L n t D b 2 x 1 b W 4 x M y w x M n 0 m c X V v d D s s J n F 1 b 3 Q 7 U 2 V j d G l v b j E v V G F i b G U g M y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M v Q X V 0 b 1 J l b W 9 2 Z W R D b 2 x 1 b W 5 z M S 5 7 Q 2 9 s d W 1 u M S w w f S Z x d W 9 0 O y w m c X V v d D t T Z W N 0 a W 9 u M S 9 U Y W J s Z S A z L 0 F 1 d G 9 S Z W 1 v d m V k Q 2 9 s d W 1 u c z E u e 0 N v b H V t b j I s M X 0 m c X V v d D s s J n F 1 b 3 Q 7 U 2 V j d G l v b j E v V G F i b G U g M y 9 B d X R v U m V t b 3 Z l Z E N v b H V t b n M x L n t D b 2 x 1 b W 4 z L D J 9 J n F 1 b 3 Q 7 L C Z x d W 9 0 O 1 N l Y 3 R p b 2 4 x L 1 R h Y m x l I D M v Q X V 0 b 1 J l b W 9 2 Z W R D b 2 x 1 b W 5 z M S 5 7 Q 2 9 s d W 1 u N C w z f S Z x d W 9 0 O y w m c X V v d D t T Z W N 0 a W 9 u M S 9 U Y W J s Z S A z L 0 F 1 d G 9 S Z W 1 v d m V k Q 2 9 s d W 1 u c z E u e 0 N v b H V t b j U s N H 0 m c X V v d D s s J n F 1 b 3 Q 7 U 2 V j d G l v b j E v V G F i b G U g M y 9 B d X R v U m V t b 3 Z l Z E N v b H V t b n M x L n t D b 2 x 1 b W 4 2 L D V 9 J n F 1 b 3 Q 7 L C Z x d W 9 0 O 1 N l Y 3 R p b 2 4 x L 1 R h Y m x l I D M v Q X V 0 b 1 J l b W 9 2 Z W R D b 2 x 1 b W 5 z M S 5 7 Q 2 9 s d W 1 u N y w 2 f S Z x d W 9 0 O y w m c X V v d D t T Z W N 0 a W 9 u M S 9 U Y W J s Z S A z L 0 F 1 d G 9 S Z W 1 v d m V k Q 2 9 s d W 1 u c z E u e 0 N v b H V t b j g s N 3 0 m c X V v d D s s J n F 1 b 3 Q 7 U 2 V j d G l v b j E v V G F i b G U g M y 9 B d X R v U m V t b 3 Z l Z E N v b H V t b n M x L n t D b 2 x 1 b W 4 5 L D h 9 J n F 1 b 3 Q 7 L C Z x d W 9 0 O 1 N l Y 3 R p b 2 4 x L 1 R h Y m x l I D M v Q X V 0 b 1 J l b W 9 2 Z W R D b 2 x 1 b W 5 z M S 5 7 Q 2 9 s d W 1 u M T A s O X 0 m c X V v d D s s J n F 1 b 3 Q 7 U 2 V j d G l v b j E v V G F i b G U g M y 9 B d X R v U m V t b 3 Z l Z E N v b H V t b n M x L n t D b 2 x 1 b W 4 x M S w x M H 0 m c X V v d D s s J n F 1 b 3 Q 7 U 2 V j d G l v b j E v V G F i b G U g M y 9 B d X R v U m V t b 3 Z l Z E N v b H V t b n M x L n t D b 2 x 1 b W 4 x M i w x M X 0 m c X V v d D s s J n F 1 b 3 Q 7 U 2 V j d G l v b j E v V G F i b G U g M y 9 B d X R v U m V t b 3 Z l Z E N v b H V t b n M x L n t D b 2 x 1 b W 4 x M y w x M n 0 m c X V v d D s s J n F 1 b 3 Q 7 U 2 V j d G l v b j E v V G F i b G U g M y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v 6 c a D 5 I 7 Q o Z 2 k A u v Q 2 h M A A A A A A I A A A A A A B B m A A A A A Q A A I A A A A E T x D G v N C q k 5 S L v p S E b 6 p r b G C G 5 k 8 g Q r 8 Q A C u 4 z e X y S i A A A A A A 6 A A A A A A g A A I A A A A I i 6 Z T B z 3 C a / g 6 p M H i u q W 1 A j c i 7 S G j e f 8 6 6 A 8 e Y J K t g a U A A A A A A 8 D 0 G r q k B r v D S V p I B G L + B Z W B I F g S B 8 T 2 4 l z F i v t 3 c u 8 B N l 0 g b g t M F g C A k n 9 x p q G 6 6 O c q C h + N L s Z 8 M N j 5 K L J c 5 v j C s M 0 P G c 2 p L O 6 B 9 J 5 2 H W Q A A A A B a F k 5 o G l 9 r g 7 h 8 Q n / g i g J q 6 7 4 + D P o z R l 3 1 l w v 8 G n P E q f b 0 S E A I D r A X u + d o c J a C R z v 2 C E 1 q H 0 / h q S O R d p Y 6 f 7 m s = < / D a t a M a s h u p > 
</file>

<file path=customXml/itemProps1.xml><?xml version="1.0" encoding="utf-8"?>
<ds:datastoreItem xmlns:ds="http://schemas.openxmlformats.org/officeDocument/2006/customXml" ds:itemID="{950E5DC6-855A-4E22-9E0A-C1C3435DE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Table 2 (2)</vt:lpstr>
      <vt:lpstr>Reliance Industries </vt:lpstr>
      <vt:lpstr>key Data</vt:lpstr>
      <vt:lpstr>Assignment</vt:lpstr>
      <vt:lpstr>Peer Analysis</vt:lpstr>
      <vt:lpstr>Segment Wise Performance</vt:lpstr>
      <vt:lpstr>Geographical Revenue</vt:lpstr>
      <vt:lpstr>Common size</vt:lpstr>
      <vt:lpstr>Balance Sheet</vt:lpstr>
      <vt:lpstr>Working Capital Days </vt:lpstr>
      <vt:lpstr>Share holding</vt:lpstr>
      <vt:lpstr>Table 8 (2)</vt:lpstr>
      <vt:lpstr>Analysis</vt:lpstr>
      <vt:lpstr>Income Statement</vt:lpstr>
      <vt:lpstr>Ratio Analysis</vt:lpstr>
      <vt:lpstr>EPS</vt:lpstr>
      <vt:lpstr>Profit &amp; Loss Account</vt:lpstr>
      <vt:lpstr>CASH FL</vt:lpstr>
      <vt:lpstr>BS</vt:lpstr>
      <vt:lpstr>Cash flow </vt:lpstr>
      <vt:lpstr>Sales &amp; Profit</vt:lpstr>
      <vt:lpstr>ROE</vt:lpstr>
      <vt:lpstr>ICR</vt:lpstr>
      <vt:lpstr>EPS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Parvesh Aghi</dc:creator>
  <cp:lastModifiedBy>UTKARSH ANAND</cp:lastModifiedBy>
  <dcterms:created xsi:type="dcterms:W3CDTF">2023-10-03T01:46:32Z</dcterms:created>
  <dcterms:modified xsi:type="dcterms:W3CDTF">2025-02-12T17:23:11Z</dcterms:modified>
</cp:coreProperties>
</file>