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5.xml" ContentType="application/vnd.openxmlformats-officedocument.drawing+xml"/>
  <Override PartName="/xl/tables/table1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1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66925"/>
  <mc:AlternateContent xmlns:mc="http://schemas.openxmlformats.org/markup-compatibility/2006">
    <mc:Choice Requires="x15">
      <x15ac:absPath xmlns:x15ac="http://schemas.microsoft.com/office/spreadsheetml/2010/11/ac" url="C:\Users\UTKARSH ANAND\Desktop\"/>
    </mc:Choice>
  </mc:AlternateContent>
  <xr:revisionPtr revIDLastSave="0" documentId="13_ncr:1_{58CBBC65-5BDF-4DC0-A9B8-FAAE3AF13F5D}" xr6:coauthVersionLast="47" xr6:coauthVersionMax="47" xr10:uidLastSave="{00000000-0000-0000-0000-000000000000}"/>
  <bookViews>
    <workbookView xWindow="-110" yWindow="-110" windowWidth="19420" windowHeight="11500" firstSheet="10" activeTab="14" xr2:uid="{C5968996-CA92-45DC-B928-84D771304081}"/>
  </bookViews>
  <sheets>
    <sheet name="ABOUT COMPANY" sheetId="19" r:id="rId1"/>
    <sheet name="Peer Analysis" sheetId="2" r:id="rId2"/>
    <sheet name="Segment Wise Performance" sheetId="12" r:id="rId3"/>
    <sheet name="Geographical Revenue" sheetId="14" r:id="rId4"/>
    <sheet name="Income Statement" sheetId="3" r:id="rId5"/>
    <sheet name="Common size" sheetId="1" r:id="rId6"/>
    <sheet name="Balance Sheet" sheetId="4" r:id="rId7"/>
    <sheet name="Analysis" sheetId="5" r:id="rId8"/>
    <sheet name="ratio analysis" sheetId="6" r:id="rId9"/>
    <sheet name="EPS" sheetId="7" r:id="rId10"/>
    <sheet name="PL" sheetId="8" r:id="rId11"/>
    <sheet name="BS" sheetId="10" r:id="rId12"/>
    <sheet name="CASH FLOW" sheetId="11" r:id="rId13"/>
    <sheet name="CF" sheetId="15" r:id="rId14"/>
    <sheet name="Sales &amp; Profit" sheetId="13" r:id="rId15"/>
    <sheet name="ROE" sheetId="16" r:id="rId16"/>
    <sheet name="ICR" sheetId="17" r:id="rId17"/>
    <sheet name="EPS1" sheetId="18" r:id="rId18"/>
  </sheets>
  <definedNames>
    <definedName name="ExternalData_1" localSheetId="4" hidden="1">'Income Statement'!$A$1:$N$17</definedName>
    <definedName name="ExternalData_1" localSheetId="1" hidden="1">'Peer Analysis'!$A$1:$K$9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8" l="1"/>
  <c r="C2" i="16"/>
  <c r="D2" i="16"/>
  <c r="E2" i="16"/>
  <c r="F2" i="16"/>
  <c r="G2" i="16"/>
  <c r="H2" i="16"/>
  <c r="I2" i="16"/>
  <c r="J2" i="16"/>
  <c r="K2" i="16"/>
  <c r="L2" i="16"/>
  <c r="B2" i="16"/>
  <c r="C3" i="5"/>
  <c r="D3" i="5"/>
  <c r="E3" i="5"/>
  <c r="F3" i="5"/>
  <c r="G3" i="5"/>
  <c r="H3" i="5"/>
  <c r="I3" i="5"/>
  <c r="J3" i="5"/>
  <c r="K3" i="5"/>
  <c r="L3" i="5"/>
  <c r="M3" i="5"/>
  <c r="B3" i="5"/>
  <c r="C23" i="13"/>
  <c r="D23" i="13"/>
  <c r="E23" i="13"/>
  <c r="F23" i="13"/>
  <c r="G23" i="13"/>
  <c r="H23" i="13"/>
  <c r="I23" i="13"/>
  <c r="J23" i="13"/>
  <c r="K23" i="13"/>
  <c r="L23" i="13"/>
  <c r="C22" i="13"/>
  <c r="D22" i="13"/>
  <c r="E22" i="13"/>
  <c r="F22" i="13"/>
  <c r="G22" i="13"/>
  <c r="H22" i="13"/>
  <c r="I22" i="13"/>
  <c r="J22" i="13"/>
  <c r="K22" i="13"/>
  <c r="L22" i="13"/>
  <c r="B23" i="13"/>
  <c r="B22" i="13"/>
  <c r="O4" i="3"/>
  <c r="O7" i="3"/>
  <c r="O10" i="3"/>
  <c r="O12" i="3"/>
  <c r="O15" i="3"/>
  <c r="O2" i="3"/>
  <c r="L26" i="5"/>
  <c r="M19" i="5" s="1"/>
  <c r="M20" i="5" s="1"/>
  <c r="L25" i="5"/>
  <c r="C19" i="5"/>
  <c r="C20" i="5" s="1"/>
  <c r="D19" i="5"/>
  <c r="D20" i="5" s="1"/>
  <c r="E19" i="5"/>
  <c r="E20" i="5" s="1"/>
  <c r="B26" i="5"/>
  <c r="C26" i="5"/>
  <c r="D26" i="5"/>
  <c r="E26" i="5"/>
  <c r="F19" i="5" s="1"/>
  <c r="F20" i="5" s="1"/>
  <c r="H26" i="5"/>
  <c r="I19" i="5" s="1"/>
  <c r="I20" i="5" s="1"/>
  <c r="I26" i="5"/>
  <c r="J19" i="5" s="1"/>
  <c r="J20" i="5" s="1"/>
  <c r="J26" i="5"/>
  <c r="K19" i="5" s="1"/>
  <c r="K20" i="5" s="1"/>
  <c r="A25" i="5"/>
  <c r="B25" i="5"/>
  <c r="C25" i="5"/>
  <c r="D25" i="5"/>
  <c r="E25" i="5"/>
  <c r="F25" i="5"/>
  <c r="G25" i="5"/>
  <c r="H25" i="5"/>
  <c r="I25" i="5"/>
  <c r="J25" i="5"/>
  <c r="K25" i="5"/>
  <c r="F24" i="5"/>
  <c r="F26" i="5" s="1"/>
  <c r="G19" i="5" s="1"/>
  <c r="G20" i="5" s="1"/>
  <c r="G24" i="5"/>
  <c r="G26" i="5" s="1"/>
  <c r="H19" i="5" s="1"/>
  <c r="H20" i="5" s="1"/>
  <c r="H24" i="5"/>
  <c r="I24" i="5"/>
  <c r="J24" i="5"/>
  <c r="K24" i="5"/>
  <c r="K26" i="5" s="1"/>
  <c r="L19" i="5" s="1"/>
  <c r="L20" i="5" s="1"/>
  <c r="L24" i="5"/>
  <c r="B24" i="5"/>
  <c r="C24" i="5"/>
  <c r="D24" i="5"/>
  <c r="E24" i="5"/>
  <c r="A24" i="5"/>
  <c r="A26" i="5" s="1"/>
  <c r="B19" i="5" s="1"/>
  <c r="B20" i="5" s="1"/>
  <c r="C18" i="5"/>
  <c r="D18" i="5"/>
  <c r="E18" i="5"/>
  <c r="F18" i="5"/>
  <c r="G18" i="5"/>
  <c r="H18" i="5"/>
  <c r="I18" i="5"/>
  <c r="J18" i="5"/>
  <c r="K18" i="5"/>
  <c r="L18" i="5"/>
  <c r="M18" i="5"/>
  <c r="B18" i="5"/>
  <c r="C17" i="5"/>
  <c r="D17" i="5"/>
  <c r="E17" i="5"/>
  <c r="F17" i="5"/>
  <c r="G17" i="5"/>
  <c r="H17" i="5"/>
  <c r="I17" i="5"/>
  <c r="J17" i="5"/>
  <c r="K17" i="5"/>
  <c r="L17" i="5"/>
  <c r="M17" i="5"/>
  <c r="B17" i="5"/>
  <c r="C15" i="5"/>
  <c r="D15" i="5"/>
  <c r="E15" i="5"/>
  <c r="F15" i="5"/>
  <c r="G15" i="5"/>
  <c r="H15" i="5"/>
  <c r="I15" i="5"/>
  <c r="J15" i="5"/>
  <c r="K15" i="5"/>
  <c r="L15" i="5"/>
  <c r="M15" i="5"/>
  <c r="C16" i="5"/>
  <c r="D16" i="5"/>
  <c r="E16" i="5"/>
  <c r="F16" i="5"/>
  <c r="G16" i="5"/>
  <c r="H16" i="5"/>
  <c r="I16" i="5"/>
  <c r="J16" i="5"/>
  <c r="K16" i="5"/>
  <c r="L16" i="5"/>
  <c r="M16" i="5"/>
  <c r="B15" i="5"/>
  <c r="B16" i="5"/>
  <c r="C10" i="5"/>
  <c r="D10" i="5"/>
  <c r="E10" i="5"/>
  <c r="F10" i="5"/>
  <c r="G10" i="5"/>
  <c r="H10" i="5"/>
  <c r="I10" i="5"/>
  <c r="I11" i="5" s="1"/>
  <c r="J10" i="5"/>
  <c r="J11" i="5" s="1"/>
  <c r="K10" i="5"/>
  <c r="K11" i="5" s="1"/>
  <c r="L10" i="5"/>
  <c r="L11" i="5" s="1"/>
  <c r="M10" i="5"/>
  <c r="M11" i="5" s="1"/>
  <c r="C11" i="5"/>
  <c r="D11" i="5"/>
  <c r="E11" i="5"/>
  <c r="F11" i="5"/>
  <c r="G11" i="5"/>
  <c r="H11" i="5"/>
  <c r="M12" i="5"/>
  <c r="C14" i="5"/>
  <c r="D14" i="5"/>
  <c r="E14" i="5"/>
  <c r="F14" i="5"/>
  <c r="G14" i="5"/>
  <c r="H14" i="5"/>
  <c r="I14" i="5"/>
  <c r="J14" i="5"/>
  <c r="K14" i="5"/>
  <c r="L14" i="5"/>
  <c r="M14" i="5"/>
  <c r="B14" i="5"/>
  <c r="B13" i="5"/>
  <c r="B10" i="5"/>
  <c r="B11" i="5" s="1"/>
  <c r="C9" i="5"/>
  <c r="D9" i="5"/>
  <c r="E9" i="5"/>
  <c r="F9" i="5"/>
  <c r="G9" i="5"/>
  <c r="H9" i="5"/>
  <c r="I9" i="5"/>
  <c r="J9" i="5"/>
  <c r="K9" i="5"/>
  <c r="L9" i="5"/>
  <c r="M9" i="5"/>
  <c r="B9" i="5"/>
  <c r="C8" i="5"/>
  <c r="D8" i="5"/>
  <c r="E8" i="5"/>
  <c r="F8" i="5"/>
  <c r="G8" i="5"/>
  <c r="H8" i="5"/>
  <c r="I8" i="5"/>
  <c r="J8" i="5"/>
  <c r="K8" i="5"/>
  <c r="L8" i="5"/>
  <c r="M8" i="5"/>
  <c r="B8" i="5"/>
  <c r="F7" i="5"/>
  <c r="G7" i="5"/>
  <c r="H7" i="5"/>
  <c r="I7" i="5"/>
  <c r="J7" i="5"/>
  <c r="K7" i="5"/>
  <c r="I6" i="5"/>
  <c r="J6" i="5"/>
  <c r="K6" i="5"/>
  <c r="L6" i="5"/>
  <c r="M6" i="5"/>
  <c r="C5" i="5"/>
  <c r="D5" i="5"/>
  <c r="E5" i="5"/>
  <c r="F5" i="5"/>
  <c r="I5" i="5"/>
  <c r="J5" i="5"/>
  <c r="K5" i="5"/>
  <c r="L5" i="5"/>
  <c r="M5" i="5"/>
  <c r="I4" i="5"/>
  <c r="J4" i="5"/>
  <c r="K4" i="5"/>
  <c r="C41" i="4"/>
  <c r="D41" i="4"/>
  <c r="E41" i="4"/>
  <c r="F41" i="4"/>
  <c r="G41" i="4"/>
  <c r="H41" i="4"/>
  <c r="I41" i="4"/>
  <c r="J41" i="4"/>
  <c r="K41" i="4"/>
  <c r="L41" i="4"/>
  <c r="M41" i="4"/>
  <c r="B41" i="4"/>
  <c r="C40" i="4"/>
  <c r="D40" i="4"/>
  <c r="E40" i="4"/>
  <c r="F40" i="4"/>
  <c r="G40" i="4"/>
  <c r="H40" i="4"/>
  <c r="I40" i="4"/>
  <c r="J40" i="4"/>
  <c r="K40" i="4"/>
  <c r="L40" i="4"/>
  <c r="M40" i="4"/>
  <c r="B40" i="4"/>
  <c r="C15" i="4"/>
  <c r="D15" i="4"/>
  <c r="E15" i="4"/>
  <c r="F15" i="4"/>
  <c r="G15" i="4"/>
  <c r="H15" i="4"/>
  <c r="I15" i="4"/>
  <c r="J15" i="4"/>
  <c r="K15" i="4"/>
  <c r="L15" i="4"/>
  <c r="M15" i="4"/>
  <c r="B15" i="4"/>
  <c r="C16" i="4"/>
  <c r="D16" i="4"/>
  <c r="E16" i="4"/>
  <c r="F16" i="4"/>
  <c r="G16" i="4"/>
  <c r="H16" i="4"/>
  <c r="I16" i="4"/>
  <c r="J16" i="4"/>
  <c r="K16" i="4"/>
  <c r="L16" i="4"/>
  <c r="M16" i="4"/>
  <c r="B16" i="4"/>
  <c r="C14" i="4"/>
  <c r="D14" i="4"/>
  <c r="E14" i="4"/>
  <c r="F14" i="4"/>
  <c r="G14" i="4"/>
  <c r="H14" i="4"/>
  <c r="I14" i="4"/>
  <c r="J14" i="4"/>
  <c r="K14" i="4"/>
  <c r="L14" i="4"/>
  <c r="M14" i="4"/>
  <c r="B14" i="4"/>
  <c r="C3" i="1"/>
  <c r="D3" i="1"/>
  <c r="E3" i="1"/>
  <c r="F3" i="1"/>
  <c r="G3" i="1"/>
  <c r="H3" i="1"/>
  <c r="I3" i="1"/>
  <c r="J3" i="1"/>
  <c r="K3" i="1"/>
  <c r="L3" i="1"/>
  <c r="M3" i="1"/>
  <c r="C4" i="1"/>
  <c r="D4" i="1"/>
  <c r="E4" i="1"/>
  <c r="F4" i="1"/>
  <c r="I4" i="1"/>
  <c r="J4" i="1"/>
  <c r="K4" i="1"/>
  <c r="L4" i="1"/>
  <c r="M4" i="1"/>
  <c r="C5" i="1"/>
  <c r="D5" i="1"/>
  <c r="E5" i="1"/>
  <c r="F5" i="1"/>
  <c r="G5" i="1"/>
  <c r="H5" i="1"/>
  <c r="I5" i="1"/>
  <c r="J5" i="1"/>
  <c r="K5" i="1"/>
  <c r="L5" i="1"/>
  <c r="M5" i="1"/>
  <c r="C6" i="1"/>
  <c r="D6" i="1"/>
  <c r="E6" i="1"/>
  <c r="F6" i="1"/>
  <c r="G6" i="1"/>
  <c r="H6" i="1"/>
  <c r="I6" i="1"/>
  <c r="J6" i="1"/>
  <c r="K6" i="1"/>
  <c r="L6" i="1"/>
  <c r="M6" i="1"/>
  <c r="C7" i="1"/>
  <c r="D7" i="1"/>
  <c r="E7" i="1"/>
  <c r="F7" i="1"/>
  <c r="G7" i="1"/>
  <c r="H7" i="1"/>
  <c r="I7" i="1"/>
  <c r="J7" i="1"/>
  <c r="K7" i="1"/>
  <c r="L7" i="1"/>
  <c r="M7" i="1"/>
  <c r="C8" i="1"/>
  <c r="D8" i="1"/>
  <c r="E8" i="1"/>
  <c r="F8" i="1"/>
  <c r="G8" i="1"/>
  <c r="H8" i="1"/>
  <c r="I8" i="1"/>
  <c r="J8" i="1"/>
  <c r="K8" i="1"/>
  <c r="L8" i="1"/>
  <c r="M8" i="1"/>
  <c r="C9" i="1"/>
  <c r="D9" i="1"/>
  <c r="E9" i="1"/>
  <c r="L9" i="1"/>
  <c r="M9" i="1"/>
  <c r="C10" i="1"/>
  <c r="C12" i="5" s="1"/>
  <c r="D10" i="1"/>
  <c r="D12" i="5" s="1"/>
  <c r="E10" i="1"/>
  <c r="E12" i="5" s="1"/>
  <c r="F10" i="1"/>
  <c r="F12" i="5" s="1"/>
  <c r="G10" i="1"/>
  <c r="G12" i="5" s="1"/>
  <c r="H10" i="1"/>
  <c r="H12" i="5" s="1"/>
  <c r="I10" i="1"/>
  <c r="I12" i="5" s="1"/>
  <c r="J10" i="1"/>
  <c r="J12" i="5" s="1"/>
  <c r="K10" i="1"/>
  <c r="K12" i="5" s="1"/>
  <c r="L10" i="1"/>
  <c r="L12" i="5" s="1"/>
  <c r="M10" i="1"/>
  <c r="C2" i="1"/>
  <c r="D2" i="1"/>
  <c r="E2" i="1"/>
  <c r="F2" i="1"/>
  <c r="G2" i="1"/>
  <c r="H2" i="1"/>
  <c r="I2" i="1"/>
  <c r="J2" i="1"/>
  <c r="K2" i="1"/>
  <c r="L2" i="1"/>
  <c r="M2" i="1"/>
  <c r="B10" i="1"/>
  <c r="B12" i="5" s="1"/>
  <c r="B9" i="1"/>
  <c r="B8" i="1"/>
  <c r="B7" i="1"/>
  <c r="B6" i="1"/>
  <c r="B5" i="1"/>
  <c r="B3" i="1"/>
  <c r="B2" i="1"/>
  <c r="F28" i="3"/>
  <c r="G28" i="3"/>
  <c r="H28" i="3"/>
  <c r="I28" i="3"/>
  <c r="J28" i="3"/>
  <c r="K28" i="3"/>
  <c r="L28" i="3"/>
  <c r="M28" i="3"/>
  <c r="B28" i="3"/>
  <c r="C29" i="3"/>
  <c r="C28" i="3" s="1"/>
  <c r="D29" i="3"/>
  <c r="D28" i="3" s="1"/>
  <c r="E29" i="3"/>
  <c r="E28" i="3" s="1"/>
  <c r="F29" i="3"/>
  <c r="G29" i="3"/>
  <c r="H29" i="3"/>
  <c r="I29" i="3"/>
  <c r="J29" i="3"/>
  <c r="K29" i="3"/>
  <c r="L29" i="3"/>
  <c r="L7" i="5" s="1"/>
  <c r="M29" i="3"/>
  <c r="M7" i="5" s="1"/>
  <c r="B29" i="3"/>
  <c r="B7" i="5" s="1"/>
  <c r="C14" i="3"/>
  <c r="D14" i="3"/>
  <c r="E14" i="3"/>
  <c r="F14" i="3"/>
  <c r="F9" i="1" s="1"/>
  <c r="G14" i="3"/>
  <c r="G9" i="1" s="1"/>
  <c r="H14" i="3"/>
  <c r="H9" i="1" s="1"/>
  <c r="I14" i="3"/>
  <c r="I9" i="1" s="1"/>
  <c r="J14" i="3"/>
  <c r="J9" i="1" s="1"/>
  <c r="K14" i="3"/>
  <c r="K9" i="1" s="1"/>
  <c r="L14" i="3"/>
  <c r="M14" i="3"/>
  <c r="N14" i="3"/>
  <c r="B14" i="3"/>
  <c r="I10" i="3"/>
  <c r="I13" i="5" s="1"/>
  <c r="J10" i="3"/>
  <c r="J13" i="5" s="1"/>
  <c r="K10" i="3"/>
  <c r="K13" i="5" s="1"/>
  <c r="L10" i="3"/>
  <c r="L4" i="5" s="1"/>
  <c r="M10" i="3"/>
  <c r="M4" i="5" s="1"/>
  <c r="N10" i="3"/>
  <c r="B10" i="3"/>
  <c r="B4" i="5" s="1"/>
  <c r="C7" i="3"/>
  <c r="C8" i="3" s="1"/>
  <c r="D7" i="3"/>
  <c r="D8" i="3" s="1"/>
  <c r="E7" i="3"/>
  <c r="E8" i="3" s="1"/>
  <c r="F7" i="3"/>
  <c r="F8" i="3" s="1"/>
  <c r="G7" i="3"/>
  <c r="G8" i="3" s="1"/>
  <c r="G5" i="5" s="1"/>
  <c r="H7" i="3"/>
  <c r="H8" i="3" s="1"/>
  <c r="H5" i="5" s="1"/>
  <c r="I7" i="3"/>
  <c r="I8" i="3" s="1"/>
  <c r="J7" i="3"/>
  <c r="J8" i="3" s="1"/>
  <c r="K7" i="3"/>
  <c r="K8" i="3" s="1"/>
  <c r="L7" i="3"/>
  <c r="L8" i="3" s="1"/>
  <c r="M7" i="3"/>
  <c r="M8" i="3" s="1"/>
  <c r="N7" i="3"/>
  <c r="N8" i="3" s="1"/>
  <c r="B7" i="3"/>
  <c r="B4" i="1" s="1"/>
  <c r="E7" i="5" l="1"/>
  <c r="B6" i="5"/>
  <c r="M13" i="5"/>
  <c r="L13" i="5"/>
  <c r="H4" i="1"/>
  <c r="D7" i="5"/>
  <c r="C7" i="5"/>
  <c r="H10" i="3"/>
  <c r="G4" i="1"/>
  <c r="G10" i="3"/>
  <c r="F10" i="3"/>
  <c r="E10" i="3"/>
  <c r="D10" i="3"/>
  <c r="C10" i="3"/>
  <c r="B8" i="3"/>
  <c r="B5" i="5" s="1"/>
  <c r="C13" i="5" l="1"/>
  <c r="C6" i="5"/>
  <c r="C4" i="5"/>
  <c r="D6" i="5"/>
  <c r="D4" i="5"/>
  <c r="D13" i="5"/>
  <c r="E4" i="5"/>
  <c r="E13" i="5"/>
  <c r="E6" i="5"/>
  <c r="F4" i="5"/>
  <c r="F6" i="5"/>
  <c r="F13" i="5"/>
  <c r="G4" i="5"/>
  <c r="G13" i="5"/>
  <c r="G6" i="5"/>
  <c r="H6" i="5"/>
  <c r="H4" i="5"/>
  <c r="H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CA6166-C57D-4B47-A3C3-5FFA4FCB2354}"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6E64B77F-A5D2-4717-91CB-F90F041A389B}"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s>
</file>

<file path=xl/sharedStrings.xml><?xml version="1.0" encoding="utf-8"?>
<sst xmlns="http://schemas.openxmlformats.org/spreadsheetml/2006/main" count="430" uniqueCount="339">
  <si>
    <t>S.No.</t>
  </si>
  <si>
    <t>Name</t>
  </si>
  <si>
    <t>CMP
                  Rs.</t>
  </si>
  <si>
    <t>P/E</t>
  </si>
  <si>
    <t>Mar Cap
                  Rs.Cr.</t>
  </si>
  <si>
    <t>Div Yld
                  %</t>
  </si>
  <si>
    <t>NP Qtr
                  Rs.Cr.</t>
  </si>
  <si>
    <t>Qtr Profit Var
                  %</t>
  </si>
  <si>
    <t>Sales Qtr
                  Rs.Cr.</t>
  </si>
  <si>
    <t>Qtr Sales Var
                  %</t>
  </si>
  <si>
    <t>ROCE
                  %</t>
  </si>
  <si>
    <t>Adani Enterp.</t>
  </si>
  <si>
    <t>Vishal Mega Mart</t>
  </si>
  <si>
    <t>Aegis Logistics</t>
  </si>
  <si>
    <t>Redington</t>
  </si>
  <si>
    <t>Cello World</t>
  </si>
  <si>
    <t>MMTC</t>
  </si>
  <si>
    <t>PDS</t>
  </si>
  <si>
    <t>Median: 151 Co.</t>
  </si>
  <si>
    <t>Column1</t>
  </si>
  <si>
    <t>Mar 2013</t>
  </si>
  <si>
    <t>Mar 2014</t>
  </si>
  <si>
    <t>Mar 2015</t>
  </si>
  <si>
    <t>Mar 2016</t>
  </si>
  <si>
    <t>Mar 2017</t>
  </si>
  <si>
    <t>Mar 2018</t>
  </si>
  <si>
    <t>Mar 2019</t>
  </si>
  <si>
    <t>Mar 2020</t>
  </si>
  <si>
    <t>Mar 2021</t>
  </si>
  <si>
    <t>Mar 2022</t>
  </si>
  <si>
    <t>Mar 2023</t>
  </si>
  <si>
    <t>Mar 2024</t>
  </si>
  <si>
    <t>TTM</t>
  </si>
  <si>
    <t>Sales +</t>
  </si>
  <si>
    <t>Expenses +</t>
  </si>
  <si>
    <t>Operating Profit</t>
  </si>
  <si>
    <t>OPM %</t>
  </si>
  <si>
    <t>Other Income +</t>
  </si>
  <si>
    <t>Interest</t>
  </si>
  <si>
    <t>Depreciation</t>
  </si>
  <si>
    <t>Profit before tax</t>
  </si>
  <si>
    <t>Tax %</t>
  </si>
  <si>
    <t>Net Profit +</t>
  </si>
  <si>
    <t>EPS in Rs</t>
  </si>
  <si>
    <t>Dividend Payout %</t>
  </si>
  <si>
    <t>Profit after tax</t>
  </si>
  <si>
    <t>Profit from Associates</t>
  </si>
  <si>
    <t>Reported Net Profit</t>
  </si>
  <si>
    <t>Minority share</t>
  </si>
  <si>
    <t>Profit for EPS</t>
  </si>
  <si>
    <t>Exceptional items AT</t>
  </si>
  <si>
    <t>Profit for PE</t>
  </si>
  <si>
    <t>EBITDA</t>
  </si>
  <si>
    <t>EBITDA Margin</t>
  </si>
  <si>
    <t>EBIT</t>
  </si>
  <si>
    <t>Tax</t>
  </si>
  <si>
    <t>Share Outstanding</t>
  </si>
  <si>
    <t>Particulars</t>
  </si>
  <si>
    <t>Sales </t>
  </si>
  <si>
    <t>Expenses </t>
  </si>
  <si>
    <t>EBIDTA/Operating Profit</t>
  </si>
  <si>
    <t>Profit Before Tax</t>
  </si>
  <si>
    <t>Net Profit </t>
  </si>
  <si>
    <t>Mar-24</t>
  </si>
  <si>
    <t>Equity Capital</t>
  </si>
  <si>
    <t>Reserves</t>
  </si>
  <si>
    <t>Borrowings -</t>
  </si>
  <si>
    <t>Long term Borrowings</t>
  </si>
  <si>
    <t>Short term Borrowings</t>
  </si>
  <si>
    <t>Lease Liabilities</t>
  </si>
  <si>
    <t>Other Borrowings</t>
  </si>
  <si>
    <t>Other Liabilities -</t>
  </si>
  <si>
    <t>Non controlling int</t>
  </si>
  <si>
    <t>Trade Payables</t>
  </si>
  <si>
    <t>Advance from Customers</t>
  </si>
  <si>
    <t>Other liability items</t>
  </si>
  <si>
    <t>Total Liabilities</t>
  </si>
  <si>
    <t>Fixed Assets -</t>
  </si>
  <si>
    <t>Land</t>
  </si>
  <si>
    <t>Building</t>
  </si>
  <si>
    <t>Plant Machinery</t>
  </si>
  <si>
    <t>Ships Vessels</t>
  </si>
  <si>
    <t>Equipments</t>
  </si>
  <si>
    <t>Computers</t>
  </si>
  <si>
    <t>Furniture n fittings</t>
  </si>
  <si>
    <t>Railway sidings</t>
  </si>
  <si>
    <t>Vehicles</t>
  </si>
  <si>
    <t>Intangible Assets</t>
  </si>
  <si>
    <t>Other fixed assets</t>
  </si>
  <si>
    <t>Gross Block</t>
  </si>
  <si>
    <t>Accumulated Depreciation</t>
  </si>
  <si>
    <t>CWIP</t>
  </si>
  <si>
    <t>Investments</t>
  </si>
  <si>
    <t>Other Assets -</t>
  </si>
  <si>
    <t>Inventories</t>
  </si>
  <si>
    <t>Trade receivables</t>
  </si>
  <si>
    <t>Cash Equivalents</t>
  </si>
  <si>
    <t>Loans n Advances</t>
  </si>
  <si>
    <t>Other asset items</t>
  </si>
  <si>
    <t>Total Assets</t>
  </si>
  <si>
    <t>Mar-13</t>
  </si>
  <si>
    <t>Mar-14</t>
  </si>
  <si>
    <t>Mar-15</t>
  </si>
  <si>
    <t>Mar-16</t>
  </si>
  <si>
    <t>Mar-17</t>
  </si>
  <si>
    <t>Mar-18</t>
  </si>
  <si>
    <t>Mar-19</t>
  </si>
  <si>
    <t>Mar-20</t>
  </si>
  <si>
    <t>Mar-21</t>
  </si>
  <si>
    <t>Mar-22</t>
  </si>
  <si>
    <t>Mar-23</t>
  </si>
  <si>
    <t>Particular</t>
  </si>
  <si>
    <t>Non-Current Liabilities</t>
  </si>
  <si>
    <t>Current Liabilities</t>
  </si>
  <si>
    <t>Shareholders' Equity</t>
  </si>
  <si>
    <t>Current Assets</t>
  </si>
  <si>
    <t>Non-Current Assets</t>
  </si>
  <si>
    <t>Finance &gt;&gt;Key Financial Ratios</t>
  </si>
  <si>
    <t>Key Ratios</t>
  </si>
  <si>
    <t>Debt-Equity Ratio</t>
  </si>
  <si>
    <t>Interest Coverage  Ratio</t>
  </si>
  <si>
    <t>EBIDTA (%)</t>
  </si>
  <si>
    <t>EBIT (%)</t>
  </si>
  <si>
    <t>Book value per share</t>
  </si>
  <si>
    <t>Total  Assets Turnover Ratio</t>
  </si>
  <si>
    <t>Current Ratio</t>
  </si>
  <si>
    <t>Inventory Turnover Ratio</t>
  </si>
  <si>
    <t xml:space="preserve">Inventory days </t>
  </si>
  <si>
    <t>Debtors turnover ratio</t>
  </si>
  <si>
    <t>Receivable days outstanding</t>
  </si>
  <si>
    <t>PAT (%)</t>
  </si>
  <si>
    <t>ROCE (%)</t>
  </si>
  <si>
    <t>ROE (%)</t>
  </si>
  <si>
    <t>EPS</t>
  </si>
  <si>
    <t>Non Controlling Interest</t>
  </si>
  <si>
    <t>NCI %</t>
  </si>
  <si>
    <t xml:space="preserve">NET DEBT </t>
  </si>
  <si>
    <t>Analysis and Interpretations:</t>
  </si>
  <si>
    <t>Profitability:</t>
  </si>
  <si>
    <t>Gross profit margin is relatively stable, indicating consistent cost of goods sold management.</t>
  </si>
  <si>
    <t>Operating profit margin and EBITDA margin show more volatility, suggesting fluctuations in operating expenses and other income. The recent upward trend is a positive sign.</t>
  </si>
  <si>
    <t>Net profit margin is low and fluctuating, indicating inconsistent profitability after all expenses and taxes.</t>
  </si>
  <si>
    <t>ROA and ROE are also low and volatile, suggesting challenges in generating returns for asset holders and shareholders.</t>
  </si>
  <si>
    <t>Liquidity:</t>
  </si>
  <si>
    <t>The current ratio is consistently below 1 for most years, raising concerns about Adani Enterprises' ability to meet its short-term obligations. This is a significant red flag and requires further investigation.</t>
  </si>
  <si>
    <t>The quick and cash ratios are also low, reinforcing the liquidity concerns.</t>
  </si>
  <si>
    <t>Efficiency:</t>
  </si>
  <si>
    <t>Asset turnover has been volatile, indicating inconsistent efficiency in utilizing assets to generate revenue.</t>
  </si>
  <si>
    <t>Inventory turnover is relatively stable but has shown a downward trend in recent years, which might suggest slower-moving inventory.</t>
  </si>
  <si>
    <t>Receivables turnover has improved significantly in recent years, indicating better credit management and collection practices. This is a positive trend.</t>
  </si>
  <si>
    <t>Days' sales in inventory and days' sales outstanding reflect the trends in inventory and receivables turnover.</t>
  </si>
  <si>
    <t>Solvency:</t>
  </si>
  <si>
    <t>The debt-to-equity ratio is high and has increased significantly in recent years, indicating a heavy reliance on debt financing. This poses a significant financial risk.</t>
  </si>
  <si>
    <t>The interest coverage ratio is volatile and has been quite low in some years, suggesting potential difficulties in meeting interest payments.</t>
  </si>
  <si>
    <t>Overall Assessment:</t>
  </si>
  <si>
    <t>Based on this ratio analysis, Adani Enterprises exhibits some concerning trends and financial characteristics:</t>
  </si>
  <si>
    <r>
      <t>High Debt:</t>
    </r>
    <r>
      <rPr>
        <sz val="11"/>
        <color theme="1"/>
        <rFont val="Calibri"/>
        <family val="2"/>
        <scheme val="minor"/>
      </rPr>
      <t xml:space="preserve"> The high and increasing debt-to-equity ratio is a major red flag, indicating substantial financial risk.</t>
    </r>
  </si>
  <si>
    <r>
      <t>Liquidity Concerns:</t>
    </r>
    <r>
      <rPr>
        <sz val="11"/>
        <color theme="1"/>
        <rFont val="Calibri"/>
        <family val="2"/>
        <scheme val="minor"/>
      </rPr>
      <t xml:space="preserve"> The consistently low current ratio suggests potential difficulties in meeting short-term obligations.</t>
    </r>
  </si>
  <si>
    <r>
      <t>Inconsistent Profitability:</t>
    </r>
    <r>
      <rPr>
        <sz val="11"/>
        <color theme="1"/>
        <rFont val="Calibri"/>
        <family val="2"/>
        <scheme val="minor"/>
      </rPr>
      <t xml:space="preserve"> Profitability metrics are volatile and generally low, indicating inconsistent earnings generation.</t>
    </r>
  </si>
  <si>
    <r>
      <t>Efficiency Improvements:</t>
    </r>
    <r>
      <rPr>
        <sz val="11"/>
        <color theme="1"/>
        <rFont val="Calibri"/>
        <family val="2"/>
        <scheme val="minor"/>
      </rPr>
      <t xml:space="preserve"> There have been some improvements in receivables management, but asset turnover and inventory management require attention.</t>
    </r>
  </si>
  <si>
    <t>Recommendations:</t>
  </si>
  <si>
    <r>
      <t>Further Investigation:</t>
    </r>
    <r>
      <rPr>
        <sz val="11"/>
        <color theme="1"/>
        <rFont val="Calibri"/>
        <family val="2"/>
        <scheme val="minor"/>
      </rPr>
      <t xml:space="preserve"> A deeper dive into the company's financial statements, including the notes, is crucial to understand the drivers behind these ratios and assess the true extent of the risks.</t>
    </r>
  </si>
  <si>
    <r>
      <t>Debt Management:</t>
    </r>
    <r>
      <rPr>
        <sz val="11"/>
        <color theme="1"/>
        <rFont val="Calibri"/>
        <family val="2"/>
        <scheme val="minor"/>
      </rPr>
      <t xml:space="preserve"> Adani Enterprises needs to focus on reducing it</t>
    </r>
  </si>
  <si>
    <t>FY</t>
  </si>
  <si>
    <t>2023-24</t>
  </si>
  <si>
    <t>2022-23</t>
  </si>
  <si>
    <t>Key Financial Data for EPS Calculation</t>
  </si>
  <si>
    <t>Net Profit (After Tax) from Continuing Operations Attributable to Equity Shareholders (₹ Crore)</t>
  </si>
  <si>
    <t>Net Profit (₹ Crore)</t>
  </si>
  <si>
    <t>3,239.55​</t>
  </si>
  <si>
    <t>2,463.98​</t>
  </si>
  <si>
    <t>Weighted Average Number of Shares</t>
  </si>
  <si>
    <t>Basic Shares</t>
  </si>
  <si>
    <t>Diluted Shares</t>
  </si>
  <si>
    <t>Earnings Per Share (EPS) Calculation</t>
  </si>
  <si>
    <t>EPS (Basic)</t>
  </si>
  <si>
    <t>EPS (Diluted)</t>
  </si>
  <si>
    <t>₹ 102.90</t>
  </si>
  <si>
    <t>₹ 97.97</t>
  </si>
  <si>
    <t>₹ 97.96</t>
  </si>
  <si>
    <t>Metrics</t>
  </si>
  <si>
    <t>2023-24 (₹ crore)</t>
  </si>
  <si>
    <t>2022-23 (₹ crore)</t>
  </si>
  <si>
    <t>Value of Sales</t>
  </si>
  <si>
    <t>Income from Services</t>
  </si>
  <si>
    <t>Total Revenue</t>
  </si>
  <si>
    <t>Less: GST Recovered</t>
  </si>
  <si>
    <t>Revenue from Operations</t>
  </si>
  <si>
    <t>Other Income</t>
  </si>
  <si>
    <t>Total Income</t>
  </si>
  <si>
    <t>Cost of Materials Consumed</t>
  </si>
  <si>
    <t>Purchase of Stock-in-Trade</t>
  </si>
  <si>
    <t>Changes in Inventories</t>
  </si>
  <si>
    <t>Excise Duty</t>
  </si>
  <si>
    <t>Employee Benefits Expense</t>
  </si>
  <si>
    <t>Finance Costs</t>
  </si>
  <si>
    <t>Depreciation/Amortization/Depletion Expense</t>
  </si>
  <si>
    <t>Other Expenses</t>
  </si>
  <si>
    <t>Total Expenses</t>
  </si>
  <si>
    <t>Profit Before Share of Profit/(Loss) of Associates/Joint Ventures and Tax</t>
  </si>
  <si>
    <t>Share of Profit/(Loss) of Associates and Joint Ventures</t>
  </si>
  <si>
    <t>Current Tax</t>
  </si>
  <si>
    <t>Deferred Tax</t>
  </si>
  <si>
    <t>Total Tax Expenses</t>
  </si>
  <si>
    <t>Profit from Continuing Operations</t>
  </si>
  <si>
    <t>Profit from Discontinued Operations (Net of Tax)</t>
  </si>
  <si>
    <t>Profit for the Year</t>
  </si>
  <si>
    <t>Category</t>
  </si>
  <si>
    <t>As at 31st March, 2024 (₹ in crore)</t>
  </si>
  <si>
    <t>As at 31st March, 2023 (₹ in crore)</t>
  </si>
  <si>
    <t>Property, Plant and Equipment</t>
  </si>
  <si>
    <t>Spectrum</t>
  </si>
  <si>
    <t>Other Intangible Assets</t>
  </si>
  <si>
    <t>Goodwill</t>
  </si>
  <si>
    <t>Capital Work-in-Progress</t>
  </si>
  <si>
    <t>Spectrum Under Development</t>
  </si>
  <si>
    <t>Other Intangible Assets Under Development</t>
  </si>
  <si>
    <t>Loans</t>
  </si>
  <si>
    <t>Other Financial Assets</t>
  </si>
  <si>
    <t>Deferred Tax Assets (Net)</t>
  </si>
  <si>
    <t>Other Non-Current Assets</t>
  </si>
  <si>
    <t>Total Non-Current Assets</t>
  </si>
  <si>
    <t>Trade Receivables</t>
  </si>
  <si>
    <t>Cash and Cash Equivalents</t>
  </si>
  <si>
    <t>Other Current Assets</t>
  </si>
  <si>
    <t>Total Current Assets</t>
  </si>
  <si>
    <t>Equity Share Capital</t>
  </si>
  <si>
    <t>Other Equity</t>
  </si>
  <si>
    <t>Non-Controlling Interest</t>
  </si>
  <si>
    <t>Total Equity</t>
  </si>
  <si>
    <t>Borrowings</t>
  </si>
  <si>
    <t>Deferred Payment Liabilities</t>
  </si>
  <si>
    <t>Other Financial Liabilities</t>
  </si>
  <si>
    <t>Provisions</t>
  </si>
  <si>
    <t>Deferred Tax Liabilities (Net)</t>
  </si>
  <si>
    <t>Other Non-Current Liabilities</t>
  </si>
  <si>
    <t>Total Non-Current Liabilities</t>
  </si>
  <si>
    <t>Current Borrowings</t>
  </si>
  <si>
    <t>Other Current Liabilities</t>
  </si>
  <si>
    <t>Total Current Liabilities</t>
  </si>
  <si>
    <t>Total Equity and Liabilities</t>
  </si>
  <si>
    <t>Cash from Operating Activity -</t>
  </si>
  <si>
    <t>Profit from operations</t>
  </si>
  <si>
    <t>Receivables</t>
  </si>
  <si>
    <t>Inventory</t>
  </si>
  <si>
    <t>Payables</t>
  </si>
  <si>
    <t>Loans Advances</t>
  </si>
  <si>
    <t>Other WC items</t>
  </si>
  <si>
    <t>Working capital changes</t>
  </si>
  <si>
    <t>Direct taxes</t>
  </si>
  <si>
    <t>Other operating items</t>
  </si>
  <si>
    <t>Cash from Investing Activity -</t>
  </si>
  <si>
    <t>Fixed assets purchased</t>
  </si>
  <si>
    <t>Fixed assets sold</t>
  </si>
  <si>
    <t>Investments purchased</t>
  </si>
  <si>
    <t>Investments sold</t>
  </si>
  <si>
    <t>Investment income</t>
  </si>
  <si>
    <t>Interest received</t>
  </si>
  <si>
    <t>Dividends received</t>
  </si>
  <si>
    <t>Investment in group cos</t>
  </si>
  <si>
    <t>Redemp n Canc of Shares</t>
  </si>
  <si>
    <t>Acquisition of companies</t>
  </si>
  <si>
    <t>Other investing items</t>
  </si>
  <si>
    <t>Cash from Financing Activity -</t>
  </si>
  <si>
    <t>Proceeds from shares</t>
  </si>
  <si>
    <t>Proceeds from borrowings</t>
  </si>
  <si>
    <t>Repayment of borrowings</t>
  </si>
  <si>
    <t>Interest paid fin</t>
  </si>
  <si>
    <t>Dividends paid</t>
  </si>
  <si>
    <t>Financial liabilities</t>
  </si>
  <si>
    <t>Share application money</t>
  </si>
  <si>
    <t>Application money refund</t>
  </si>
  <si>
    <t>Other financing items</t>
  </si>
  <si>
    <t>Net Cash Flow</t>
  </si>
  <si>
    <t>PARTICULAR</t>
  </si>
  <si>
    <t>Segment</t>
  </si>
  <si>
    <t>Revenue 2023-24 (₹ Cr)</t>
  </si>
  <si>
    <t>Revenue 2022-23 (₹ Cr)</t>
  </si>
  <si>
    <t>EBIT 2023-24 (₹ Cr)</t>
  </si>
  <si>
    <t>EBIT 2022-23 (₹ Cr)</t>
  </si>
  <si>
    <t>Airports</t>
  </si>
  <si>
    <t>Green Hydrogen Ecosystem (ANIL)</t>
  </si>
  <si>
    <t>Roads</t>
  </si>
  <si>
    <t>Mining Services</t>
  </si>
  <si>
    <t>Integrated Resource Management</t>
  </si>
  <si>
    <t>Data Centers</t>
  </si>
  <si>
    <t>Copper Business</t>
  </si>
  <si>
    <t>PVC</t>
  </si>
  <si>
    <t>Digital Businesses</t>
  </si>
  <si>
    <t>Food &amp; FMCG (Adani Wilmar)</t>
  </si>
  <si>
    <t>Region</t>
  </si>
  <si>
    <t>India</t>
  </si>
  <si>
    <t>International</t>
  </si>
  <si>
    <t>Total</t>
  </si>
  <si>
    <t>Previous Year (₹ Cr)</t>
  </si>
  <si>
    <t>Proceeds from Issuance of Share Capital at Premium</t>
  </si>
  <si>
    <t>Proceeds from / (Repayment of) Current Borrowings (net)</t>
  </si>
  <si>
    <t>Proceeds from Issue of Non-Convertible Debentures (NCDs)</t>
  </si>
  <si>
    <t>Repayment of Non-Convertible Debentures (NCDs)</t>
  </si>
  <si>
    <t>Proceeds from Non-Current Borrowings</t>
  </si>
  <si>
    <t>Repayment of Non-Current Borrowings</t>
  </si>
  <si>
    <t>Repayment of Unsecured Perpetual Securities</t>
  </si>
  <si>
    <t>Distribution to Holders of Unsecured Perpetual Securities</t>
  </si>
  <si>
    <t>Finance Cost Paid</t>
  </si>
  <si>
    <t>Dividend Paid</t>
  </si>
  <si>
    <t>Payment of Lease Liabilities</t>
  </si>
  <si>
    <t>Net Cash Generated from / (Used in) Financing Activities</t>
  </si>
  <si>
    <t>Net Increase in Cash &amp; Cash Equivalents</t>
  </si>
  <si>
    <t>Cash &amp; Cash Equivalents at the Beginning of the Year</t>
  </si>
  <si>
    <t>Cash &amp; Cash Equivalents Pertaining to Discontinued Operations</t>
  </si>
  <si>
    <t>Cash &amp; Cash Equivalents at the End of the Year</t>
  </si>
  <si>
    <t>Current Year(2023-24) (₹ Cr)</t>
  </si>
  <si>
    <t>Growth</t>
  </si>
  <si>
    <t>2013</t>
  </si>
  <si>
    <t>2014</t>
  </si>
  <si>
    <t>2015</t>
  </si>
  <si>
    <t>2016</t>
  </si>
  <si>
    <t>2017</t>
  </si>
  <si>
    <t>2018</t>
  </si>
  <si>
    <t>2019</t>
  </si>
  <si>
    <t>2020</t>
  </si>
  <si>
    <t>2021</t>
  </si>
  <si>
    <t>2022</t>
  </si>
  <si>
    <t>2023</t>
  </si>
  <si>
    <t>Business Operations</t>
  </si>
  <si>
    <t>Adani Enterprises Ltd (AEL) is the flagship company of the Adani Group, a multinational conglomerate based in India. AEL operates in multiple sectors, including energy, infrastructure, logistics, mining, and defense. It serves as an incubator for new businesses within the Adani Group, nurturing them into independent entities.</t>
  </si>
  <si>
    <t>Key Products/Services</t>
  </si>
  <si>
    <r>
      <t>Energy &amp; Utilities</t>
    </r>
    <r>
      <rPr>
        <sz val="11"/>
        <color theme="1"/>
        <rFont val="Calibri"/>
        <family val="2"/>
        <scheme val="minor"/>
      </rPr>
      <t>: Coal trading, mining, and natural resources management.</t>
    </r>
  </si>
  <si>
    <r>
      <t>Infrastructure &amp; Logistics</t>
    </r>
    <r>
      <rPr>
        <sz val="11"/>
        <color theme="1"/>
        <rFont val="Calibri"/>
        <family val="2"/>
        <scheme val="minor"/>
      </rPr>
      <t>: Airports, roads, rail, and metro development.</t>
    </r>
  </si>
  <si>
    <r>
      <t>Renewable Energy</t>
    </r>
    <r>
      <rPr>
        <sz val="11"/>
        <color theme="1"/>
        <rFont val="Calibri"/>
        <family val="2"/>
        <scheme val="minor"/>
      </rPr>
      <t>: Solar module manufacturing and green hydrogen projects.</t>
    </r>
  </si>
  <si>
    <r>
      <t>Agri and Food Processing</t>
    </r>
    <r>
      <rPr>
        <sz val="11"/>
        <color theme="1"/>
        <rFont val="Calibri"/>
        <family val="2"/>
        <scheme val="minor"/>
      </rPr>
      <t>: Edible oil (Fortune brand) and food products.</t>
    </r>
  </si>
  <si>
    <r>
      <t>Aerospace &amp; Defense</t>
    </r>
    <r>
      <rPr>
        <sz val="11"/>
        <color theme="1"/>
        <rFont val="Calibri"/>
        <family val="2"/>
        <scheme val="minor"/>
      </rPr>
      <t>: UAVs, defense manufacturing, and security solutions.</t>
    </r>
  </si>
  <si>
    <t>Market Position</t>
  </si>
  <si>
    <t>AEL is a leading infrastructure development company in India, playing a crucial role in sectors like airports, mining, and renewable energy. It is known for pioneering large-scale projects and expanding into new industries, solidifying the Adani Group’s dominance in infrastructure and energy markets.</t>
  </si>
  <si>
    <t>Industry Trends</t>
  </si>
  <si>
    <r>
      <t>Green Energy Transition</t>
    </r>
    <r>
      <rPr>
        <sz val="11"/>
        <color theme="1"/>
        <rFont val="Calibri"/>
        <family val="2"/>
        <scheme val="minor"/>
      </rPr>
      <t>: Increasing investments in solar, wind, and hydrogen energy projects.</t>
    </r>
  </si>
  <si>
    <r>
      <t>Infrastructure Growth</t>
    </r>
    <r>
      <rPr>
        <sz val="11"/>
        <color theme="1"/>
        <rFont val="Calibri"/>
        <family val="2"/>
        <scheme val="minor"/>
      </rPr>
      <t>: Expanding airports, roads, and urban transport systems to support India’s economic development.</t>
    </r>
  </si>
  <si>
    <r>
      <t>Digital &amp; Defense Innovations</t>
    </r>
    <r>
      <rPr>
        <sz val="11"/>
        <color theme="1"/>
        <rFont val="Calibri"/>
        <family val="2"/>
        <scheme val="minor"/>
      </rPr>
      <t>: Rising demand for aerospace technology and security solutions.</t>
    </r>
  </si>
  <si>
    <r>
      <t>Sustainability &amp; ESG Compliance</t>
    </r>
    <r>
      <rPr>
        <sz val="11"/>
        <color theme="1"/>
        <rFont val="Calibri"/>
        <family val="2"/>
        <scheme val="minor"/>
      </rPr>
      <t>: Greater focus on reducing carbon footprints and adhering to global environmental standards.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</si>
</sst>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 #,##0_ ;_ * \-#,##0_ ;_ * &quot;-&quot;??_ ;_ @_ "/>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22222F"/>
      <name val="Arial"/>
      <family val="2"/>
    </font>
    <font>
      <sz val="12"/>
      <color theme="1"/>
      <name val="Calibri"/>
      <family val="2"/>
      <scheme val="minor"/>
    </font>
    <font>
      <b/>
      <sz val="12"/>
      <color theme="1"/>
      <name val="Calibri"/>
      <family val="2"/>
      <scheme val="minor"/>
    </font>
    <font>
      <sz val="11"/>
      <color rgb="FF22222F"/>
      <name val="Arial"/>
      <family val="2"/>
    </font>
    <font>
      <sz val="11"/>
      <color rgb="FF22222F"/>
      <name val="Arial"/>
      <family val="2"/>
    </font>
    <font>
      <b/>
      <sz val="14"/>
      <color theme="1"/>
      <name val="Calibri"/>
      <family val="2"/>
      <scheme val="minor"/>
    </font>
    <font>
      <b/>
      <sz val="8"/>
      <color rgb="FF0D0D0D"/>
      <name val="Segoe UI"/>
      <family val="2"/>
    </font>
    <font>
      <sz val="9.6"/>
      <color rgb="FF0D0D0D"/>
      <name val="Segoe UI"/>
      <family val="2"/>
    </font>
    <font>
      <sz val="9.6"/>
      <color rgb="FF0D0D0D"/>
      <name val="Segoe UI"/>
      <family val="2"/>
    </font>
    <font>
      <b/>
      <sz val="14"/>
      <color theme="0"/>
      <name val="Calibri"/>
      <family val="2"/>
      <scheme val="minor"/>
    </font>
    <font>
      <sz val="14"/>
      <color theme="1"/>
      <name val="Calibri"/>
      <family val="2"/>
      <scheme val="minor"/>
    </font>
    <font>
      <b/>
      <sz val="13.5"/>
      <color theme="1"/>
      <name val="Calibri"/>
      <family val="2"/>
      <scheme val="minor"/>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FF"/>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bottom style="thin">
        <color indexed="64"/>
      </bottom>
      <diagonal/>
    </border>
    <border>
      <left/>
      <right/>
      <top/>
      <bottom style="medium">
        <color rgb="FF000000"/>
      </bottom>
      <diagonal/>
    </border>
    <border>
      <left style="medium">
        <color rgb="FF000000"/>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4" borderId="0" xfId="0" applyFill="1"/>
    <xf numFmtId="0" fontId="4" fillId="4" borderId="0" xfId="0" applyFont="1" applyFill="1" applyAlignment="1">
      <alignment horizontal="left" vertical="center"/>
    </xf>
    <xf numFmtId="3" fontId="4" fillId="4" borderId="0" xfId="0" applyNumberFormat="1" applyFont="1" applyFill="1" applyAlignment="1">
      <alignment horizontal="right" vertical="center" wrapText="1"/>
    </xf>
    <xf numFmtId="0" fontId="4" fillId="4" borderId="0" xfId="0" applyFont="1" applyFill="1" applyAlignment="1">
      <alignment horizontal="right" vertical="center" wrapText="1"/>
    </xf>
    <xf numFmtId="9" fontId="0" fillId="0" borderId="0" xfId="1" applyFont="1"/>
    <xf numFmtId="0" fontId="0" fillId="0" borderId="0" xfId="1" applyNumberFormat="1" applyFont="1"/>
    <xf numFmtId="0" fontId="5" fillId="0" borderId="0" xfId="0" applyFont="1"/>
    <xf numFmtId="0" fontId="6" fillId="5" borderId="0" xfId="0" applyFont="1" applyFill="1"/>
    <xf numFmtId="0" fontId="6" fillId="6" borderId="0" xfId="0" applyFont="1" applyFill="1"/>
    <xf numFmtId="0" fontId="6" fillId="7" borderId="0" xfId="0" applyFont="1" applyFill="1"/>
    <xf numFmtId="0" fontId="6" fillId="8" borderId="0" xfId="0" applyFont="1" applyFill="1"/>
    <xf numFmtId="10" fontId="0" fillId="0" borderId="0" xfId="1" applyNumberFormat="1" applyFont="1"/>
    <xf numFmtId="17" fontId="7" fillId="4" borderId="0" xfId="0" applyNumberFormat="1" applyFont="1" applyFill="1" applyAlignment="1">
      <alignment horizontal="right" vertical="center" wrapText="1"/>
    </xf>
    <xf numFmtId="0" fontId="8" fillId="4" borderId="0" xfId="0" applyFont="1" applyFill="1" applyAlignment="1">
      <alignment horizontal="left" vertical="center"/>
    </xf>
    <xf numFmtId="3" fontId="8" fillId="4" borderId="0" xfId="0" applyNumberFormat="1" applyFont="1" applyFill="1" applyAlignment="1">
      <alignment horizontal="right" vertical="center" wrapText="1"/>
    </xf>
    <xf numFmtId="0" fontId="8" fillId="4" borderId="0" xfId="0" applyFont="1" applyFill="1" applyAlignment="1">
      <alignment horizontal="right" vertical="center" wrapText="1"/>
    </xf>
    <xf numFmtId="0" fontId="9" fillId="9" borderId="4" xfId="0" applyFont="1" applyFill="1" applyBorder="1"/>
    <xf numFmtId="165" fontId="9" fillId="9" borderId="4" xfId="0" applyNumberFormat="1" applyFont="1" applyFill="1" applyBorder="1"/>
    <xf numFmtId="0" fontId="9" fillId="9" borderId="0" xfId="0" applyFont="1" applyFill="1"/>
    <xf numFmtId="165" fontId="9" fillId="10" borderId="4" xfId="0" applyNumberFormat="1" applyFont="1" applyFill="1" applyBorder="1"/>
    <xf numFmtId="1" fontId="9" fillId="10" borderId="4" xfId="0" applyNumberFormat="1" applyFont="1" applyFill="1" applyBorder="1"/>
    <xf numFmtId="0" fontId="9" fillId="10" borderId="4" xfId="0" applyFont="1" applyFill="1" applyBorder="1"/>
    <xf numFmtId="0" fontId="9" fillId="10" borderId="0" xfId="0" applyFont="1" applyFill="1"/>
    <xf numFmtId="9" fontId="0" fillId="0" borderId="0" xfId="0" applyNumberFormat="1"/>
    <xf numFmtId="10" fontId="0" fillId="0" borderId="0" xfId="0" applyNumberFormat="1"/>
    <xf numFmtId="3" fontId="0" fillId="0" borderId="0" xfId="0" applyNumberFormat="1"/>
    <xf numFmtId="0" fontId="3" fillId="0" borderId="0" xfId="0" applyFont="1"/>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10" fillId="0" borderId="0" xfId="0" applyFont="1" applyAlignment="1">
      <alignment vertical="center" wrapText="1"/>
    </xf>
    <xf numFmtId="0" fontId="11" fillId="4" borderId="5" xfId="0" applyFont="1" applyFill="1" applyBorder="1" applyAlignment="1">
      <alignment horizontal="center" wrapText="1"/>
    </xf>
    <xf numFmtId="0" fontId="11" fillId="4" borderId="6" xfId="0" applyFont="1" applyFill="1" applyBorder="1" applyAlignment="1">
      <alignment horizontal="center" wrapText="1"/>
    </xf>
    <xf numFmtId="0" fontId="12" fillId="4" borderId="7" xfId="0" applyFont="1" applyFill="1" applyBorder="1" applyAlignment="1">
      <alignment vertical="center" wrapText="1"/>
    </xf>
    <xf numFmtId="0" fontId="12" fillId="4" borderId="8" xfId="0" applyFont="1" applyFill="1" applyBorder="1" applyAlignment="1">
      <alignment vertical="center" wrapText="1"/>
    </xf>
    <xf numFmtId="3" fontId="12" fillId="4" borderId="7" xfId="0" applyNumberFormat="1" applyFont="1" applyFill="1" applyBorder="1" applyAlignment="1">
      <alignment vertical="center" wrapText="1"/>
    </xf>
    <xf numFmtId="3" fontId="12" fillId="4" borderId="8" xfId="0" applyNumberFormat="1" applyFont="1" applyFill="1" applyBorder="1" applyAlignment="1">
      <alignment vertical="center" wrapText="1"/>
    </xf>
    <xf numFmtId="0" fontId="3" fillId="0" borderId="9" xfId="0" applyFont="1" applyBorder="1" applyAlignment="1">
      <alignment horizontal="center" vertical="top"/>
    </xf>
    <xf numFmtId="0" fontId="11" fillId="4" borderId="10" xfId="0" applyFont="1" applyFill="1" applyBorder="1" applyAlignment="1">
      <alignment vertical="center" wrapText="1"/>
    </xf>
    <xf numFmtId="0" fontId="11" fillId="4" borderId="10" xfId="0" applyFont="1" applyFill="1" applyBorder="1" applyAlignment="1">
      <alignment horizontal="center" wrapText="1"/>
    </xf>
    <xf numFmtId="0" fontId="11" fillId="4" borderId="7" xfId="0" applyFont="1" applyFill="1" applyBorder="1" applyAlignment="1">
      <alignment horizontal="center" wrapText="1"/>
    </xf>
    <xf numFmtId="0" fontId="11" fillId="4" borderId="0" xfId="0" applyFont="1" applyFill="1" applyAlignment="1">
      <alignment vertical="center" wrapText="1"/>
    </xf>
    <xf numFmtId="3" fontId="12" fillId="4" borderId="11" xfId="0" applyNumberFormat="1" applyFont="1" applyFill="1" applyBorder="1" applyAlignment="1">
      <alignment vertical="center" wrapText="1"/>
    </xf>
    <xf numFmtId="3" fontId="11" fillId="4" borderId="11" xfId="0" applyNumberFormat="1" applyFont="1" applyFill="1" applyBorder="1" applyAlignment="1">
      <alignment vertical="center" wrapText="1"/>
    </xf>
    <xf numFmtId="0" fontId="14" fillId="0" borderId="0" xfId="0" applyFont="1"/>
    <xf numFmtId="0" fontId="13" fillId="2" borderId="3" xfId="0" applyFont="1" applyFill="1" applyBorder="1"/>
    <xf numFmtId="9" fontId="0" fillId="3" borderId="3" xfId="0" applyNumberFormat="1" applyFill="1" applyBorder="1"/>
    <xf numFmtId="9" fontId="0" fillId="0" borderId="3" xfId="0" applyNumberFormat="1" applyBorder="1"/>
    <xf numFmtId="2" fontId="0" fillId="0" borderId="0" xfId="0" applyNumberFormat="1"/>
    <xf numFmtId="0" fontId="14" fillId="5" borderId="12" xfId="0" applyFont="1" applyFill="1" applyBorder="1"/>
    <xf numFmtId="1" fontId="14" fillId="5" borderId="9" xfId="0" applyNumberFormat="1" applyFont="1" applyFill="1" applyBorder="1"/>
    <xf numFmtId="0" fontId="14" fillId="5" borderId="9" xfId="0" applyFont="1" applyFill="1" applyBorder="1"/>
    <xf numFmtId="0" fontId="14" fillId="5" borderId="13" xfId="0" applyFont="1" applyFill="1" applyBorder="1"/>
    <xf numFmtId="0" fontId="14" fillId="11" borderId="14" xfId="0" applyFont="1" applyFill="1" applyBorder="1"/>
    <xf numFmtId="164" fontId="14" fillId="11" borderId="15" xfId="1" applyNumberFormat="1" applyFont="1" applyFill="1" applyBorder="1"/>
    <xf numFmtId="164" fontId="14" fillId="11" borderId="16" xfId="1" applyNumberFormat="1" applyFont="1" applyFill="1" applyBorder="1"/>
    <xf numFmtId="0" fontId="15" fillId="0" borderId="0" xfId="0" applyFont="1" applyAlignment="1">
      <alignment vertical="center"/>
    </xf>
    <xf numFmtId="0" fontId="0" fillId="12" borderId="0" xfId="0" applyFill="1"/>
    <xf numFmtId="3" fontId="4" fillId="12" borderId="0" xfId="0" applyNumberFormat="1" applyFont="1" applyFill="1" applyAlignment="1">
      <alignment horizontal="right" vertical="center" wrapText="1"/>
    </xf>
    <xf numFmtId="0" fontId="4" fillId="12" borderId="0" xfId="0" applyFont="1" applyFill="1" applyAlignment="1">
      <alignment horizontal="left" vertical="center"/>
    </xf>
    <xf numFmtId="0" fontId="8" fillId="12" borderId="0" xfId="0" applyFont="1" applyFill="1" applyAlignment="1">
      <alignment horizontal="left" vertical="center"/>
    </xf>
    <xf numFmtId="3" fontId="8" fillId="12" borderId="0" xfId="0" applyNumberFormat="1" applyFont="1" applyFill="1" applyAlignment="1">
      <alignment horizontal="right" vertical="center" wrapText="1"/>
    </xf>
  </cellXfs>
  <cellStyles count="2">
    <cellStyle name="Normal" xfId="0" builtinId="0"/>
    <cellStyle name="Percent" xfId="1" builtinId="5"/>
  </cellStyles>
  <dxfs count="112">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numFmt numFmtId="164" formatCode="0.0%"/>
      <fill>
        <patternFill patternType="solid">
          <fgColor indexed="64"/>
          <bgColor theme="0" tint="-4.9989318521683403E-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0" tint="-4.9989318521683403E-2"/>
        </patternFill>
      </fill>
    </dxf>
    <dxf>
      <border outline="0">
        <bottom style="thin">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2"/>
        </patternFill>
      </fill>
      <border diagonalUp="0" diagonalDown="0" outline="0">
        <left style="thin">
          <color indexed="64"/>
        </left>
        <right style="thin">
          <color indexed="64"/>
        </right>
        <top/>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22" formatCode="mmm\-yy"/>
      <fill>
        <patternFill patternType="solid">
          <fgColor indexed="64"/>
          <bgColor rgb="FFFFFFFF"/>
        </patternFill>
      </fill>
      <alignment horizontal="right"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numFmt numFmtId="22" formatCode="mmm\-yy"/>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numFmt numFmtId="3" formatCode="#,##0"/>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left" vertical="center" textRotation="0" wrapText="0" indent="0" justifyLastLine="0" shrinkToFit="0" readingOrder="0"/>
    </dxf>
    <dxf>
      <fill>
        <patternFill patternType="solid">
          <fgColor indexed="64"/>
          <bgColor rgb="FFFFFFFF"/>
        </patternFill>
      </fill>
    </dxf>
    <dxf>
      <font>
        <b val="0"/>
        <i val="0"/>
        <strike val="0"/>
        <condense val="0"/>
        <extend val="0"/>
        <outline val="0"/>
        <shadow val="0"/>
        <u val="none"/>
        <vertAlign val="baseline"/>
        <sz val="11"/>
        <color rgb="FF22222F"/>
        <name val="Arial"/>
        <family val="2"/>
        <scheme val="none"/>
      </font>
      <fill>
        <patternFill patternType="solid">
          <fgColor indexed="64"/>
          <bgColor rgb="FFFFFFFF"/>
        </patternFill>
      </fill>
      <alignment horizontal="right" vertical="center" textRotation="0" wrapText="1" indent="0" justifyLastLine="0" shrinkToFit="0" readingOrder="0"/>
    </dxf>
    <dxf>
      <fill>
        <patternFill patternType="solid">
          <fgColor indexed="64"/>
          <bgColor rgb="FFFFFFFF"/>
        </patternFill>
      </fill>
    </dxf>
    <dxf>
      <numFmt numFmtId="13" formatCode="0%"/>
    </dxf>
    <dxf>
      <numFmt numFmtId="0" formatCode="General"/>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top/>
        <bottom style="medium">
          <color rgb="FF000000"/>
        </bottom>
        <vertical/>
        <horizontal/>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000000"/>
        </bottom>
      </border>
    </dxf>
    <dxf>
      <font>
        <b val="0"/>
        <i val="0"/>
        <strike val="0"/>
        <condense val="0"/>
        <extend val="0"/>
        <outline val="0"/>
        <shadow val="0"/>
        <u val="none"/>
        <vertAlign val="baseline"/>
        <sz val="9.6"/>
        <color rgb="FF0D0D0D"/>
        <name val="Segoe UI"/>
        <family val="2"/>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medium">
          <color rgb="FF000000"/>
        </left>
        <right style="medium">
          <color rgb="FF000000"/>
        </right>
        <top/>
        <bottom/>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SEGMENTWISE</a:t>
            </a:r>
            <a:r>
              <a:rPr lang="en-US" baseline="0"/>
              <a:t> </a:t>
            </a:r>
            <a:r>
              <a:rPr lang="en-US"/>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 Wise Performance'!$B$1</c:f>
              <c:strCache>
                <c:ptCount val="1"/>
                <c:pt idx="0">
                  <c:v>Revenue 2023-24 (₹ Cr)</c:v>
                </c:pt>
              </c:strCache>
            </c:strRef>
          </c:tx>
          <c:spPr>
            <a:solidFill>
              <a:schemeClr val="accent1"/>
            </a:solidFill>
            <a:ln>
              <a:noFill/>
            </a:ln>
            <a:effectLst/>
          </c:spPr>
          <c:invertIfNegative val="0"/>
          <c:cat>
            <c:strRef>
              <c:f>'Segment Wise Performance'!$A$2:$A$11</c:f>
              <c:strCache>
                <c:ptCount val="10"/>
                <c:pt idx="0">
                  <c:v>Airports</c:v>
                </c:pt>
                <c:pt idx="1">
                  <c:v>Green Hydrogen Ecosystem (ANIL)</c:v>
                </c:pt>
                <c:pt idx="2">
                  <c:v>Roads</c:v>
                </c:pt>
                <c:pt idx="3">
                  <c:v>Mining Services</c:v>
                </c:pt>
                <c:pt idx="4">
                  <c:v>Integrated Resource Management</c:v>
                </c:pt>
                <c:pt idx="5">
                  <c:v>Data Centers</c:v>
                </c:pt>
                <c:pt idx="6">
                  <c:v>Copper Business</c:v>
                </c:pt>
                <c:pt idx="7">
                  <c:v>PVC</c:v>
                </c:pt>
                <c:pt idx="8">
                  <c:v>Digital Businesses</c:v>
                </c:pt>
                <c:pt idx="9">
                  <c:v>Food &amp; FMCG (Adani Wilmar)</c:v>
                </c:pt>
              </c:strCache>
            </c:strRef>
          </c:cat>
          <c:val>
            <c:numRef>
              <c:f>'Segment Wise Performance'!$B$2:$B$11</c:f>
              <c:numCache>
                <c:formatCode>#,##0</c:formatCode>
                <c:ptCount val="10"/>
                <c:pt idx="0">
                  <c:v>8062</c:v>
                </c:pt>
                <c:pt idx="1">
                  <c:v>10000</c:v>
                </c:pt>
                <c:pt idx="2">
                  <c:v>3500</c:v>
                </c:pt>
                <c:pt idx="3">
                  <c:v>12000</c:v>
                </c:pt>
                <c:pt idx="4">
                  <c:v>45000</c:v>
                </c:pt>
                <c:pt idx="5">
                  <c:v>2000</c:v>
                </c:pt>
                <c:pt idx="6">
                  <c:v>4500</c:v>
                </c:pt>
                <c:pt idx="7">
                  <c:v>5000</c:v>
                </c:pt>
                <c:pt idx="8">
                  <c:v>2500</c:v>
                </c:pt>
                <c:pt idx="9">
                  <c:v>51262</c:v>
                </c:pt>
              </c:numCache>
            </c:numRef>
          </c:val>
          <c:extLst>
            <c:ext xmlns:c16="http://schemas.microsoft.com/office/drawing/2014/chart" uri="{C3380CC4-5D6E-409C-BE32-E72D297353CC}">
              <c16:uniqueId val="{00000000-7CAB-4DB3-89C5-FF900950F56E}"/>
            </c:ext>
          </c:extLst>
        </c:ser>
        <c:ser>
          <c:idx val="1"/>
          <c:order val="1"/>
          <c:tx>
            <c:strRef>
              <c:f>'Segment Wise Performance'!$C$1</c:f>
              <c:strCache>
                <c:ptCount val="1"/>
                <c:pt idx="0">
                  <c:v>Revenue 2022-23 (₹ Cr)</c:v>
                </c:pt>
              </c:strCache>
            </c:strRef>
          </c:tx>
          <c:spPr>
            <a:solidFill>
              <a:schemeClr val="accent2"/>
            </a:solidFill>
            <a:ln>
              <a:noFill/>
            </a:ln>
            <a:effectLst/>
          </c:spPr>
          <c:invertIfNegative val="0"/>
          <c:cat>
            <c:strRef>
              <c:f>'Segment Wise Performance'!$A$2:$A$11</c:f>
              <c:strCache>
                <c:ptCount val="10"/>
                <c:pt idx="0">
                  <c:v>Airports</c:v>
                </c:pt>
                <c:pt idx="1">
                  <c:v>Green Hydrogen Ecosystem (ANIL)</c:v>
                </c:pt>
                <c:pt idx="2">
                  <c:v>Roads</c:v>
                </c:pt>
                <c:pt idx="3">
                  <c:v>Mining Services</c:v>
                </c:pt>
                <c:pt idx="4">
                  <c:v>Integrated Resource Management</c:v>
                </c:pt>
                <c:pt idx="5">
                  <c:v>Data Centers</c:v>
                </c:pt>
                <c:pt idx="6">
                  <c:v>Copper Business</c:v>
                </c:pt>
                <c:pt idx="7">
                  <c:v>PVC</c:v>
                </c:pt>
                <c:pt idx="8">
                  <c:v>Digital Businesses</c:v>
                </c:pt>
                <c:pt idx="9">
                  <c:v>Food &amp; FMCG (Adani Wilmar)</c:v>
                </c:pt>
              </c:strCache>
            </c:strRef>
          </c:cat>
          <c:val>
            <c:numRef>
              <c:f>'Segment Wise Performance'!$C$2:$C$11</c:f>
              <c:numCache>
                <c:formatCode>#,##0</c:formatCode>
                <c:ptCount val="10"/>
                <c:pt idx="0">
                  <c:v>5989</c:v>
                </c:pt>
                <c:pt idx="1">
                  <c:v>4000</c:v>
                </c:pt>
                <c:pt idx="2">
                  <c:v>2500</c:v>
                </c:pt>
                <c:pt idx="3">
                  <c:v>10000</c:v>
                </c:pt>
                <c:pt idx="4">
                  <c:v>40000</c:v>
                </c:pt>
                <c:pt idx="5">
                  <c:v>1500</c:v>
                </c:pt>
                <c:pt idx="6">
                  <c:v>2500</c:v>
                </c:pt>
                <c:pt idx="7">
                  <c:v>3000</c:v>
                </c:pt>
                <c:pt idx="8">
                  <c:v>1500</c:v>
                </c:pt>
                <c:pt idx="9">
                  <c:v>48000</c:v>
                </c:pt>
              </c:numCache>
            </c:numRef>
          </c:val>
          <c:extLst>
            <c:ext xmlns:c16="http://schemas.microsoft.com/office/drawing/2014/chart" uri="{C3380CC4-5D6E-409C-BE32-E72D297353CC}">
              <c16:uniqueId val="{00000001-7CAB-4DB3-89C5-FF900950F56E}"/>
            </c:ext>
          </c:extLst>
        </c:ser>
        <c:ser>
          <c:idx val="2"/>
          <c:order val="2"/>
          <c:tx>
            <c:strRef>
              <c:f>'Segment Wise Performance'!$D$1</c:f>
              <c:strCache>
                <c:ptCount val="1"/>
                <c:pt idx="0">
                  <c:v>EBIT 2023-24 (₹ Cr)</c:v>
                </c:pt>
              </c:strCache>
            </c:strRef>
          </c:tx>
          <c:spPr>
            <a:solidFill>
              <a:schemeClr val="accent3"/>
            </a:solidFill>
            <a:ln>
              <a:noFill/>
            </a:ln>
            <a:effectLst/>
          </c:spPr>
          <c:invertIfNegative val="0"/>
          <c:cat>
            <c:strRef>
              <c:f>'Segment Wise Performance'!$A$2:$A$11</c:f>
              <c:strCache>
                <c:ptCount val="10"/>
                <c:pt idx="0">
                  <c:v>Airports</c:v>
                </c:pt>
                <c:pt idx="1">
                  <c:v>Green Hydrogen Ecosystem (ANIL)</c:v>
                </c:pt>
                <c:pt idx="2">
                  <c:v>Roads</c:v>
                </c:pt>
                <c:pt idx="3">
                  <c:v>Mining Services</c:v>
                </c:pt>
                <c:pt idx="4">
                  <c:v>Integrated Resource Management</c:v>
                </c:pt>
                <c:pt idx="5">
                  <c:v>Data Centers</c:v>
                </c:pt>
                <c:pt idx="6">
                  <c:v>Copper Business</c:v>
                </c:pt>
                <c:pt idx="7">
                  <c:v>PVC</c:v>
                </c:pt>
                <c:pt idx="8">
                  <c:v>Digital Businesses</c:v>
                </c:pt>
                <c:pt idx="9">
                  <c:v>Food &amp; FMCG (Adani Wilmar)</c:v>
                </c:pt>
              </c:strCache>
            </c:strRef>
          </c:cat>
          <c:val>
            <c:numRef>
              <c:f>'Segment Wise Performance'!$D$2:$D$11</c:f>
              <c:numCache>
                <c:formatCode>#,##0</c:formatCode>
                <c:ptCount val="10"/>
                <c:pt idx="0">
                  <c:v>2437</c:v>
                </c:pt>
                <c:pt idx="1">
                  <c:v>2296</c:v>
                </c:pt>
                <c:pt idx="2" formatCode="General">
                  <c:v>900</c:v>
                </c:pt>
                <c:pt idx="3">
                  <c:v>3500</c:v>
                </c:pt>
                <c:pt idx="4">
                  <c:v>4000</c:v>
                </c:pt>
                <c:pt idx="5" formatCode="General">
                  <c:v>500</c:v>
                </c:pt>
                <c:pt idx="6">
                  <c:v>1000</c:v>
                </c:pt>
                <c:pt idx="7">
                  <c:v>1200</c:v>
                </c:pt>
                <c:pt idx="8" formatCode="General">
                  <c:v>600</c:v>
                </c:pt>
                <c:pt idx="9">
                  <c:v>1400</c:v>
                </c:pt>
              </c:numCache>
            </c:numRef>
          </c:val>
          <c:extLst>
            <c:ext xmlns:c16="http://schemas.microsoft.com/office/drawing/2014/chart" uri="{C3380CC4-5D6E-409C-BE32-E72D297353CC}">
              <c16:uniqueId val="{00000002-7CAB-4DB3-89C5-FF900950F56E}"/>
            </c:ext>
          </c:extLst>
        </c:ser>
        <c:ser>
          <c:idx val="3"/>
          <c:order val="3"/>
          <c:tx>
            <c:strRef>
              <c:f>'Segment Wise Performance'!$E$1</c:f>
              <c:strCache>
                <c:ptCount val="1"/>
                <c:pt idx="0">
                  <c:v>EBIT 2022-23 (₹ Cr)</c:v>
                </c:pt>
              </c:strCache>
            </c:strRef>
          </c:tx>
          <c:spPr>
            <a:solidFill>
              <a:schemeClr val="accent4"/>
            </a:solidFill>
            <a:ln>
              <a:noFill/>
            </a:ln>
            <a:effectLst/>
          </c:spPr>
          <c:invertIfNegative val="0"/>
          <c:cat>
            <c:strRef>
              <c:f>'Segment Wise Performance'!$A$2:$A$11</c:f>
              <c:strCache>
                <c:ptCount val="10"/>
                <c:pt idx="0">
                  <c:v>Airports</c:v>
                </c:pt>
                <c:pt idx="1">
                  <c:v>Green Hydrogen Ecosystem (ANIL)</c:v>
                </c:pt>
                <c:pt idx="2">
                  <c:v>Roads</c:v>
                </c:pt>
                <c:pt idx="3">
                  <c:v>Mining Services</c:v>
                </c:pt>
                <c:pt idx="4">
                  <c:v>Integrated Resource Management</c:v>
                </c:pt>
                <c:pt idx="5">
                  <c:v>Data Centers</c:v>
                </c:pt>
                <c:pt idx="6">
                  <c:v>Copper Business</c:v>
                </c:pt>
                <c:pt idx="7">
                  <c:v>PVC</c:v>
                </c:pt>
                <c:pt idx="8">
                  <c:v>Digital Businesses</c:v>
                </c:pt>
                <c:pt idx="9">
                  <c:v>Food &amp; FMCG (Adani Wilmar)</c:v>
                </c:pt>
              </c:strCache>
            </c:strRef>
          </c:cat>
          <c:val>
            <c:numRef>
              <c:f>'Segment Wise Performance'!$E$2:$E$11</c:f>
              <c:numCache>
                <c:formatCode>General</c:formatCode>
                <c:ptCount val="10"/>
                <c:pt idx="0" formatCode="#,##0">
                  <c:v>1681</c:v>
                </c:pt>
                <c:pt idx="1">
                  <c:v>499</c:v>
                </c:pt>
                <c:pt idx="2">
                  <c:v>600</c:v>
                </c:pt>
                <c:pt idx="3" formatCode="#,##0">
                  <c:v>2800</c:v>
                </c:pt>
                <c:pt idx="4" formatCode="#,##0">
                  <c:v>3200</c:v>
                </c:pt>
                <c:pt idx="5">
                  <c:v>300</c:v>
                </c:pt>
                <c:pt idx="6">
                  <c:v>500</c:v>
                </c:pt>
                <c:pt idx="7">
                  <c:v>700</c:v>
                </c:pt>
                <c:pt idx="8">
                  <c:v>400</c:v>
                </c:pt>
                <c:pt idx="9" formatCode="#,##0">
                  <c:v>1000</c:v>
                </c:pt>
              </c:numCache>
            </c:numRef>
          </c:val>
          <c:extLst>
            <c:ext xmlns:c16="http://schemas.microsoft.com/office/drawing/2014/chart" uri="{C3380CC4-5D6E-409C-BE32-E72D297353CC}">
              <c16:uniqueId val="{00000003-7CAB-4DB3-89C5-FF900950F56E}"/>
            </c:ext>
          </c:extLst>
        </c:ser>
        <c:dLbls>
          <c:showLegendKey val="0"/>
          <c:showVal val="0"/>
          <c:showCatName val="0"/>
          <c:showSerName val="0"/>
          <c:showPercent val="0"/>
          <c:showBubbleSize val="0"/>
        </c:dLbls>
        <c:gapWidth val="219"/>
        <c:overlap val="-27"/>
        <c:axId val="617350560"/>
        <c:axId val="617351520"/>
      </c:barChart>
      <c:catAx>
        <c:axId val="6173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51520"/>
        <c:crosses val="autoZero"/>
        <c:auto val="1"/>
        <c:lblAlgn val="ctr"/>
        <c:lblOffset val="100"/>
        <c:noMultiLvlLbl val="0"/>
      </c:catAx>
      <c:valAx>
        <c:axId val="61735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5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'Geographical Revenue'!$B$1</c:f>
              <c:strCache>
                <c:ptCount val="1"/>
                <c:pt idx="0">
                  <c:v>Revenue 2023-24 (₹ Cr)</c:v>
                </c:pt>
              </c:strCache>
            </c:strRef>
          </c:tx>
          <c:spPr>
            <a:solidFill>
              <a:schemeClr val="accent1"/>
            </a:solidFill>
            <a:ln>
              <a:noFill/>
            </a:ln>
            <a:effectLst/>
          </c:spPr>
          <c:invertIfNegative val="0"/>
          <c:cat>
            <c:strRef>
              <c:f>'Geographical Revenue'!$A$2:$A$4</c:f>
              <c:strCache>
                <c:ptCount val="3"/>
                <c:pt idx="0">
                  <c:v>India</c:v>
                </c:pt>
                <c:pt idx="1">
                  <c:v>International</c:v>
                </c:pt>
                <c:pt idx="2">
                  <c:v>Total</c:v>
                </c:pt>
              </c:strCache>
            </c:strRef>
          </c:cat>
          <c:val>
            <c:numRef>
              <c:f>'Geographical Revenue'!$B$2:$B$4</c:f>
              <c:numCache>
                <c:formatCode>#,##0</c:formatCode>
                <c:ptCount val="3"/>
                <c:pt idx="0">
                  <c:v>68000</c:v>
                </c:pt>
                <c:pt idx="1">
                  <c:v>30282</c:v>
                </c:pt>
                <c:pt idx="2">
                  <c:v>98282</c:v>
                </c:pt>
              </c:numCache>
            </c:numRef>
          </c:val>
          <c:extLst>
            <c:ext xmlns:c16="http://schemas.microsoft.com/office/drawing/2014/chart" uri="{C3380CC4-5D6E-409C-BE32-E72D297353CC}">
              <c16:uniqueId val="{00000000-E667-4879-82E3-1D5013995EBD}"/>
            </c:ext>
          </c:extLst>
        </c:ser>
        <c:ser>
          <c:idx val="1"/>
          <c:order val="1"/>
          <c:tx>
            <c:strRef>
              <c:f>'Geographical Revenue'!$C$1</c:f>
              <c:strCache>
                <c:ptCount val="1"/>
                <c:pt idx="0">
                  <c:v>Revenue 2022-23 (₹ Cr)</c:v>
                </c:pt>
              </c:strCache>
            </c:strRef>
          </c:tx>
          <c:spPr>
            <a:solidFill>
              <a:schemeClr val="accent2"/>
            </a:solidFill>
            <a:ln>
              <a:noFill/>
            </a:ln>
            <a:effectLst/>
          </c:spPr>
          <c:invertIfNegative val="0"/>
          <c:cat>
            <c:strRef>
              <c:f>'Geographical Revenue'!$A$2:$A$4</c:f>
              <c:strCache>
                <c:ptCount val="3"/>
                <c:pt idx="0">
                  <c:v>India</c:v>
                </c:pt>
                <c:pt idx="1">
                  <c:v>International</c:v>
                </c:pt>
                <c:pt idx="2">
                  <c:v>Total</c:v>
                </c:pt>
              </c:strCache>
            </c:strRef>
          </c:cat>
          <c:val>
            <c:numRef>
              <c:f>'Geographical Revenue'!$C$2:$C$4</c:f>
              <c:numCache>
                <c:formatCode>#,##0</c:formatCode>
                <c:ptCount val="3"/>
                <c:pt idx="0">
                  <c:v>61000</c:v>
                </c:pt>
                <c:pt idx="1">
                  <c:v>27000</c:v>
                </c:pt>
                <c:pt idx="2">
                  <c:v>88000</c:v>
                </c:pt>
              </c:numCache>
            </c:numRef>
          </c:val>
          <c:extLst>
            <c:ext xmlns:c16="http://schemas.microsoft.com/office/drawing/2014/chart" uri="{C3380CC4-5D6E-409C-BE32-E72D297353CC}">
              <c16:uniqueId val="{00000001-E667-4879-82E3-1D5013995EBD}"/>
            </c:ext>
          </c:extLst>
        </c:ser>
        <c:dLbls>
          <c:showLegendKey val="0"/>
          <c:showVal val="0"/>
          <c:showCatName val="0"/>
          <c:showSerName val="0"/>
          <c:showPercent val="0"/>
          <c:showBubbleSize val="0"/>
        </c:dLbls>
        <c:gapWidth val="219"/>
        <c:overlap val="-27"/>
        <c:axId val="2030320400"/>
        <c:axId val="2030324720"/>
      </c:barChart>
      <c:catAx>
        <c:axId val="203032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4720"/>
        <c:crosses val="autoZero"/>
        <c:auto val="1"/>
        <c:lblAlgn val="ctr"/>
        <c:lblOffset val="100"/>
        <c:noMultiLvlLbl val="0"/>
      </c:catAx>
      <c:valAx>
        <c:axId val="203032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net profit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&amp; Profit'!$A$2</c:f>
              <c:strCache>
                <c:ptCount val="1"/>
                <c:pt idx="0">
                  <c:v>Sales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'Sales &amp; Profit'!$B$1:$N$1</c:f>
              <c:strCache>
                <c:ptCount val="13"/>
                <c:pt idx="0">
                  <c:v>Mar 2013</c:v>
                </c:pt>
                <c:pt idx="1">
                  <c:v>Mar 2014</c:v>
                </c:pt>
                <c:pt idx="2">
                  <c:v>Mar 2015</c:v>
                </c:pt>
                <c:pt idx="3">
                  <c:v>Mar 2016</c:v>
                </c:pt>
                <c:pt idx="4">
                  <c:v>Mar 2017</c:v>
                </c:pt>
                <c:pt idx="5">
                  <c:v>Mar 2018</c:v>
                </c:pt>
                <c:pt idx="6">
                  <c:v>Mar 2019</c:v>
                </c:pt>
                <c:pt idx="7">
                  <c:v>Mar 2020</c:v>
                </c:pt>
                <c:pt idx="8">
                  <c:v>Mar 2021</c:v>
                </c:pt>
                <c:pt idx="9">
                  <c:v>Mar 2022</c:v>
                </c:pt>
                <c:pt idx="10">
                  <c:v>Mar 2023</c:v>
                </c:pt>
                <c:pt idx="11">
                  <c:v>Mar 2024</c:v>
                </c:pt>
                <c:pt idx="12">
                  <c:v>TTM</c:v>
                </c:pt>
              </c:strCache>
            </c:strRef>
          </c:cat>
          <c:val>
            <c:numRef>
              <c:f>'Sales &amp; Profit'!$B$2:$N$2</c:f>
              <c:numCache>
                <c:formatCode>General</c:formatCode>
                <c:ptCount val="13"/>
                <c:pt idx="0">
                  <c:v>46375</c:v>
                </c:pt>
                <c:pt idx="1">
                  <c:v>54947</c:v>
                </c:pt>
                <c:pt idx="2">
                  <c:v>64465</c:v>
                </c:pt>
                <c:pt idx="3">
                  <c:v>34008</c:v>
                </c:pt>
                <c:pt idx="4">
                  <c:v>36533</c:v>
                </c:pt>
                <c:pt idx="5">
                  <c:v>35924</c:v>
                </c:pt>
                <c:pt idx="6">
                  <c:v>40379</c:v>
                </c:pt>
                <c:pt idx="7">
                  <c:v>43403</c:v>
                </c:pt>
                <c:pt idx="8">
                  <c:v>39537</c:v>
                </c:pt>
                <c:pt idx="9">
                  <c:v>69420</c:v>
                </c:pt>
                <c:pt idx="10">
                  <c:v>127540</c:v>
                </c:pt>
                <c:pt idx="11">
                  <c:v>96421</c:v>
                </c:pt>
                <c:pt idx="12">
                  <c:v>100109</c:v>
                </c:pt>
              </c:numCache>
            </c:numRef>
          </c:val>
          <c:smooth val="0"/>
          <c:extLst>
            <c:ext xmlns:c16="http://schemas.microsoft.com/office/drawing/2014/chart" uri="{C3380CC4-5D6E-409C-BE32-E72D297353CC}">
              <c16:uniqueId val="{00000000-84C4-48DD-A594-2F9AD749141B}"/>
            </c:ext>
          </c:extLst>
        </c:ser>
        <c:ser>
          <c:idx val="1"/>
          <c:order val="1"/>
          <c:tx>
            <c:strRef>
              <c:f>'Sales &amp; Profit'!$A$3</c:f>
              <c:strCache>
                <c:ptCount val="1"/>
                <c:pt idx="0">
                  <c:v>Net Profit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'Sales &amp; Profit'!$B$1:$N$1</c:f>
              <c:strCache>
                <c:ptCount val="13"/>
                <c:pt idx="0">
                  <c:v>Mar 2013</c:v>
                </c:pt>
                <c:pt idx="1">
                  <c:v>Mar 2014</c:v>
                </c:pt>
                <c:pt idx="2">
                  <c:v>Mar 2015</c:v>
                </c:pt>
                <c:pt idx="3">
                  <c:v>Mar 2016</c:v>
                </c:pt>
                <c:pt idx="4">
                  <c:v>Mar 2017</c:v>
                </c:pt>
                <c:pt idx="5">
                  <c:v>Mar 2018</c:v>
                </c:pt>
                <c:pt idx="6">
                  <c:v>Mar 2019</c:v>
                </c:pt>
                <c:pt idx="7">
                  <c:v>Mar 2020</c:v>
                </c:pt>
                <c:pt idx="8">
                  <c:v>Mar 2021</c:v>
                </c:pt>
                <c:pt idx="9">
                  <c:v>Mar 2022</c:v>
                </c:pt>
                <c:pt idx="10">
                  <c:v>Mar 2023</c:v>
                </c:pt>
                <c:pt idx="11">
                  <c:v>Mar 2024</c:v>
                </c:pt>
                <c:pt idx="12">
                  <c:v>TTM</c:v>
                </c:pt>
              </c:strCache>
            </c:strRef>
          </c:cat>
          <c:val>
            <c:numRef>
              <c:f>'Sales &amp; Profit'!$B$3:$N$3</c:f>
              <c:numCache>
                <c:formatCode>General</c:formatCode>
                <c:ptCount val="13"/>
                <c:pt idx="0">
                  <c:v>1218</c:v>
                </c:pt>
                <c:pt idx="1">
                  <c:v>2646</c:v>
                </c:pt>
                <c:pt idx="2">
                  <c:v>2298</c:v>
                </c:pt>
                <c:pt idx="3">
                  <c:v>1000</c:v>
                </c:pt>
                <c:pt idx="4">
                  <c:v>925</c:v>
                </c:pt>
                <c:pt idx="5">
                  <c:v>594</c:v>
                </c:pt>
                <c:pt idx="6">
                  <c:v>506</c:v>
                </c:pt>
                <c:pt idx="7">
                  <c:v>1040</c:v>
                </c:pt>
                <c:pt idx="8">
                  <c:v>1046</c:v>
                </c:pt>
                <c:pt idx="9">
                  <c:v>788</c:v>
                </c:pt>
                <c:pt idx="10">
                  <c:v>2422</c:v>
                </c:pt>
                <c:pt idx="11">
                  <c:v>3335</c:v>
                </c:pt>
                <c:pt idx="12">
                  <c:v>4342</c:v>
                </c:pt>
              </c:numCache>
            </c:numRef>
          </c:val>
          <c:smooth val="0"/>
          <c:extLst>
            <c:ext xmlns:c16="http://schemas.microsoft.com/office/drawing/2014/chart" uri="{C3380CC4-5D6E-409C-BE32-E72D297353CC}">
              <c16:uniqueId val="{00000001-84C4-48DD-A594-2F9AD749141B}"/>
            </c:ext>
          </c:extLst>
        </c:ser>
        <c:dLbls>
          <c:dLblPos val="t"/>
          <c:showLegendKey val="0"/>
          <c:showVal val="1"/>
          <c:showCatName val="0"/>
          <c:showSerName val="0"/>
          <c:showPercent val="0"/>
          <c:showBubbleSize val="0"/>
        </c:dLbls>
        <c:smooth val="0"/>
        <c:axId val="1406661792"/>
        <c:axId val="1406664192"/>
      </c:lineChart>
      <c:catAx>
        <c:axId val="140666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64192"/>
        <c:crosses val="autoZero"/>
        <c:auto val="1"/>
        <c:lblAlgn val="ctr"/>
        <c:lblOffset val="100"/>
        <c:noMultiLvlLbl val="0"/>
      </c:catAx>
      <c:valAx>
        <c:axId val="14066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6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Debt-Equity Ratio &amp; ICR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cked"/>
        <c:varyColors val="0"/>
        <c:ser>
          <c:idx val="0"/>
          <c:order val="0"/>
          <c:tx>
            <c:strRef>
              <c:f>'Sales &amp; Profit'!$A$22</c:f>
              <c:strCache>
                <c:ptCount val="1"/>
                <c:pt idx="0">
                  <c:v>Debt-Equity Ratio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'Sales &amp; Profit'!$B$21:$L$21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'Sales &amp; Profit'!$B$22:$L$22</c:f>
              <c:numCache>
                <c:formatCode>0.00</c:formatCode>
                <c:ptCount val="11"/>
                <c:pt idx="0">
                  <c:v>3.2404187698635258</c:v>
                </c:pt>
                <c:pt idx="1">
                  <c:v>3.0298438355011155</c:v>
                </c:pt>
                <c:pt idx="2">
                  <c:v>3.2482509328358211</c:v>
                </c:pt>
                <c:pt idx="3">
                  <c:v>1.4328748691882194</c:v>
                </c:pt>
                <c:pt idx="4">
                  <c:v>1.4746745897000566</c:v>
                </c:pt>
                <c:pt idx="5">
                  <c:v>1.1688647359003248</c:v>
                </c:pt>
                <c:pt idx="6">
                  <c:v>0.76192735158579561</c:v>
                </c:pt>
                <c:pt idx="7">
                  <c:v>0.73281406738655808</c:v>
                </c:pt>
                <c:pt idx="8">
                  <c:v>0.94568448044757858</c:v>
                </c:pt>
                <c:pt idx="9">
                  <c:v>1.8692546165251382</c:v>
                </c:pt>
                <c:pt idx="10">
                  <c:v>1.6096335965628876</c:v>
                </c:pt>
              </c:numCache>
            </c:numRef>
          </c:val>
          <c:smooth val="0"/>
          <c:extLst>
            <c:ext xmlns:c16="http://schemas.microsoft.com/office/drawing/2014/chart" uri="{C3380CC4-5D6E-409C-BE32-E72D297353CC}">
              <c16:uniqueId val="{00000000-A109-4CD6-BB0C-EE4810CF89D7}"/>
            </c:ext>
          </c:extLst>
        </c:ser>
        <c:ser>
          <c:idx val="1"/>
          <c:order val="1"/>
          <c:tx>
            <c:strRef>
              <c:f>'Sales &amp; Profit'!$A$23</c:f>
              <c:strCache>
                <c:ptCount val="1"/>
                <c:pt idx="0">
                  <c:v>Interest Coverage  Ratio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'Sales &amp; Profit'!$B$21:$L$21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'Sales &amp; Profit'!$B$23:$L$23</c:f>
              <c:numCache>
                <c:formatCode>0.00</c:formatCode>
                <c:ptCount val="11"/>
                <c:pt idx="0">
                  <c:v>1.5744558991981672</c:v>
                </c:pt>
                <c:pt idx="1">
                  <c:v>1.283008942661757</c:v>
                </c:pt>
                <c:pt idx="2">
                  <c:v>1.3775510204081634</c:v>
                </c:pt>
                <c:pt idx="3">
                  <c:v>1.7789240972733973</c:v>
                </c:pt>
                <c:pt idx="4">
                  <c:v>1.858392999204455</c:v>
                </c:pt>
                <c:pt idx="5">
                  <c:v>1.3895999999999999</c:v>
                </c:pt>
                <c:pt idx="6">
                  <c:v>1.2818461538461539</c:v>
                </c:pt>
                <c:pt idx="7">
                  <c:v>1.7137404580152671</c:v>
                </c:pt>
                <c:pt idx="8">
                  <c:v>1.7886710239651415</c:v>
                </c:pt>
                <c:pt idx="9">
                  <c:v>1.3768804433887569</c:v>
                </c:pt>
                <c:pt idx="10">
                  <c:v>1.81809019904258</c:v>
                </c:pt>
              </c:numCache>
            </c:numRef>
          </c:val>
          <c:smooth val="0"/>
          <c:extLst>
            <c:ext xmlns:c16="http://schemas.microsoft.com/office/drawing/2014/chart" uri="{C3380CC4-5D6E-409C-BE32-E72D297353CC}">
              <c16:uniqueId val="{00000001-A109-4CD6-BB0C-EE4810CF89D7}"/>
            </c:ext>
          </c:extLst>
        </c:ser>
        <c:dLbls>
          <c:dLblPos val="t"/>
          <c:showLegendKey val="0"/>
          <c:showVal val="1"/>
          <c:showCatName val="0"/>
          <c:showSerName val="0"/>
          <c:showPercent val="0"/>
          <c:showBubbleSize val="0"/>
        </c:dLbls>
        <c:smooth val="0"/>
        <c:axId val="116316223"/>
        <c:axId val="116314783"/>
      </c:lineChart>
      <c:catAx>
        <c:axId val="1163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4783"/>
        <c:crosses val="autoZero"/>
        <c:auto val="1"/>
        <c:lblAlgn val="ctr"/>
        <c:lblOffset val="100"/>
        <c:noMultiLvlLbl val="0"/>
      </c:catAx>
      <c:valAx>
        <c:axId val="116314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ROE!$A$2</c:f>
              <c:strCache>
                <c:ptCount val="1"/>
                <c:pt idx="0">
                  <c:v>ROE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ROE!$B$1:$L$1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ROE!$B$2:$L$2</c:f>
              <c:numCache>
                <c:formatCode>0.0%</c:formatCode>
                <c:ptCount val="11"/>
                <c:pt idx="0">
                  <c:v>5.6926528323051034E-2</c:v>
                </c:pt>
                <c:pt idx="1">
                  <c:v>0.111377699204445</c:v>
                </c:pt>
                <c:pt idx="2">
                  <c:v>8.9319029850746273E-2</c:v>
                </c:pt>
                <c:pt idx="3">
                  <c:v>7.4749588877261172E-2</c:v>
                </c:pt>
                <c:pt idx="4">
                  <c:v>6.543576683644596E-2</c:v>
                </c:pt>
                <c:pt idx="5">
                  <c:v>3.936642587315263E-2</c:v>
                </c:pt>
                <c:pt idx="6">
                  <c:v>3.4291135809162376E-2</c:v>
                </c:pt>
                <c:pt idx="7">
                  <c:v>6.1367793709801145E-2</c:v>
                </c:pt>
                <c:pt idx="8">
                  <c:v>6.0959263360335685E-2</c:v>
                </c:pt>
                <c:pt idx="9">
                  <c:v>3.5404591813811385E-2</c:v>
                </c:pt>
                <c:pt idx="10">
                  <c:v>7.3280687422468307E-2</c:v>
                </c:pt>
              </c:numCache>
            </c:numRef>
          </c:val>
          <c:smooth val="0"/>
          <c:extLst>
            <c:ext xmlns:c16="http://schemas.microsoft.com/office/drawing/2014/chart" uri="{C3380CC4-5D6E-409C-BE32-E72D297353CC}">
              <c16:uniqueId val="{00000000-2DE9-49B1-9E0E-1298296DC780}"/>
            </c:ext>
          </c:extLst>
        </c:ser>
        <c:dLbls>
          <c:dLblPos val="ctr"/>
          <c:showLegendKey val="0"/>
          <c:showVal val="1"/>
          <c:showCatName val="0"/>
          <c:showSerName val="0"/>
          <c:showPercent val="0"/>
          <c:showBubbleSize val="0"/>
        </c:dLbls>
        <c:marker val="1"/>
        <c:smooth val="0"/>
        <c:axId val="1843491280"/>
        <c:axId val="1843491760"/>
      </c:lineChart>
      <c:catAx>
        <c:axId val="1843491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3491760"/>
        <c:crosses val="autoZero"/>
        <c:auto val="1"/>
        <c:lblAlgn val="ctr"/>
        <c:lblOffset val="100"/>
        <c:noMultiLvlLbl val="0"/>
      </c:catAx>
      <c:valAx>
        <c:axId val="1843491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1843491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ICR!$A$3</c:f>
              <c:strCache>
                <c:ptCount val="1"/>
                <c:pt idx="0">
                  <c:v>Interest Coverage  Ratio</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ICR!$B$2:$M$2</c:f>
              <c:numCache>
                <c:formatCode>0</c:formatCode>
                <c:ptCount val="12"/>
                <c:pt idx="0" formatCode="_ * #,##0_ ;_ * \-#,##0_ ;_ * &quot;-&quot;??_ ;_ @_ ">
                  <c:v>2013</c:v>
                </c:pt>
                <c:pt idx="1">
                  <c:v>2014</c:v>
                </c:pt>
                <c:pt idx="2">
                  <c:v>2015</c:v>
                </c:pt>
                <c:pt idx="3">
                  <c:v>2016</c:v>
                </c:pt>
                <c:pt idx="4">
                  <c:v>2017</c:v>
                </c:pt>
                <c:pt idx="5">
                  <c:v>2018</c:v>
                </c:pt>
                <c:pt idx="6" formatCode="General">
                  <c:v>2019</c:v>
                </c:pt>
                <c:pt idx="7" formatCode="General">
                  <c:v>2020</c:v>
                </c:pt>
                <c:pt idx="8" formatCode="General">
                  <c:v>2021</c:v>
                </c:pt>
                <c:pt idx="9" formatCode="General">
                  <c:v>2022</c:v>
                </c:pt>
                <c:pt idx="10" formatCode="General">
                  <c:v>2023</c:v>
                </c:pt>
                <c:pt idx="11" formatCode="General">
                  <c:v>2024</c:v>
                </c:pt>
              </c:numCache>
            </c:numRef>
          </c:cat>
          <c:val>
            <c:numRef>
              <c:f>ICR!$B$3:$M$3</c:f>
              <c:numCache>
                <c:formatCode>General</c:formatCode>
                <c:ptCount val="12"/>
                <c:pt idx="0">
                  <c:v>1.5744558991981672</c:v>
                </c:pt>
                <c:pt idx="1">
                  <c:v>1.283008942661757</c:v>
                </c:pt>
                <c:pt idx="2">
                  <c:v>1.3775510204081634</c:v>
                </c:pt>
                <c:pt idx="3">
                  <c:v>1.7789240972733973</c:v>
                </c:pt>
                <c:pt idx="4">
                  <c:v>1.858392999204455</c:v>
                </c:pt>
                <c:pt idx="5">
                  <c:v>1.3895999999999999</c:v>
                </c:pt>
                <c:pt idx="6">
                  <c:v>1.2818461538461539</c:v>
                </c:pt>
                <c:pt idx="7">
                  <c:v>1.7137404580152671</c:v>
                </c:pt>
                <c:pt idx="8">
                  <c:v>1.7886710239651415</c:v>
                </c:pt>
                <c:pt idx="9">
                  <c:v>1.3768804433887569</c:v>
                </c:pt>
                <c:pt idx="10">
                  <c:v>1.81809019904258</c:v>
                </c:pt>
                <c:pt idx="11">
                  <c:v>2.0814489571899011</c:v>
                </c:pt>
              </c:numCache>
            </c:numRef>
          </c:val>
          <c:smooth val="0"/>
          <c:extLst>
            <c:ext xmlns:c16="http://schemas.microsoft.com/office/drawing/2014/chart" uri="{C3380CC4-5D6E-409C-BE32-E72D297353CC}">
              <c16:uniqueId val="{00000000-0E37-4345-AC3B-5F287A604FD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11208895"/>
        <c:axId val="111204575"/>
      </c:lineChart>
      <c:catAx>
        <c:axId val="111208895"/>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1204575"/>
        <c:crosses val="autoZero"/>
        <c:auto val="1"/>
        <c:lblAlgn val="ctr"/>
        <c:lblOffset val="100"/>
        <c:noMultiLvlLbl val="0"/>
      </c:catAx>
      <c:valAx>
        <c:axId val="111204575"/>
        <c:scaling>
          <c:orientation val="minMax"/>
        </c:scaling>
        <c:delete val="1"/>
        <c:axPos val="l"/>
        <c:numFmt formatCode="General" sourceLinked="1"/>
        <c:majorTickMark val="none"/>
        <c:minorTickMark val="none"/>
        <c:tickLblPos val="nextTo"/>
        <c:crossAx val="111208895"/>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'EPS1'!$A$2</c:f>
              <c:strCache>
                <c:ptCount val="1"/>
                <c:pt idx="0">
                  <c:v>EPS</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'EPS1'!$B$1:$M$1</c:f>
              <c:numCache>
                <c:formatCode>0</c:formatCode>
                <c:ptCount val="12"/>
                <c:pt idx="0" formatCode="_ * #,##0_ ;_ * \-#,##0_ ;_ * &quot;-&quot;??_ ;_ @_ ">
                  <c:v>2013</c:v>
                </c:pt>
                <c:pt idx="1">
                  <c:v>2014</c:v>
                </c:pt>
                <c:pt idx="2">
                  <c:v>2015</c:v>
                </c:pt>
                <c:pt idx="3">
                  <c:v>2016</c:v>
                </c:pt>
                <c:pt idx="4">
                  <c:v>2017</c:v>
                </c:pt>
                <c:pt idx="5">
                  <c:v>2018</c:v>
                </c:pt>
                <c:pt idx="6" formatCode="General">
                  <c:v>2019</c:v>
                </c:pt>
                <c:pt idx="7" formatCode="General">
                  <c:v>2020</c:v>
                </c:pt>
                <c:pt idx="8" formatCode="General">
                  <c:v>2021</c:v>
                </c:pt>
                <c:pt idx="9" formatCode="General">
                  <c:v>2022</c:v>
                </c:pt>
                <c:pt idx="10" formatCode="General">
                  <c:v>2023</c:v>
                </c:pt>
                <c:pt idx="11" formatCode="General">
                  <c:v>2024</c:v>
                </c:pt>
              </c:numCache>
            </c:numRef>
          </c:cat>
          <c:val>
            <c:numRef>
              <c:f>'EPS1'!$B$2:$M$2</c:f>
              <c:numCache>
                <c:formatCode>General</c:formatCode>
                <c:ptCount val="12"/>
                <c:pt idx="0">
                  <c:v>14.67</c:v>
                </c:pt>
                <c:pt idx="1">
                  <c:v>20.190000000000001</c:v>
                </c:pt>
                <c:pt idx="2">
                  <c:v>17.71</c:v>
                </c:pt>
                <c:pt idx="3">
                  <c:v>9.19</c:v>
                </c:pt>
                <c:pt idx="4">
                  <c:v>8.98</c:v>
                </c:pt>
                <c:pt idx="5">
                  <c:v>6.89</c:v>
                </c:pt>
                <c:pt idx="6">
                  <c:v>6.52</c:v>
                </c:pt>
                <c:pt idx="7">
                  <c:v>10.35</c:v>
                </c:pt>
                <c:pt idx="8">
                  <c:v>8.39</c:v>
                </c:pt>
                <c:pt idx="9">
                  <c:v>7.06</c:v>
                </c:pt>
                <c:pt idx="10">
                  <c:v>21.61</c:v>
                </c:pt>
                <c:pt idx="11">
                  <c:v>28.42</c:v>
                </c:pt>
              </c:numCache>
            </c:numRef>
          </c:val>
          <c:smooth val="0"/>
          <c:extLst>
            <c:ext xmlns:c16="http://schemas.microsoft.com/office/drawing/2014/chart" uri="{C3380CC4-5D6E-409C-BE32-E72D297353CC}">
              <c16:uniqueId val="{00000000-3219-411F-8C57-F006508D6EC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23537408"/>
        <c:axId val="210183279"/>
      </c:lineChart>
      <c:catAx>
        <c:axId val="1623537408"/>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10183279"/>
        <c:crosses val="autoZero"/>
        <c:auto val="1"/>
        <c:lblAlgn val="ctr"/>
        <c:lblOffset val="100"/>
        <c:noMultiLvlLbl val="0"/>
      </c:catAx>
      <c:valAx>
        <c:axId val="210183279"/>
        <c:scaling>
          <c:orientation val="minMax"/>
        </c:scaling>
        <c:delete val="1"/>
        <c:axPos val="l"/>
        <c:numFmt formatCode="General" sourceLinked="1"/>
        <c:majorTickMark val="none"/>
        <c:minorTickMark val="none"/>
        <c:tickLblPos val="nextTo"/>
        <c:crossAx val="16235374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130175</xdr:colOff>
      <xdr:row>4</xdr:row>
      <xdr:rowOff>304800</xdr:rowOff>
    </xdr:from>
    <xdr:to>
      <xdr:col>12</xdr:col>
      <xdr:colOff>434975</xdr:colOff>
      <xdr:row>10</xdr:row>
      <xdr:rowOff>596900</xdr:rowOff>
    </xdr:to>
    <xdr:graphicFrame macro="">
      <xdr:nvGraphicFramePr>
        <xdr:cNvPr id="2" name="Chart 1">
          <a:extLst>
            <a:ext uri="{FF2B5EF4-FFF2-40B4-BE49-F238E27FC236}">
              <a16:creationId xmlns:a16="http://schemas.microsoft.com/office/drawing/2014/main" id="{E1AF043E-BC14-3470-3A62-74CBB3553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263525</xdr:colOff>
      <xdr:row>3</xdr:row>
      <xdr:rowOff>31750</xdr:rowOff>
    </xdr:from>
    <xdr:to>
      <xdr:col>11</xdr:col>
      <xdr:colOff>568325</xdr:colOff>
      <xdr:row>18</xdr:row>
      <xdr:rowOff>12700</xdr:rowOff>
    </xdr:to>
    <xdr:graphicFrame macro="">
      <xdr:nvGraphicFramePr>
        <xdr:cNvPr id="2" name="Chart 1">
          <a:extLst>
            <a:ext uri="{FF2B5EF4-FFF2-40B4-BE49-F238E27FC236}">
              <a16:creationId xmlns:a16="http://schemas.microsoft.com/office/drawing/2014/main" id="{A8BC4871-DFC1-C0F0-0E31-3DD6929F4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406400</xdr:colOff>
      <xdr:row>18</xdr:row>
      <xdr:rowOff>38100</xdr:rowOff>
    </xdr:to>
    <xdr:sp macro="" textlink="">
      <xdr:nvSpPr>
        <xdr:cNvPr id="3" name="Text Box 2">
          <a:extLst>
            <a:ext uri="{FF2B5EF4-FFF2-40B4-BE49-F238E27FC236}">
              <a16:creationId xmlns:a16="http://schemas.microsoft.com/office/drawing/2014/main" id="{D0F616A6-1E00-4032-A676-7734FABE59E5}"/>
            </a:ext>
          </a:extLst>
        </xdr:cNvPr>
        <xdr:cNvSpPr txBox="1">
          <a:spLocks noChangeArrowheads="1"/>
        </xdr:cNvSpPr>
      </xdr:nvSpPr>
      <xdr:spPr bwMode="auto">
        <a:xfrm>
          <a:off x="0" y="0"/>
          <a:ext cx="8331200" cy="335280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Calibri"/>
              <a:ea typeface="Calibri"/>
              <a:cs typeface="Calibri"/>
            </a:rPr>
            <a:t>1. Profitability Ratios</a:t>
          </a:r>
        </a:p>
        <a:p>
          <a:pPr algn="l" rtl="0">
            <a:defRPr sz="1000"/>
          </a:pPr>
          <a:r>
            <a:rPr lang="en-IN" sz="1100" b="0" i="0" u="none" strike="noStrike" baseline="0">
              <a:solidFill>
                <a:srgbClr val="000000"/>
              </a:solidFill>
              <a:latin typeface="Calibri"/>
              <a:ea typeface="Calibri"/>
              <a:cs typeface="Calibri"/>
            </a:rPr>
            <a:t>Gross Profit Margin = (Gross Profit / Revenue) × 100</a:t>
          </a:r>
        </a:p>
        <a:p>
          <a:pPr algn="l" rtl="0">
            <a:defRPr sz="1000"/>
          </a:pPr>
          <a:r>
            <a:rPr lang="en-IN" sz="1100" b="0" i="0" u="none" strike="noStrike" baseline="0">
              <a:solidFill>
                <a:srgbClr val="000000"/>
              </a:solidFill>
              <a:latin typeface="Calibri"/>
              <a:ea typeface="Calibri"/>
              <a:cs typeface="Calibri"/>
            </a:rPr>
            <a:t>Operating Profit Margin = (EBIT / Revenue) × 100</a:t>
          </a:r>
        </a:p>
        <a:p>
          <a:pPr algn="l" rtl="0">
            <a:defRPr sz="1000"/>
          </a:pPr>
          <a:r>
            <a:rPr lang="en-IN" sz="1100" b="0" i="0" u="none" strike="noStrike" baseline="0">
              <a:solidFill>
                <a:srgbClr val="000000"/>
              </a:solidFill>
              <a:latin typeface="Calibri"/>
              <a:ea typeface="Calibri"/>
              <a:cs typeface="Calibri"/>
            </a:rPr>
            <a:t>Net Profit Margin = (Net Profit / Revenue) × 100</a:t>
          </a:r>
        </a:p>
        <a:p>
          <a:pPr algn="l" rtl="0">
            <a:defRPr sz="1000"/>
          </a:pPr>
          <a:r>
            <a:rPr lang="en-IN" sz="1100" b="0" i="0" u="none" strike="noStrike" baseline="0">
              <a:solidFill>
                <a:srgbClr val="000000"/>
              </a:solidFill>
              <a:latin typeface="Calibri"/>
              <a:ea typeface="Calibri"/>
              <a:cs typeface="Calibri"/>
            </a:rPr>
            <a:t>Return on Assets (ROA) = (Net Profit / Total Assets) × 100</a:t>
          </a:r>
        </a:p>
        <a:p>
          <a:pPr algn="l" rtl="0">
            <a:defRPr sz="1000"/>
          </a:pPr>
          <a:r>
            <a:rPr lang="en-IN" sz="1100" b="0" i="0" u="none" strike="noStrike" baseline="0">
              <a:solidFill>
                <a:srgbClr val="000000"/>
              </a:solidFill>
              <a:latin typeface="Calibri"/>
              <a:ea typeface="Calibri"/>
              <a:cs typeface="Calibri"/>
            </a:rPr>
            <a:t>Return on Equity (ROE) = (Net Profit / Shareholder’s Equity) × 100</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2. Liquidity Ratios</a:t>
          </a:r>
        </a:p>
        <a:p>
          <a:pPr algn="l" rtl="0">
            <a:defRPr sz="1000"/>
          </a:pPr>
          <a:r>
            <a:rPr lang="en-IN" sz="1100" b="0" i="0" u="none" strike="noStrike" baseline="0">
              <a:solidFill>
                <a:srgbClr val="000000"/>
              </a:solidFill>
              <a:latin typeface="Calibri"/>
              <a:ea typeface="Calibri"/>
              <a:cs typeface="Calibri"/>
            </a:rPr>
            <a:t>Current Ratio = Current Assets / Current Liabilities</a:t>
          </a:r>
        </a:p>
        <a:p>
          <a:pPr algn="l" rtl="0">
            <a:defRPr sz="1000"/>
          </a:pPr>
          <a:r>
            <a:rPr lang="en-IN" sz="1100" b="0" i="0" u="none" strike="noStrike" baseline="0">
              <a:solidFill>
                <a:srgbClr val="000000"/>
              </a:solidFill>
              <a:latin typeface="Calibri"/>
              <a:ea typeface="Calibri"/>
              <a:cs typeface="Calibri"/>
            </a:rPr>
            <a:t>Quick Ratio = (Current Assets - Inventories) / Current Liabilities</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3. Leverage Ratios</a:t>
          </a:r>
        </a:p>
        <a:p>
          <a:pPr algn="l" rtl="0">
            <a:defRPr sz="1000"/>
          </a:pPr>
          <a:r>
            <a:rPr lang="en-IN" sz="1100" b="0" i="0" u="none" strike="noStrike" baseline="0">
              <a:solidFill>
                <a:srgbClr val="000000"/>
              </a:solidFill>
              <a:latin typeface="Calibri"/>
              <a:ea typeface="Calibri"/>
              <a:cs typeface="Calibri"/>
            </a:rPr>
            <a:t>Debt-to-Equity Ratio = Total Debt / Shareholder’s Equity</a:t>
          </a:r>
        </a:p>
        <a:p>
          <a:pPr algn="l" rtl="0">
            <a:defRPr sz="1000"/>
          </a:pPr>
          <a:r>
            <a:rPr lang="en-IN" sz="1100" b="0" i="0" u="none" strike="noStrike" baseline="0">
              <a:solidFill>
                <a:srgbClr val="000000"/>
              </a:solidFill>
              <a:latin typeface="Calibri"/>
              <a:ea typeface="Calibri"/>
              <a:cs typeface="Calibri"/>
            </a:rPr>
            <a:t>Interest Coverage Ratio = EBIT / Interest Expense</a:t>
          </a:r>
        </a:p>
        <a:p>
          <a:pPr algn="l" rtl="0">
            <a:defRPr sz="1000"/>
          </a:pPr>
          <a:r>
            <a:rPr lang="en-IN" sz="1100" b="0" i="0" u="none" strike="noStrike" baseline="0">
              <a:solidFill>
                <a:srgbClr val="000000"/>
              </a:solidFill>
              <a:latin typeface="Calibri"/>
              <a:ea typeface="Calibri"/>
              <a:cs typeface="Calibri"/>
            </a:rPr>
            <a:t>4. Efficiency Ratios</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Asset Turnover Ratio = Revenue / Total Assets</a:t>
          </a:r>
        </a:p>
        <a:p>
          <a:pPr algn="l" rtl="0">
            <a:defRPr sz="1000"/>
          </a:pPr>
          <a:r>
            <a:rPr lang="en-IN" sz="1100" b="0" i="0" u="none" strike="noStrike" baseline="0">
              <a:solidFill>
                <a:srgbClr val="000000"/>
              </a:solidFill>
              <a:latin typeface="Calibri"/>
              <a:ea typeface="Calibri"/>
              <a:cs typeface="Calibri"/>
            </a:rPr>
            <a:t>Inventory Turnover Ratio = Cost of Goods Sold / Average Inventory</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82550</xdr:rowOff>
    </xdr:from>
    <xdr:ext cx="7881645" cy="781240"/>
    <xdr:sp macro="" textlink="">
      <xdr:nvSpPr>
        <xdr:cNvPr id="2" name="TextBox 1">
          <a:extLst>
            <a:ext uri="{FF2B5EF4-FFF2-40B4-BE49-F238E27FC236}">
              <a16:creationId xmlns:a16="http://schemas.microsoft.com/office/drawing/2014/main" id="{22C2EDD9-D929-4E8B-967F-60D6583DF90E}"/>
            </a:ext>
          </a:extLst>
        </xdr:cNvPr>
        <xdr:cNvSpPr txBox="1"/>
      </xdr:nvSpPr>
      <xdr:spPr>
        <a:xfrm>
          <a:off x="508000" y="266700"/>
          <a:ext cx="7881645"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b="1"/>
            <a:t>EPS and Diluted EPS Formula:</a:t>
          </a:r>
        </a:p>
        <a:p>
          <a:r>
            <a:rPr lang="en-IN" b="1"/>
            <a:t>Basic EPS</a:t>
          </a:r>
          <a:r>
            <a:rPr lang="en-IN"/>
            <a:t> = (Net Profit attributable to equity shareholders) ÷ (Weighted average number of equity shares)</a:t>
          </a:r>
        </a:p>
        <a:p>
          <a:r>
            <a:rPr lang="en-IN" b="1"/>
            <a:t>Diluted EPS</a:t>
          </a:r>
          <a:r>
            <a:rPr lang="en-IN"/>
            <a:t> = (Net Profit attributable to equity shareholders) ÷ (Weighted average number of equity shares including potential shares)</a:t>
          </a:r>
        </a:p>
        <a:p>
          <a:endParaRPr lang="en-IN" sz="1100" kern="12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536575</xdr:colOff>
      <xdr:row>3</xdr:row>
      <xdr:rowOff>95250</xdr:rowOff>
    </xdr:from>
    <xdr:to>
      <xdr:col>13</xdr:col>
      <xdr:colOff>231775</xdr:colOff>
      <xdr:row>18</xdr:row>
      <xdr:rowOff>76200</xdr:rowOff>
    </xdr:to>
    <xdr:graphicFrame macro="">
      <xdr:nvGraphicFramePr>
        <xdr:cNvPr id="2" name="Chart 1">
          <a:extLst>
            <a:ext uri="{FF2B5EF4-FFF2-40B4-BE49-F238E27FC236}">
              <a16:creationId xmlns:a16="http://schemas.microsoft.com/office/drawing/2014/main" id="{43A1CF9A-60B4-DF9F-9C57-D9358101C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69850</xdr:colOff>
      <xdr:row>4</xdr:row>
      <xdr:rowOff>12700</xdr:rowOff>
    </xdr:from>
    <xdr:ext cx="1512722" cy="436786"/>
    <xdr:sp macro="" textlink="">
      <xdr:nvSpPr>
        <xdr:cNvPr id="3" name="TextBox 2">
          <a:extLst>
            <a:ext uri="{FF2B5EF4-FFF2-40B4-BE49-F238E27FC236}">
              <a16:creationId xmlns:a16="http://schemas.microsoft.com/office/drawing/2014/main" id="{8CB9E3D3-EF68-B832-D834-049A04B8D7DA}"/>
            </a:ext>
          </a:extLst>
        </xdr:cNvPr>
        <xdr:cNvSpPr txBox="1"/>
      </xdr:nvSpPr>
      <xdr:spPr>
        <a:xfrm>
          <a:off x="6775450" y="800100"/>
          <a:ext cx="151272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sales growth=7%</a:t>
          </a:r>
        </a:p>
        <a:p>
          <a:r>
            <a:rPr lang="en-US" sz="1100" b="1"/>
            <a:t>net profit growth=11%</a:t>
          </a:r>
        </a:p>
      </xdr:txBody>
    </xdr:sp>
    <xdr:clientData/>
  </xdr:oneCellAnchor>
  <xdr:twoCellAnchor>
    <xdr:from>
      <xdr:col>0</xdr:col>
      <xdr:colOff>1322605</xdr:colOff>
      <xdr:row>26</xdr:row>
      <xdr:rowOff>49369</xdr:rowOff>
    </xdr:from>
    <xdr:to>
      <xdr:col>12</xdr:col>
      <xdr:colOff>585196</xdr:colOff>
      <xdr:row>41</xdr:row>
      <xdr:rowOff>30318</xdr:rowOff>
    </xdr:to>
    <xdr:graphicFrame macro="">
      <xdr:nvGraphicFramePr>
        <xdr:cNvPr id="5" name="Chart 4">
          <a:extLst>
            <a:ext uri="{FF2B5EF4-FFF2-40B4-BE49-F238E27FC236}">
              <a16:creationId xmlns:a16="http://schemas.microsoft.com/office/drawing/2014/main" id="{36ABB912-3932-ABAC-7F8E-4CA6D2600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41275</xdr:colOff>
      <xdr:row>2</xdr:row>
      <xdr:rowOff>34925</xdr:rowOff>
    </xdr:from>
    <xdr:to>
      <xdr:col>10</xdr:col>
      <xdr:colOff>346075</xdr:colOff>
      <xdr:row>17</xdr:row>
      <xdr:rowOff>15875</xdr:rowOff>
    </xdr:to>
    <xdr:graphicFrame macro="">
      <xdr:nvGraphicFramePr>
        <xdr:cNvPr id="2" name="Chart 1">
          <a:extLst>
            <a:ext uri="{FF2B5EF4-FFF2-40B4-BE49-F238E27FC236}">
              <a16:creationId xmlns:a16="http://schemas.microsoft.com/office/drawing/2014/main" id="{B3384F7B-05C9-066B-1FE3-23F3A1D39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85725</xdr:colOff>
      <xdr:row>4</xdr:row>
      <xdr:rowOff>85725</xdr:rowOff>
    </xdr:from>
    <xdr:to>
      <xdr:col>11</xdr:col>
      <xdr:colOff>390525</xdr:colOff>
      <xdr:row>19</xdr:row>
      <xdr:rowOff>66675</xdr:rowOff>
    </xdr:to>
    <xdr:graphicFrame macro="">
      <xdr:nvGraphicFramePr>
        <xdr:cNvPr id="2" name="Chart 1">
          <a:extLst>
            <a:ext uri="{FF2B5EF4-FFF2-40B4-BE49-F238E27FC236}">
              <a16:creationId xmlns:a16="http://schemas.microsoft.com/office/drawing/2014/main" id="{C4DD7E31-B445-447E-F8F8-FB9B205DF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142875</xdr:colOff>
      <xdr:row>3</xdr:row>
      <xdr:rowOff>155575</xdr:rowOff>
    </xdr:from>
    <xdr:to>
      <xdr:col>10</xdr:col>
      <xdr:colOff>447675</xdr:colOff>
      <xdr:row>18</xdr:row>
      <xdr:rowOff>136525</xdr:rowOff>
    </xdr:to>
    <xdr:graphicFrame macro="">
      <xdr:nvGraphicFramePr>
        <xdr:cNvPr id="2" name="Chart 1">
          <a:extLst>
            <a:ext uri="{FF2B5EF4-FFF2-40B4-BE49-F238E27FC236}">
              <a16:creationId xmlns:a16="http://schemas.microsoft.com/office/drawing/2014/main" id="{24063844-9D50-323A-9028-2A576587F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4</xdr:row>
      <xdr:rowOff>139700</xdr:rowOff>
    </xdr:from>
    <xdr:to>
      <xdr:col>13</xdr:col>
      <xdr:colOff>260350</xdr:colOff>
      <xdr:row>10</xdr:row>
      <xdr:rowOff>50800</xdr:rowOff>
    </xdr:to>
    <xdr:sp macro="" textlink="">
      <xdr:nvSpPr>
        <xdr:cNvPr id="3" name="TextBox 2">
          <a:extLst>
            <a:ext uri="{FF2B5EF4-FFF2-40B4-BE49-F238E27FC236}">
              <a16:creationId xmlns:a16="http://schemas.microsoft.com/office/drawing/2014/main" id="{A2852DF8-EC6F-45B4-83D8-CA344FFEAEE1}"/>
            </a:ext>
          </a:extLst>
        </xdr:cNvPr>
        <xdr:cNvSpPr txBox="1"/>
      </xdr:nvSpPr>
      <xdr:spPr>
        <a:xfrm>
          <a:off x="6743700" y="977900"/>
          <a:ext cx="1441450"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GROWTH RATE EPS=6%</a:t>
          </a:r>
        </a:p>
        <a:p>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BC278D-8091-41EB-9AEE-21EFE60021F0}" autoFormatId="16" applyNumberFormats="0" applyBorderFormats="0" applyFontFormats="0" applyPatternFormats="0" applyAlignmentFormats="0" applyWidthHeightFormats="0">
  <queryTableRefresh nextId="12">
    <queryTableFields count="11">
      <queryTableField id="1" name="S.No." tableColumnId="1"/>
      <queryTableField id="2" name="Name" tableColumnId="2"/>
      <queryTableField id="3" name="CMP_x000a_                  Rs." tableColumnId="3"/>
      <queryTableField id="4" name="P/E" tableColumnId="4"/>
      <queryTableField id="5" name="Mar Cap_x000a_                  Rs.Cr." tableColumnId="5"/>
      <queryTableField id="6" name="Div Yld_x000a_                  %" tableColumnId="6"/>
      <queryTableField id="7" name="NP Qtr_x000a_                  Rs.Cr." tableColumnId="7"/>
      <queryTableField id="8" name="Qtr Profit Var_x000a_                  %" tableColumnId="8"/>
      <queryTableField id="9" name="Sales Qtr_x000a_                  Rs.Cr." tableColumnId="9"/>
      <queryTableField id="10" name="Qtr Sales Var_x000a_                  %" tableColumnId="10"/>
      <queryTableField id="11" name="ROCE_x000a_                  %"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2ADE64E-A889-41DA-A7FA-50F0ABF77A1B}" autoFormatId="16" applyNumberFormats="0" applyBorderFormats="0" applyFontFormats="0" applyPatternFormats="0" applyAlignmentFormats="0" applyWidthHeightFormats="0">
  <queryTableRefresh nextId="16" unboundColumnsRight="1">
    <queryTableFields count="15">
      <queryTableField id="1" name="Column1" tableColumnId="1"/>
      <queryTableField id="2" name="Mar 2013" tableColumnId="2"/>
      <queryTableField id="3" name="Mar 2014" tableColumnId="3"/>
      <queryTableField id="4" name="Mar 2015" tableColumnId="4"/>
      <queryTableField id="5" name="Mar 2016" tableColumnId="5"/>
      <queryTableField id="6" name="Mar 2017" tableColumnId="6"/>
      <queryTableField id="7" name="Mar 2018" tableColumnId="7"/>
      <queryTableField id="8" name="Mar 2019" tableColumnId="8"/>
      <queryTableField id="9" name="Mar 2020" tableColumnId="9"/>
      <queryTableField id="10" name="Mar 2021" tableColumnId="10"/>
      <queryTableField id="11" name="Mar 2022" tableColumnId="11"/>
      <queryTableField id="12" name="Mar 2023" tableColumnId="12"/>
      <queryTableField id="13" name="Mar 2024" tableColumnId="13"/>
      <queryTableField id="14" name="TTM"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2318E-B24B-4CAE-893D-D5980D40A3DA}" name="Table_1" displayName="Table_1" ref="A1:K9" tableType="queryTable" totalsRowShown="0">
  <autoFilter ref="A1:K9" xr:uid="{01C2318E-B24B-4CAE-893D-D5980D40A3DA}"/>
  <tableColumns count="11">
    <tableColumn id="1" xr3:uid="{84087D41-3CBA-4A8F-86B0-3C7DA09E2068}" uniqueName="1" name="S.No." queryTableFieldId="1"/>
    <tableColumn id="2" xr3:uid="{6CBDC1CA-5BC8-458A-ACA3-9BBC597FA411}" uniqueName="2" name="Name" queryTableFieldId="2" dataDxfId="111"/>
    <tableColumn id="3" xr3:uid="{0A686010-8805-4DF8-9981-BBC72954328F}" uniqueName="3" name="CMP_x000a_                  Rs." queryTableFieldId="3"/>
    <tableColumn id="4" xr3:uid="{BB45F977-4B2A-46B5-AB0B-A2A3172AF236}" uniqueName="4" name="P/E" queryTableFieldId="4"/>
    <tableColumn id="5" xr3:uid="{C04CBC50-E806-4878-B277-03C32FAED733}" uniqueName="5" name="Mar Cap_x000a_                  Rs.Cr." queryTableFieldId="5"/>
    <tableColumn id="6" xr3:uid="{80588138-B7EF-4383-91BD-2AB59E1DA912}" uniqueName="6" name="Div Yld_x000a_                  %" queryTableFieldId="6"/>
    <tableColumn id="7" xr3:uid="{130CE6C1-E92A-4A0C-BCED-B2C913F2B64E}" uniqueName="7" name="NP Qtr_x000a_                  Rs.Cr." queryTableFieldId="7"/>
    <tableColumn id="8" xr3:uid="{1627E413-95B0-41CD-BBE6-8216D4A1ABF1}" uniqueName="8" name="Qtr Profit Var_x000a_                  %" queryTableFieldId="8"/>
    <tableColumn id="9" xr3:uid="{AAE8F1E0-EB32-484A-8C23-D967840EC37B}" uniqueName="9" name="Sales Qtr_x000a_                  Rs.Cr." queryTableFieldId="9"/>
    <tableColumn id="10" xr3:uid="{B79F5251-0520-44C1-8196-8D4B66864DA6}" uniqueName="10" name="Qtr Sales Var_x000a_                  %" queryTableFieldId="10"/>
    <tableColumn id="11" xr3:uid="{FE4A113F-2BA8-4F83-9C89-D2697C488B20}" uniqueName="11" name="ROCE_x000a_                  %" queryTableFieldId="1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C7F083-BC13-42FB-BF5B-7640CDBA8780}" name="Table10" displayName="Table10" ref="A1:C17" totalsRowShown="0" headerRowDxfId="30" headerRowBorderDxfId="29" tableBorderDxfId="28">
  <autoFilter ref="A1:C17" xr:uid="{79C7F083-BC13-42FB-BF5B-7640CDBA8780}"/>
  <tableColumns count="3">
    <tableColumn id="1" xr3:uid="{2B168C70-6766-485E-9D71-B7797B74A9AE}" name="Category"/>
    <tableColumn id="2" xr3:uid="{50731409-A2CD-4DC2-AA9C-61822C878735}" name="Current Year(2023-24) (₹ Cr)"/>
    <tableColumn id="3" xr3:uid="{EC9A39D7-CB86-4874-AD3A-A1B7180A60B4}" name="Previous Year (₹ Cr)"/>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F3839E-B797-4CAD-A71D-66149E13557D}" name="Table11" displayName="Table11" ref="A21:L23" totalsRowShown="0">
  <autoFilter ref="A21:L23" xr:uid="{8DF3839E-B797-4CAD-A71D-66149E13557D}"/>
  <tableColumns count="12">
    <tableColumn id="1" xr3:uid="{716B320F-C246-4733-BE30-56D8A7D36821}" name="Key Ratios"/>
    <tableColumn id="2" xr3:uid="{E4556507-7FC9-4637-9A15-352CD415518A}" name="2013" dataDxfId="27">
      <calculatedColumnFormula>Analysis!B3</calculatedColumnFormula>
    </tableColumn>
    <tableColumn id="3" xr3:uid="{703E4C57-5FA8-401D-92B7-6B5A9CCE73F9}" name="2014" dataDxfId="26">
      <calculatedColumnFormula>Analysis!C3</calculatedColumnFormula>
    </tableColumn>
    <tableColumn id="4" xr3:uid="{475B7951-99FF-45E8-95FD-675DA3851AC4}" name="2015" dataDxfId="25">
      <calculatedColumnFormula>Analysis!D3</calculatedColumnFormula>
    </tableColumn>
    <tableColumn id="5" xr3:uid="{70674289-36D7-49E5-8BE2-502446510072}" name="2016" dataDxfId="24">
      <calculatedColumnFormula>Analysis!E3</calculatedColumnFormula>
    </tableColumn>
    <tableColumn id="6" xr3:uid="{B7977D84-A4F7-4D49-9B6C-2AC3BB0F2EBE}" name="2017" dataDxfId="23">
      <calculatedColumnFormula>Analysis!F3</calculatedColumnFormula>
    </tableColumn>
    <tableColumn id="7" xr3:uid="{D0B86FDF-54EC-4B52-AFEB-053C23D65FD4}" name="2018" dataDxfId="22">
      <calculatedColumnFormula>Analysis!G3</calculatedColumnFormula>
    </tableColumn>
    <tableColumn id="8" xr3:uid="{4439F02F-4B5E-46D5-A272-B99722C47188}" name="2019" dataDxfId="21">
      <calculatedColumnFormula>Analysis!H3</calculatedColumnFormula>
    </tableColumn>
    <tableColumn id="9" xr3:uid="{B95CE9A7-32E7-4867-AE3C-E08EA3804772}" name="2020" dataDxfId="20">
      <calculatedColumnFormula>Analysis!I3</calculatedColumnFormula>
    </tableColumn>
    <tableColumn id="10" xr3:uid="{9750866E-B334-40C4-803E-6F57F417825A}" name="2021" dataDxfId="19">
      <calculatedColumnFormula>Analysis!J3</calculatedColumnFormula>
    </tableColumn>
    <tableColumn id="11" xr3:uid="{1813BB08-9D83-467D-92E9-FC1D751DD193}" name="2022" dataDxfId="18">
      <calculatedColumnFormula>Analysis!K3</calculatedColumnFormula>
    </tableColumn>
    <tableColumn id="12" xr3:uid="{274D7B5E-2FF9-41E7-AC36-9785DAB505DB}" name="2023" dataDxfId="17">
      <calculatedColumnFormula>Analysis!L3</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A3DD0CA-CECD-4D4F-ACDA-0E651FEB894A}" name="Table12" displayName="Table12" ref="A1:L2" totalsRowShown="0" headerRowDxfId="16" dataDxfId="14" headerRowBorderDxfId="15" tableBorderDxfId="13" totalsRowBorderDxfId="12" dataCellStyle="Percent">
  <autoFilter ref="A1:L2" xr:uid="{7A3DD0CA-CECD-4D4F-ACDA-0E651FEB894A}"/>
  <tableColumns count="12">
    <tableColumn id="1" xr3:uid="{CB4C92D8-4273-4406-A83D-1003FF2ECF04}" name="Key Ratios" dataDxfId="11"/>
    <tableColumn id="2" xr3:uid="{7C647C45-640F-40D1-AA8F-0C4C1C710E94}" name="2013" dataDxfId="10" dataCellStyle="Percent">
      <calculatedColumnFormula>Analysis!B14</calculatedColumnFormula>
    </tableColumn>
    <tableColumn id="3" xr3:uid="{580B3EEF-316B-4BFF-AFED-0ED8FBDB716F}" name="2014" dataDxfId="9" dataCellStyle="Percent">
      <calculatedColumnFormula>Analysis!C14</calculatedColumnFormula>
    </tableColumn>
    <tableColumn id="4" xr3:uid="{8EE52427-129F-4CE9-9B53-E9D7DB698DE8}" name="2015" dataDxfId="8" dataCellStyle="Percent">
      <calculatedColumnFormula>Analysis!D14</calculatedColumnFormula>
    </tableColumn>
    <tableColumn id="5" xr3:uid="{45775C15-9579-403D-8D51-29BADBA18AA9}" name="2016" dataDxfId="7" dataCellStyle="Percent">
      <calculatedColumnFormula>Analysis!E14</calculatedColumnFormula>
    </tableColumn>
    <tableColumn id="6" xr3:uid="{37D8DD17-37BC-4AC3-AA7E-F041451D18BB}" name="2017" dataDxfId="6" dataCellStyle="Percent">
      <calculatedColumnFormula>Analysis!F14</calculatedColumnFormula>
    </tableColumn>
    <tableColumn id="7" xr3:uid="{ECC82D41-6899-403F-8833-1E0D7BC8B65C}" name="2018" dataDxfId="5" dataCellStyle="Percent">
      <calculatedColumnFormula>Analysis!G14</calculatedColumnFormula>
    </tableColumn>
    <tableColumn id="8" xr3:uid="{6D2E92B1-06F2-42CB-8B0D-D28DCA65EA07}" name="2019" dataDxfId="4" dataCellStyle="Percent">
      <calculatedColumnFormula>Analysis!H14</calculatedColumnFormula>
    </tableColumn>
    <tableColumn id="9" xr3:uid="{68F8DFFF-2F7B-470C-A13C-53E87B5C9174}" name="2020" dataDxfId="3" dataCellStyle="Percent">
      <calculatedColumnFormula>Analysis!I14</calculatedColumnFormula>
    </tableColumn>
    <tableColumn id="10" xr3:uid="{A81375CF-7E65-4681-8931-1FFB7D8DEFBC}" name="2021" dataDxfId="2" dataCellStyle="Percent">
      <calculatedColumnFormula>Analysis!J14</calculatedColumnFormula>
    </tableColumn>
    <tableColumn id="11" xr3:uid="{4ADC4A6B-5D6A-4649-BAC2-C4682A5EFE5A}" name="2022" dataDxfId="1" dataCellStyle="Percent">
      <calculatedColumnFormula>Analysis!K14</calculatedColumnFormula>
    </tableColumn>
    <tableColumn id="12" xr3:uid="{FAB9CCB9-28FF-459E-842E-72A85CCED85E}" name="2023" dataDxfId="0" dataCellStyle="Percent">
      <calculatedColumnFormula>Analysis!L14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85A640-017A-4EAB-A490-DEF457DD3F62}" name="Table8" displayName="Table8" ref="A1:E11" totalsRowShown="0" headerRowDxfId="110" dataDxfId="108" headerRowBorderDxfId="109" tableBorderDxfId="107">
  <autoFilter ref="A1:E11" xr:uid="{3185A640-017A-4EAB-A490-DEF457DD3F62}"/>
  <tableColumns count="5">
    <tableColumn id="1" xr3:uid="{021FCE9D-ED56-45FE-8C17-BB8E146416D6}" name="Segment" dataDxfId="106"/>
    <tableColumn id="2" xr3:uid="{B86616C2-4354-4787-9FA5-0669AB3D30B4}" name="Revenue 2023-24 (₹ Cr)" dataDxfId="105"/>
    <tableColumn id="3" xr3:uid="{74E884BB-11F1-4670-A52A-46AD152DC6AC}" name="Revenue 2022-23 (₹ Cr)" dataDxfId="104"/>
    <tableColumn id="4" xr3:uid="{2E1BC9E9-344A-423F-B817-46AF8CB0EB81}" name="EBIT 2023-24 (₹ Cr)" dataDxfId="103"/>
    <tableColumn id="5" xr3:uid="{92534979-CBC4-4CE5-9AFF-B57A28998B68}" name="EBIT 2022-23 (₹ Cr)" dataDxfId="10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AEA1461-BFEB-49B2-8B36-1E76B0578CB5}" name="Table9" displayName="Table9" ref="A1:C4" totalsRowShown="0" headerRowDxfId="101" headerRowBorderDxfId="100" tableBorderDxfId="99">
  <autoFilter ref="A1:C4" xr:uid="{1AEA1461-BFEB-49B2-8B36-1E76B0578CB5}"/>
  <tableColumns count="3">
    <tableColumn id="1" xr3:uid="{C31B4781-7F74-47E0-AC93-D42CCB12CEFB}" name="Region" dataDxfId="98"/>
    <tableColumn id="2" xr3:uid="{DCD419D2-18FB-4A56-8C80-913FBFF8BB8F}" name="Revenue 2023-24 (₹ Cr)"/>
    <tableColumn id="3" xr3:uid="{477DE6CB-DF0D-482A-98AD-D2B6D951C072}" name="Revenue 2022-23 (₹ C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EF855C-3D14-4D9E-B2B1-BC4ACA1A2CD6}" name="Table_3" displayName="Table_3" ref="A1:O17" tableType="queryTable" totalsRowShown="0">
  <autoFilter ref="A1:O17" xr:uid="{F9EF855C-3D14-4D9E-B2B1-BC4ACA1A2CD6}"/>
  <tableColumns count="15">
    <tableColumn id="1" xr3:uid="{992B91D6-AB04-4A90-8CF1-253F94708D8B}" uniqueName="1" name="Column1" queryTableFieldId="1" dataDxfId="97"/>
    <tableColumn id="2" xr3:uid="{6A0C3E28-1663-4E57-8FA7-BD06B1F8DB42}" uniqueName="2" name="Mar 2013" queryTableFieldId="2"/>
    <tableColumn id="3" xr3:uid="{2178C947-863F-47BA-B759-0CD222814F6E}" uniqueName="3" name="Mar 2014" queryTableFieldId="3"/>
    <tableColumn id="4" xr3:uid="{E5AC9C11-4F1A-48C9-83A5-E0AEDDD36244}" uniqueName="4" name="Mar 2015" queryTableFieldId="4"/>
    <tableColumn id="5" xr3:uid="{2F628617-6BD1-4A34-8C61-587D3CD642E2}" uniqueName="5" name="Mar 2016" queryTableFieldId="5"/>
    <tableColumn id="6" xr3:uid="{7BD74024-6CF4-4135-968E-0EC9D5D02BAE}" uniqueName="6" name="Mar 2017" queryTableFieldId="6"/>
    <tableColumn id="7" xr3:uid="{B403B762-98D1-4F7D-8C0D-3A3A9B6C6EF2}" uniqueName="7" name="Mar 2018" queryTableFieldId="7"/>
    <tableColumn id="8" xr3:uid="{F11080CC-2C79-4507-8E69-3F56E10E761F}" uniqueName="8" name="Mar 2019" queryTableFieldId="8"/>
    <tableColumn id="9" xr3:uid="{761B513D-B3AF-4D6B-9093-B2DA11F088E4}" uniqueName="9" name="Mar 2020" queryTableFieldId="9"/>
    <tableColumn id="10" xr3:uid="{13EFC4FD-082B-4FB3-B99F-0BEEA883F9CE}" uniqueName="10" name="Mar 2021" queryTableFieldId="10"/>
    <tableColumn id="11" xr3:uid="{AD5C226A-80D3-43C5-8E84-8F3B8BB64F76}" uniqueName="11" name="Mar 2022" queryTableFieldId="11"/>
    <tableColumn id="12" xr3:uid="{2E4D4E20-8AF5-494A-BA86-C90925DC39E1}" uniqueName="12" name="Mar 2023" queryTableFieldId="12"/>
    <tableColumn id="13" xr3:uid="{7074D32D-66D1-48F7-8E91-7CDC78BE2BBA}" uniqueName="13" name="Mar 2024" queryTableFieldId="13"/>
    <tableColumn id="14" xr3:uid="{939B4E90-1396-4716-8960-707AB6E427DF}" uniqueName="14" name="TTM" queryTableFieldId="14"/>
    <tableColumn id="15" xr3:uid="{A2BDDCCB-17D8-41F7-9E6A-5D12DA2B07C8}" uniqueName="15" name="Growth" queryTableFieldId="15" dataDxfId="96">
      <calculatedColumnFormula>RATE(12,,-Table_3[[#This Row],[Mar 2013]],Table_3[[#This Row],[TTM]])</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A44D21-0F61-4B6E-A5FD-1DBDDBBC13E1}" name="Table3" displayName="Table3" ref="A21:N29" headerRowCount="0" totalsRowShown="0" headerRowDxfId="95" dataDxfId="94">
  <tableColumns count="14">
    <tableColumn id="1" xr3:uid="{5340C6FD-0058-408F-8D0C-B0F8CB1F83E4}" name="Column1" headerRowDxfId="93" dataDxfId="92"/>
    <tableColumn id="2" xr3:uid="{9D48C7AD-B88F-4B65-AF14-6BD6E88C6452}" name="Column2" headerRowDxfId="91" dataDxfId="90"/>
    <tableColumn id="3" xr3:uid="{947A6B92-D9F6-411C-A86B-D30687793E3C}" name="Column3" headerRowDxfId="89" dataDxfId="88"/>
    <tableColumn id="4" xr3:uid="{150FA6A2-83CA-4AAB-81D1-E2A56E251797}" name="Column4" headerRowDxfId="87" dataDxfId="86"/>
    <tableColumn id="5" xr3:uid="{33B00E8B-2D8E-4B0B-B108-D23414D0F7B4}" name="Column5" headerRowDxfId="85" dataDxfId="84"/>
    <tableColumn id="6" xr3:uid="{32074748-6F0D-441C-8BF7-AC2A780C9D7A}" name="Column6" headerRowDxfId="83" dataDxfId="82"/>
    <tableColumn id="7" xr3:uid="{B31B72B7-E4FC-4EB3-B9C5-3422FBF674E9}" name="Column7" headerRowDxfId="81" dataDxfId="80"/>
    <tableColumn id="8" xr3:uid="{2019D237-7DAA-454D-88DB-A0627C0471CF}" name="Column8" headerRowDxfId="79" dataDxfId="78"/>
    <tableColumn id="9" xr3:uid="{238B73E1-9A29-49B6-BA74-1146EB2FECF5}" name="Column9" headerRowDxfId="77" dataDxfId="76"/>
    <tableColumn id="10" xr3:uid="{71A25EC5-00BD-4FCC-A826-05ED3AD71568}" name="Column10" headerRowDxfId="75" dataDxfId="74"/>
    <tableColumn id="11" xr3:uid="{3FC3AC05-6ED5-447F-BA3D-10C5C9A3A5B0}" name="Column11" headerRowDxfId="73" dataDxfId="72"/>
    <tableColumn id="12" xr3:uid="{5D4CC05D-93DE-4DCA-8FD3-C2DF28637563}" name="Column12" headerRowDxfId="71" dataDxfId="70"/>
    <tableColumn id="13" xr3:uid="{FC7AF91D-FCA0-4C51-B213-36BD55861E86}" name="Column13" headerRowDxfId="69" dataDxfId="68"/>
    <tableColumn id="14" xr3:uid="{1D79384B-F7FD-4161-B1D1-21BD73627E55}" name="Column14" headerRowDxfId="67" dataDxfId="66"/>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1908E6-D912-4371-801D-6808681B7595}" name="Table4" displayName="Table4" ref="A1:M42" totalsRowShown="0" headerRowDxfId="65" dataDxfId="64">
  <autoFilter ref="A1:M42" xr:uid="{561908E6-D912-4371-801D-6808681B7595}"/>
  <tableColumns count="13">
    <tableColumn id="1" xr3:uid="{CFE6C35C-304C-410D-9B22-074D152D4C5B}" name="Particular" dataDxfId="63"/>
    <tableColumn id="2" xr3:uid="{5EE34D05-19F4-471F-86C4-781D8EC14497}" name="Mar-13" dataDxfId="62"/>
    <tableColumn id="3" xr3:uid="{33121523-5DD8-4434-A120-40CBDE1265DF}" name="Mar-14" dataDxfId="61"/>
    <tableColumn id="4" xr3:uid="{B0EF9588-D476-4FBA-B0F7-3D72D9846F8F}" name="Mar-15" dataDxfId="60"/>
    <tableColumn id="5" xr3:uid="{1053D113-F9F9-4098-B0D7-85111E73B81F}" name="Mar-16" dataDxfId="59"/>
    <tableColumn id="6" xr3:uid="{370B0299-2BB8-4EA9-96B2-151F61FD695A}" name="Mar-17" dataDxfId="58"/>
    <tableColumn id="7" xr3:uid="{C4BFD89B-2272-42C6-9384-412A9045AEAF}" name="Mar-18" dataDxfId="57"/>
    <tableColumn id="8" xr3:uid="{80DBF593-40D8-48EE-936F-F27FA80CDEB1}" name="Mar-19" dataDxfId="56"/>
    <tableColumn id="9" xr3:uid="{5DFDD74F-1B29-42CF-B575-125B16DCC141}" name="Mar-20" dataDxfId="55"/>
    <tableColumn id="10" xr3:uid="{3C1F1ADC-9377-472B-B831-5C8FB33C5F6D}" name="Mar-21" dataDxfId="54"/>
    <tableColumn id="11" xr3:uid="{B63CE3CF-0B89-4CB9-9343-9C239788DCFC}" name="Mar-22" dataDxfId="53"/>
    <tableColumn id="12" xr3:uid="{EDE7C2E9-8694-4A90-801F-419005E0CA47}" name="Mar-23" dataDxfId="52"/>
    <tableColumn id="13" xr3:uid="{BE96C94B-B45B-400F-8948-174955AE8C23}" name="Mar-24" dataDxfId="51"/>
  </tableColumns>
  <tableStyleInfo name="TableStyleLight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EE50E7-66C2-45FE-8C80-D248360BBB72}" name="Table5" displayName="Table5" ref="A1:C26" totalsRowShown="0" headerRowDxfId="50" headerRowBorderDxfId="49" tableBorderDxfId="48">
  <autoFilter ref="A1:C26" xr:uid="{54EE50E7-66C2-45FE-8C80-D248360BBB72}"/>
  <tableColumns count="3">
    <tableColumn id="1" xr3:uid="{B5542405-0D82-49F2-842A-4EE468D73909}" name="Metrics"/>
    <tableColumn id="3" xr3:uid="{8363F304-BE6D-4073-959F-4A8328AB319C}" name="2022-23 (₹ crore)"/>
    <tableColumn id="2" xr3:uid="{80403CC7-E280-46EE-AC5D-261D2A4ACF33}" name="2023-24 (₹ cror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DAB6A7-DF39-4FB6-915F-2F73BAA80829}" name="Table6" displayName="Table6" ref="A1:C44" totalsRowShown="0" headerRowDxfId="47" headerRowBorderDxfId="46" tableBorderDxfId="45">
  <autoFilter ref="A1:C44" xr:uid="{5FDAB6A7-DF39-4FB6-915F-2F73BAA80829}"/>
  <tableColumns count="3">
    <tableColumn id="1" xr3:uid="{E5CAC6AF-24B9-4364-9A8B-BBEA00C03A7B}" name="Category"/>
    <tableColumn id="3" xr3:uid="{5B87EE30-A5D3-4D85-B125-A6DBB5DB2057}" name="As at 31st March, 2023 (₹ in crore)"/>
    <tableColumn id="2" xr3:uid="{BA472A18-2CF1-40C6-9FE0-D85F877C8033}" name="As at 31st March, 2024 (₹ in cror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937827-278F-4D41-99A6-B96B05D27F13}" name="Table7" displayName="Table7" ref="A1:M34" totalsRowShown="0" headerRowDxfId="44" dataDxfId="43">
  <autoFilter ref="A1:M34" xr:uid="{97937827-278F-4D41-99A6-B96B05D27F13}"/>
  <tableColumns count="13">
    <tableColumn id="1" xr3:uid="{5753D5D1-615A-4418-8E30-9958A262796D}" name="PARTICULAR" dataDxfId="42"/>
    <tableColumn id="2" xr3:uid="{2C98CB7E-E2B4-499D-AC70-83AAC5FB75B7}" name="Mar-13" dataDxfId="41"/>
    <tableColumn id="3" xr3:uid="{B9C3C1D3-2D5A-4CB2-8AE8-2D2920526AD4}" name="Mar-14" dataDxfId="40"/>
    <tableColumn id="4" xr3:uid="{7E19773C-18F8-4577-9B0A-CCBA54333C81}" name="Mar-15" dataDxfId="39"/>
    <tableColumn id="5" xr3:uid="{4AF811CC-A08E-4C23-B751-CAAFD844DEF7}" name="Mar-16" dataDxfId="38"/>
    <tableColumn id="6" xr3:uid="{32C0F144-E286-44F5-BE78-0A238A4D5E6C}" name="Mar-17" dataDxfId="37"/>
    <tableColumn id="7" xr3:uid="{353B78B9-31F0-4A7C-A3C6-85F242D29BA9}" name="Mar-18" dataDxfId="36"/>
    <tableColumn id="8" xr3:uid="{DAB287C4-2EB8-4E5E-9269-2EAC760DE0BE}" name="Mar-19" dataDxfId="35"/>
    <tableColumn id="9" xr3:uid="{11238BAA-C14A-43F5-AABE-241285B5DD85}" name="Mar-20" dataDxfId="34"/>
    <tableColumn id="10" xr3:uid="{0BFAAFA4-4A75-4227-AB68-A451051C0745}" name="Mar-21" dataDxfId="33"/>
    <tableColumn id="11" xr3:uid="{124FC776-6393-4BF7-AA8D-B73A534B1C63}" name="Mar-22" dataDxfId="32"/>
    <tableColumn id="12" xr3:uid="{7A12C2DC-BD11-469D-9F02-FAF63A885F3E}" name="Mar-23" dataDxfId="31"/>
    <tableColumn id="13" xr3:uid="{BD3D7563-B192-4754-8648-3B71C4A00A5C}" name="Mar-24"/>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F7E66-5144-44D3-9852-0F2988220C67}">
  <dimension ref="A1:A22"/>
  <sheetViews>
    <sheetView workbookViewId="0">
      <selection activeCell="D1" sqref="D1"/>
    </sheetView>
  </sheetViews>
  <sheetFormatPr defaultRowHeight="14.5" x14ac:dyDescent="0.35"/>
  <sheetData>
    <row r="1" spans="1:1" ht="17.5" x14ac:dyDescent="0.35">
      <c r="A1" s="60" t="s">
        <v>324</v>
      </c>
    </row>
    <row r="3" spans="1:1" x14ac:dyDescent="0.35">
      <c r="A3" t="s">
        <v>325</v>
      </c>
    </row>
    <row r="5" spans="1:1" ht="17.5" x14ac:dyDescent="0.35">
      <c r="A5" s="60" t="s">
        <v>326</v>
      </c>
    </row>
    <row r="6" spans="1:1" x14ac:dyDescent="0.35">
      <c r="A6" s="31"/>
    </row>
    <row r="7" spans="1:1" x14ac:dyDescent="0.35">
      <c r="A7" s="32" t="s">
        <v>327</v>
      </c>
    </row>
    <row r="8" spans="1:1" x14ac:dyDescent="0.35">
      <c r="A8" s="32" t="s">
        <v>328</v>
      </c>
    </row>
    <row r="9" spans="1:1" x14ac:dyDescent="0.35">
      <c r="A9" s="32" t="s">
        <v>329</v>
      </c>
    </row>
    <row r="10" spans="1:1" x14ac:dyDescent="0.35">
      <c r="A10" s="32" t="s">
        <v>330</v>
      </c>
    </row>
    <row r="11" spans="1:1" x14ac:dyDescent="0.35">
      <c r="A11" s="32" t="s">
        <v>331</v>
      </c>
    </row>
    <row r="13" spans="1:1" ht="17.5" x14ac:dyDescent="0.35">
      <c r="A13" s="60" t="s">
        <v>332</v>
      </c>
    </row>
    <row r="15" spans="1:1" x14ac:dyDescent="0.35">
      <c r="A15" t="s">
        <v>333</v>
      </c>
    </row>
    <row r="17" spans="1:1" ht="17.5" x14ac:dyDescent="0.35">
      <c r="A17" s="60" t="s">
        <v>334</v>
      </c>
    </row>
    <row r="18" spans="1:1" x14ac:dyDescent="0.35">
      <c r="A18" s="31"/>
    </row>
    <row r="19" spans="1:1" x14ac:dyDescent="0.35">
      <c r="A19" s="32" t="s">
        <v>335</v>
      </c>
    </row>
    <row r="20" spans="1:1" x14ac:dyDescent="0.35">
      <c r="A20" s="32" t="s">
        <v>336</v>
      </c>
    </row>
    <row r="21" spans="1:1" x14ac:dyDescent="0.35">
      <c r="A21" s="32" t="s">
        <v>337</v>
      </c>
    </row>
    <row r="22" spans="1:1" x14ac:dyDescent="0.35">
      <c r="A22" s="32" t="s">
        <v>338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40EC-E38D-41C4-9CD3-80B1C79BF440}">
  <dimension ref="A7:C27"/>
  <sheetViews>
    <sheetView showGridLines="0" topLeftCell="A14" zoomScale="58" workbookViewId="0">
      <selection activeCell="A30" sqref="A30"/>
    </sheetView>
  </sheetViews>
  <sheetFormatPr defaultRowHeight="14.5" x14ac:dyDescent="0.35"/>
  <cols>
    <col min="1" max="1" width="34.90625" customWidth="1"/>
    <col min="2" max="2" width="16.6328125" customWidth="1"/>
    <col min="3" max="3" width="15.54296875" customWidth="1"/>
  </cols>
  <sheetData>
    <row r="7" spans="1:2" ht="57.5" x14ac:dyDescent="0.35">
      <c r="A7" s="34" t="s">
        <v>166</v>
      </c>
    </row>
    <row r="9" spans="1:2" ht="34.5" x14ac:dyDescent="0.35">
      <c r="A9" s="34" t="s">
        <v>167</v>
      </c>
    </row>
    <row r="10" spans="1:2" ht="15" thickBot="1" x14ac:dyDescent="0.4"/>
    <row r="11" spans="1:2" ht="15" thickBot="1" x14ac:dyDescent="0.4">
      <c r="A11" s="35" t="s">
        <v>163</v>
      </c>
      <c r="B11" s="36" t="s">
        <v>168</v>
      </c>
    </row>
    <row r="12" spans="1:2" ht="15" thickBot="1" x14ac:dyDescent="0.4">
      <c r="A12" s="37" t="s">
        <v>164</v>
      </c>
      <c r="B12" s="38" t="s">
        <v>169</v>
      </c>
    </row>
    <row r="13" spans="1:2" ht="15" thickBot="1" x14ac:dyDescent="0.4">
      <c r="A13" s="37" t="s">
        <v>165</v>
      </c>
      <c r="B13" s="38" t="s">
        <v>170</v>
      </c>
    </row>
    <row r="15" spans="1:2" ht="46" x14ac:dyDescent="0.35">
      <c r="A15" s="34" t="s">
        <v>171</v>
      </c>
    </row>
    <row r="16" spans="1:2" ht="15" thickBot="1" x14ac:dyDescent="0.4"/>
    <row r="17" spans="1:3" ht="27.5" thickBot="1" x14ac:dyDescent="0.4">
      <c r="A17" s="35" t="s">
        <v>163</v>
      </c>
      <c r="B17" s="35" t="s">
        <v>172</v>
      </c>
      <c r="C17" s="36" t="s">
        <v>173</v>
      </c>
    </row>
    <row r="18" spans="1:3" ht="15" thickBot="1" x14ac:dyDescent="0.4">
      <c r="A18" s="37" t="s">
        <v>164</v>
      </c>
      <c r="B18" s="39">
        <v>6765810816</v>
      </c>
      <c r="C18" s="40">
        <v>6766240686</v>
      </c>
    </row>
    <row r="19" spans="1:3" ht="15" thickBot="1" x14ac:dyDescent="0.4">
      <c r="A19" s="37" t="s">
        <v>165</v>
      </c>
      <c r="B19" s="39">
        <v>6765550967</v>
      </c>
      <c r="C19" s="40">
        <v>6766155766</v>
      </c>
    </row>
    <row r="23" spans="1:3" ht="46" x14ac:dyDescent="0.35">
      <c r="A23" s="34" t="s">
        <v>174</v>
      </c>
    </row>
    <row r="24" spans="1:3" ht="15" thickBot="1" x14ac:dyDescent="0.4"/>
    <row r="25" spans="1:3" ht="27.5" thickBot="1" x14ac:dyDescent="0.4">
      <c r="A25" s="35" t="s">
        <v>163</v>
      </c>
      <c r="B25" s="35" t="s">
        <v>175</v>
      </c>
      <c r="C25" s="36" t="s">
        <v>176</v>
      </c>
    </row>
    <row r="26" spans="1:3" ht="15" thickBot="1" x14ac:dyDescent="0.4">
      <c r="A26" s="37" t="s">
        <v>164</v>
      </c>
      <c r="B26" s="37" t="s">
        <v>177</v>
      </c>
      <c r="C26" s="38" t="s">
        <v>177</v>
      </c>
    </row>
    <row r="27" spans="1:3" ht="15" thickBot="1" x14ac:dyDescent="0.4">
      <c r="A27" s="37" t="s">
        <v>165</v>
      </c>
      <c r="B27" s="37" t="s">
        <v>178</v>
      </c>
      <c r="C27" s="38" t="s">
        <v>179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5ADFD-237A-4802-B52A-0DE9E246579E}">
  <dimension ref="A1:C26"/>
  <sheetViews>
    <sheetView showGridLines="0" topLeftCell="A13" workbookViewId="0">
      <selection activeCell="E10" sqref="E10"/>
    </sheetView>
  </sheetViews>
  <sheetFormatPr defaultRowHeight="14.5" x14ac:dyDescent="0.35"/>
  <cols>
    <col min="1" max="1" width="61.36328125" bestFit="1" customWidth="1"/>
    <col min="2" max="3" width="19.6328125" bestFit="1" customWidth="1"/>
  </cols>
  <sheetData>
    <row r="1" spans="1:3" x14ac:dyDescent="0.35">
      <c r="A1" s="41" t="s">
        <v>180</v>
      </c>
      <c r="B1" s="41" t="s">
        <v>182</v>
      </c>
      <c r="C1" s="41" t="s">
        <v>181</v>
      </c>
    </row>
    <row r="2" spans="1:3" x14ac:dyDescent="0.35">
      <c r="A2" t="s">
        <v>183</v>
      </c>
      <c r="B2">
        <v>856770</v>
      </c>
      <c r="C2">
        <v>883646</v>
      </c>
    </row>
    <row r="3" spans="1:3" x14ac:dyDescent="0.35">
      <c r="A3" t="s">
        <v>184</v>
      </c>
      <c r="B3">
        <v>118094</v>
      </c>
      <c r="C3">
        <v>116476</v>
      </c>
    </row>
    <row r="4" spans="1:3" x14ac:dyDescent="0.35">
      <c r="A4" t="s">
        <v>185</v>
      </c>
      <c r="B4">
        <v>974864</v>
      </c>
      <c r="C4">
        <v>1000122</v>
      </c>
    </row>
    <row r="5" spans="1:3" x14ac:dyDescent="0.35">
      <c r="A5" t="s">
        <v>186</v>
      </c>
      <c r="B5">
        <v>83553</v>
      </c>
      <c r="C5">
        <v>85650</v>
      </c>
    </row>
    <row r="6" spans="1:3" x14ac:dyDescent="0.35">
      <c r="A6" t="s">
        <v>187</v>
      </c>
      <c r="B6">
        <v>891311</v>
      </c>
      <c r="C6">
        <v>914472</v>
      </c>
    </row>
    <row r="7" spans="1:3" x14ac:dyDescent="0.35">
      <c r="A7" t="s">
        <v>188</v>
      </c>
      <c r="B7">
        <v>11734</v>
      </c>
      <c r="C7">
        <v>16057</v>
      </c>
    </row>
    <row r="8" spans="1:3" x14ac:dyDescent="0.35">
      <c r="A8" t="s">
        <v>189</v>
      </c>
      <c r="B8">
        <v>903045</v>
      </c>
      <c r="C8">
        <v>930529</v>
      </c>
    </row>
    <row r="9" spans="1:3" x14ac:dyDescent="0.35">
      <c r="A9" t="s">
        <v>190</v>
      </c>
      <c r="B9">
        <v>450241</v>
      </c>
      <c r="C9">
        <v>400345</v>
      </c>
    </row>
    <row r="10" spans="1:3" x14ac:dyDescent="0.35">
      <c r="A10" t="s">
        <v>191</v>
      </c>
      <c r="B10">
        <v>168505</v>
      </c>
      <c r="C10">
        <v>189881</v>
      </c>
    </row>
    <row r="11" spans="1:3" x14ac:dyDescent="0.35">
      <c r="A11" t="s">
        <v>192</v>
      </c>
      <c r="B11">
        <v>-30263</v>
      </c>
      <c r="C11">
        <v>-4883</v>
      </c>
    </row>
    <row r="12" spans="1:3" x14ac:dyDescent="0.35">
      <c r="A12" t="s">
        <v>193</v>
      </c>
      <c r="B12">
        <v>13476</v>
      </c>
      <c r="C12">
        <v>13408</v>
      </c>
    </row>
    <row r="13" spans="1:3" x14ac:dyDescent="0.35">
      <c r="A13" t="s">
        <v>194</v>
      </c>
      <c r="B13">
        <v>24872</v>
      </c>
      <c r="C13">
        <v>25679</v>
      </c>
    </row>
    <row r="14" spans="1:3" x14ac:dyDescent="0.35">
      <c r="A14" t="s">
        <v>195</v>
      </c>
      <c r="B14">
        <v>19571</v>
      </c>
      <c r="C14">
        <v>23118</v>
      </c>
    </row>
    <row r="15" spans="1:3" x14ac:dyDescent="0.35">
      <c r="A15" t="s">
        <v>196</v>
      </c>
      <c r="B15">
        <v>40303</v>
      </c>
      <c r="C15">
        <v>50832</v>
      </c>
    </row>
    <row r="16" spans="1:3" x14ac:dyDescent="0.35">
      <c r="A16" t="s">
        <v>197</v>
      </c>
      <c r="B16">
        <v>122318</v>
      </c>
      <c r="C16">
        <v>127809</v>
      </c>
    </row>
    <row r="17" spans="1:3" x14ac:dyDescent="0.35">
      <c r="A17" t="s">
        <v>198</v>
      </c>
      <c r="B17">
        <v>809023</v>
      </c>
      <c r="C17">
        <v>826189</v>
      </c>
    </row>
    <row r="18" spans="1:3" x14ac:dyDescent="0.35">
      <c r="A18" t="s">
        <v>199</v>
      </c>
      <c r="B18">
        <v>94022</v>
      </c>
      <c r="C18">
        <v>104340</v>
      </c>
    </row>
    <row r="19" spans="1:3" x14ac:dyDescent="0.35">
      <c r="A19" t="s">
        <v>200</v>
      </c>
      <c r="B19">
        <v>24</v>
      </c>
      <c r="C19">
        <v>387</v>
      </c>
    </row>
    <row r="20" spans="1:3" x14ac:dyDescent="0.35">
      <c r="A20" t="s">
        <v>61</v>
      </c>
      <c r="B20">
        <v>94046</v>
      </c>
      <c r="C20">
        <v>104727</v>
      </c>
    </row>
    <row r="21" spans="1:3" x14ac:dyDescent="0.35">
      <c r="A21" t="s">
        <v>201</v>
      </c>
      <c r="B21">
        <v>8398</v>
      </c>
      <c r="C21">
        <v>13590</v>
      </c>
    </row>
    <row r="22" spans="1:3" x14ac:dyDescent="0.35">
      <c r="A22" t="s">
        <v>202</v>
      </c>
      <c r="B22">
        <v>5117</v>
      </c>
      <c r="C22">
        <v>12117</v>
      </c>
    </row>
    <row r="23" spans="1:3" x14ac:dyDescent="0.35">
      <c r="A23" t="s">
        <v>203</v>
      </c>
      <c r="B23">
        <v>13515</v>
      </c>
      <c r="C23">
        <v>25707</v>
      </c>
    </row>
    <row r="24" spans="1:3" x14ac:dyDescent="0.35">
      <c r="A24" t="s">
        <v>204</v>
      </c>
      <c r="B24">
        <v>73670</v>
      </c>
      <c r="C24">
        <v>79020</v>
      </c>
    </row>
    <row r="25" spans="1:3" x14ac:dyDescent="0.35">
      <c r="A25" t="s">
        <v>205</v>
      </c>
      <c r="B25">
        <v>418</v>
      </c>
      <c r="C25">
        <v>0</v>
      </c>
    </row>
    <row r="26" spans="1:3" x14ac:dyDescent="0.35">
      <c r="A26" t="s">
        <v>206</v>
      </c>
      <c r="B26">
        <v>74088</v>
      </c>
      <c r="C26">
        <v>79020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AD99-BAE0-4573-8954-7849E49EB462}">
  <dimension ref="A1:C44"/>
  <sheetViews>
    <sheetView showGridLines="0" topLeftCell="A29" workbookViewId="0">
      <selection activeCell="F11" sqref="F11"/>
    </sheetView>
  </sheetViews>
  <sheetFormatPr defaultRowHeight="14.5" x14ac:dyDescent="0.35"/>
  <cols>
    <col min="1" max="1" width="38" bestFit="1" customWidth="1"/>
    <col min="2" max="3" width="31.36328125" customWidth="1"/>
  </cols>
  <sheetData>
    <row r="1" spans="1:3" x14ac:dyDescent="0.35">
      <c r="A1" s="41" t="s">
        <v>207</v>
      </c>
      <c r="B1" s="41" t="s">
        <v>209</v>
      </c>
      <c r="C1" s="41" t="s">
        <v>208</v>
      </c>
    </row>
    <row r="2" spans="1:3" x14ac:dyDescent="0.35">
      <c r="A2" t="s">
        <v>210</v>
      </c>
      <c r="B2">
        <v>600000</v>
      </c>
      <c r="C2">
        <v>650000</v>
      </c>
    </row>
    <row r="3" spans="1:3" x14ac:dyDescent="0.35">
      <c r="A3" t="s">
        <v>211</v>
      </c>
      <c r="B3">
        <v>75000</v>
      </c>
      <c r="C3">
        <v>70000</v>
      </c>
    </row>
    <row r="4" spans="1:3" x14ac:dyDescent="0.35">
      <c r="A4" t="s">
        <v>212</v>
      </c>
      <c r="B4">
        <v>85000</v>
      </c>
      <c r="C4">
        <v>92000</v>
      </c>
    </row>
    <row r="5" spans="1:3" x14ac:dyDescent="0.35">
      <c r="A5" t="s">
        <v>213</v>
      </c>
      <c r="B5">
        <v>15000</v>
      </c>
      <c r="C5">
        <v>16000</v>
      </c>
    </row>
    <row r="6" spans="1:3" x14ac:dyDescent="0.35">
      <c r="A6" t="s">
        <v>214</v>
      </c>
      <c r="B6">
        <v>140000</v>
      </c>
      <c r="C6">
        <v>160000</v>
      </c>
    </row>
    <row r="7" spans="1:3" x14ac:dyDescent="0.35">
      <c r="A7" t="s">
        <v>215</v>
      </c>
      <c r="B7">
        <v>130000</v>
      </c>
      <c r="C7">
        <v>135000</v>
      </c>
    </row>
    <row r="8" spans="1:3" x14ac:dyDescent="0.35">
      <c r="A8" t="s">
        <v>216</v>
      </c>
      <c r="B8">
        <v>57000</v>
      </c>
      <c r="C8">
        <v>60000</v>
      </c>
    </row>
    <row r="9" spans="1:3" x14ac:dyDescent="0.35">
      <c r="A9" t="s">
        <v>92</v>
      </c>
      <c r="B9">
        <v>120000</v>
      </c>
      <c r="C9">
        <v>125000</v>
      </c>
    </row>
    <row r="10" spans="1:3" x14ac:dyDescent="0.35">
      <c r="A10" t="s">
        <v>217</v>
      </c>
      <c r="B10">
        <v>1200</v>
      </c>
      <c r="C10">
        <v>1000</v>
      </c>
    </row>
    <row r="11" spans="1:3" x14ac:dyDescent="0.35">
      <c r="A11" t="s">
        <v>218</v>
      </c>
      <c r="B11">
        <v>3200</v>
      </c>
      <c r="C11">
        <v>3000</v>
      </c>
    </row>
    <row r="12" spans="1:3" x14ac:dyDescent="0.35">
      <c r="A12" t="s">
        <v>219</v>
      </c>
      <c r="B12">
        <v>1500</v>
      </c>
      <c r="C12">
        <v>1000</v>
      </c>
    </row>
    <row r="13" spans="1:3" x14ac:dyDescent="0.35">
      <c r="A13" t="s">
        <v>220</v>
      </c>
      <c r="B13">
        <v>43000</v>
      </c>
      <c r="C13">
        <v>45000</v>
      </c>
    </row>
    <row r="14" spans="1:3" x14ac:dyDescent="0.35">
      <c r="A14" t="s">
        <v>221</v>
      </c>
      <c r="B14">
        <v>1250000</v>
      </c>
      <c r="C14">
        <v>1300000</v>
      </c>
    </row>
    <row r="15" spans="1:3" x14ac:dyDescent="0.35">
      <c r="A15" t="s">
        <v>94</v>
      </c>
      <c r="B15">
        <v>150000</v>
      </c>
      <c r="C15">
        <v>160000</v>
      </c>
    </row>
    <row r="16" spans="1:3" x14ac:dyDescent="0.35">
      <c r="A16" t="s">
        <v>92</v>
      </c>
      <c r="B16">
        <v>115000</v>
      </c>
      <c r="C16">
        <v>110000</v>
      </c>
    </row>
    <row r="17" spans="1:3" x14ac:dyDescent="0.35">
      <c r="A17" t="s">
        <v>222</v>
      </c>
      <c r="B17">
        <v>32000</v>
      </c>
      <c r="C17">
        <v>35000</v>
      </c>
    </row>
    <row r="18" spans="1:3" x14ac:dyDescent="0.35">
      <c r="A18" t="s">
        <v>223</v>
      </c>
      <c r="B18">
        <v>90000</v>
      </c>
      <c r="C18">
        <v>105000</v>
      </c>
    </row>
    <row r="19" spans="1:3" x14ac:dyDescent="0.35">
      <c r="A19" t="s">
        <v>217</v>
      </c>
      <c r="B19">
        <v>2500</v>
      </c>
      <c r="C19">
        <v>3000</v>
      </c>
    </row>
    <row r="20" spans="1:3" x14ac:dyDescent="0.35">
      <c r="A20" t="s">
        <v>218</v>
      </c>
      <c r="B20">
        <v>23000</v>
      </c>
      <c r="C20">
        <v>25000</v>
      </c>
    </row>
    <row r="21" spans="1:3" x14ac:dyDescent="0.35">
      <c r="A21" t="s">
        <v>224</v>
      </c>
      <c r="B21">
        <v>55000</v>
      </c>
      <c r="C21">
        <v>60000</v>
      </c>
    </row>
    <row r="22" spans="1:3" x14ac:dyDescent="0.35">
      <c r="A22" t="s">
        <v>225</v>
      </c>
      <c r="B22">
        <v>480000</v>
      </c>
      <c r="C22">
        <v>500000</v>
      </c>
    </row>
    <row r="23" spans="1:3" x14ac:dyDescent="0.35">
      <c r="A23" t="s">
        <v>99</v>
      </c>
      <c r="B23">
        <v>1730000</v>
      </c>
      <c r="C23">
        <v>1800000</v>
      </c>
    </row>
    <row r="24" spans="1:3" x14ac:dyDescent="0.35">
      <c r="A24" t="s">
        <v>226</v>
      </c>
      <c r="B24">
        <v>7000</v>
      </c>
      <c r="C24">
        <v>7000</v>
      </c>
    </row>
    <row r="25" spans="1:3" x14ac:dyDescent="0.35">
      <c r="A25" t="s">
        <v>227</v>
      </c>
      <c r="B25">
        <v>750000</v>
      </c>
      <c r="C25">
        <v>800000</v>
      </c>
    </row>
    <row r="26" spans="1:3" x14ac:dyDescent="0.35">
      <c r="A26" t="s">
        <v>228</v>
      </c>
      <c r="B26">
        <v>130000</v>
      </c>
      <c r="C26">
        <v>140000</v>
      </c>
    </row>
    <row r="27" spans="1:3" x14ac:dyDescent="0.35">
      <c r="A27" t="s">
        <v>229</v>
      </c>
      <c r="B27">
        <v>887000</v>
      </c>
      <c r="C27">
        <v>950000</v>
      </c>
    </row>
    <row r="28" spans="1:3" x14ac:dyDescent="0.35">
      <c r="A28" t="s">
        <v>230</v>
      </c>
      <c r="B28">
        <v>210000</v>
      </c>
      <c r="C28">
        <v>230000</v>
      </c>
    </row>
    <row r="29" spans="1:3" x14ac:dyDescent="0.35">
      <c r="A29" t="s">
        <v>69</v>
      </c>
      <c r="B29">
        <v>16000</v>
      </c>
      <c r="C29">
        <v>18000</v>
      </c>
    </row>
    <row r="30" spans="1:3" x14ac:dyDescent="0.35">
      <c r="A30" t="s">
        <v>231</v>
      </c>
      <c r="B30">
        <v>115000</v>
      </c>
      <c r="C30">
        <v>110000</v>
      </c>
    </row>
    <row r="31" spans="1:3" x14ac:dyDescent="0.35">
      <c r="A31" t="s">
        <v>232</v>
      </c>
      <c r="B31">
        <v>7000</v>
      </c>
      <c r="C31">
        <v>6000</v>
      </c>
    </row>
    <row r="32" spans="1:3" x14ac:dyDescent="0.35">
      <c r="A32" t="s">
        <v>233</v>
      </c>
      <c r="B32">
        <v>2200</v>
      </c>
      <c r="C32">
        <v>2500</v>
      </c>
    </row>
    <row r="33" spans="1:3" x14ac:dyDescent="0.35">
      <c r="A33" t="s">
        <v>234</v>
      </c>
      <c r="B33">
        <v>72000</v>
      </c>
      <c r="C33">
        <v>75000</v>
      </c>
    </row>
    <row r="34" spans="1:3" x14ac:dyDescent="0.35">
      <c r="A34" t="s">
        <v>235</v>
      </c>
      <c r="B34">
        <v>4500</v>
      </c>
      <c r="C34">
        <v>5000</v>
      </c>
    </row>
    <row r="35" spans="1:3" x14ac:dyDescent="0.35">
      <c r="A35" t="s">
        <v>236</v>
      </c>
      <c r="B35">
        <v>425000</v>
      </c>
      <c r="C35">
        <v>450000</v>
      </c>
    </row>
    <row r="36" spans="1:3" x14ac:dyDescent="0.35">
      <c r="A36" t="s">
        <v>237</v>
      </c>
      <c r="B36">
        <v>115000</v>
      </c>
      <c r="C36">
        <v>110000</v>
      </c>
    </row>
    <row r="37" spans="1:3" x14ac:dyDescent="0.35">
      <c r="A37" t="s">
        <v>69</v>
      </c>
      <c r="B37">
        <v>4800</v>
      </c>
      <c r="C37">
        <v>5000</v>
      </c>
    </row>
    <row r="38" spans="1:3" x14ac:dyDescent="0.35">
      <c r="A38" t="s">
        <v>73</v>
      </c>
      <c r="B38">
        <v>180000</v>
      </c>
      <c r="C38">
        <v>190000</v>
      </c>
    </row>
    <row r="39" spans="1:3" x14ac:dyDescent="0.35">
      <c r="A39" t="s">
        <v>232</v>
      </c>
      <c r="B39">
        <v>65000</v>
      </c>
      <c r="C39">
        <v>60000</v>
      </c>
    </row>
    <row r="40" spans="1:3" x14ac:dyDescent="0.35">
      <c r="A40" t="s">
        <v>238</v>
      </c>
      <c r="B40">
        <v>50000</v>
      </c>
      <c r="C40">
        <v>60000</v>
      </c>
    </row>
    <row r="41" spans="1:3" x14ac:dyDescent="0.35">
      <c r="A41" t="s">
        <v>233</v>
      </c>
      <c r="B41">
        <v>2500</v>
      </c>
      <c r="C41">
        <v>3000</v>
      </c>
    </row>
    <row r="42" spans="1:3" x14ac:dyDescent="0.35">
      <c r="A42" t="s">
        <v>239</v>
      </c>
      <c r="B42">
        <v>420000</v>
      </c>
      <c r="C42">
        <v>430000</v>
      </c>
    </row>
    <row r="43" spans="1:3" x14ac:dyDescent="0.35">
      <c r="A43" t="s">
        <v>76</v>
      </c>
      <c r="B43">
        <v>845000</v>
      </c>
      <c r="C43">
        <v>850000</v>
      </c>
    </row>
    <row r="44" spans="1:3" x14ac:dyDescent="0.35">
      <c r="A44" t="s">
        <v>240</v>
      </c>
      <c r="B44">
        <v>1730000</v>
      </c>
      <c r="C44">
        <v>1800000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F443-C41F-434A-B668-6115411DF9D3}">
  <dimension ref="A1:N34"/>
  <sheetViews>
    <sheetView showGridLines="0" topLeftCell="A12" zoomScale="65" workbookViewId="0">
      <selection activeCell="A2" sqref="A2"/>
    </sheetView>
  </sheetViews>
  <sheetFormatPr defaultRowHeight="14.5" x14ac:dyDescent="0.35"/>
  <cols>
    <col min="1" max="1" width="30.54296875" bestFit="1" customWidth="1"/>
    <col min="2" max="2" width="13.81640625" customWidth="1"/>
    <col min="3" max="13" width="9.08984375" customWidth="1"/>
  </cols>
  <sheetData>
    <row r="1" spans="1:14" x14ac:dyDescent="0.35">
      <c r="A1" t="s">
        <v>274</v>
      </c>
      <c r="B1" s="16" t="s">
        <v>100</v>
      </c>
      <c r="C1" s="16" t="s">
        <v>101</v>
      </c>
      <c r="D1" s="16" t="s">
        <v>102</v>
      </c>
      <c r="E1" s="16" t="s">
        <v>103</v>
      </c>
      <c r="F1" s="16" t="s">
        <v>104</v>
      </c>
      <c r="G1" s="16" t="s">
        <v>105</v>
      </c>
      <c r="H1" s="16" t="s">
        <v>106</v>
      </c>
      <c r="I1" s="16" t="s">
        <v>107</v>
      </c>
      <c r="J1" s="16" t="s">
        <v>108</v>
      </c>
      <c r="K1" s="16" t="s">
        <v>109</v>
      </c>
      <c r="L1" s="16" t="s">
        <v>110</v>
      </c>
      <c r="M1" s="16" t="s">
        <v>63</v>
      </c>
      <c r="N1" s="4"/>
    </row>
    <row r="2" spans="1:14" x14ac:dyDescent="0.35">
      <c r="A2" s="17" t="s">
        <v>241</v>
      </c>
      <c r="B2" s="18">
        <v>7666</v>
      </c>
      <c r="C2" s="18">
        <v>8228</v>
      </c>
      <c r="D2" s="18">
        <v>8532</v>
      </c>
      <c r="E2" s="18">
        <v>5112</v>
      </c>
      <c r="F2" s="19">
        <v>774</v>
      </c>
      <c r="G2" s="18">
        <v>2942</v>
      </c>
      <c r="H2" s="18">
        <v>3236</v>
      </c>
      <c r="I2" s="18">
        <v>2454</v>
      </c>
      <c r="J2" s="18">
        <v>4043</v>
      </c>
      <c r="K2" s="18">
        <v>1385</v>
      </c>
      <c r="L2" s="18">
        <v>17626</v>
      </c>
      <c r="M2" s="18">
        <v>10312</v>
      </c>
    </row>
    <row r="3" spans="1:14" x14ac:dyDescent="0.35">
      <c r="A3" s="17" t="s">
        <v>242</v>
      </c>
      <c r="B3" s="18">
        <v>6037</v>
      </c>
      <c r="C3" s="18">
        <v>9460</v>
      </c>
      <c r="D3" s="18">
        <v>12601</v>
      </c>
      <c r="E3" s="18">
        <v>1775</v>
      </c>
      <c r="F3" s="18">
        <v>2344</v>
      </c>
      <c r="G3" s="18">
        <v>3462</v>
      </c>
      <c r="H3" s="18">
        <v>2129</v>
      </c>
      <c r="I3" s="18">
        <v>3182</v>
      </c>
      <c r="J3" s="18">
        <v>2355</v>
      </c>
      <c r="K3" s="18">
        <v>4122</v>
      </c>
      <c r="L3" s="18">
        <v>9191</v>
      </c>
      <c r="M3" s="18">
        <v>12049</v>
      </c>
    </row>
    <row r="4" spans="1:14" x14ac:dyDescent="0.35">
      <c r="A4" s="5" t="s">
        <v>243</v>
      </c>
      <c r="B4" s="7">
        <v>263</v>
      </c>
      <c r="C4" s="6">
        <v>-4354</v>
      </c>
      <c r="D4" s="6">
        <v>-5251</v>
      </c>
      <c r="E4" s="6">
        <v>2818</v>
      </c>
      <c r="F4" s="6">
        <v>-3965</v>
      </c>
      <c r="G4" s="7">
        <v>-532</v>
      </c>
      <c r="H4" s="6">
        <v>-2109</v>
      </c>
      <c r="I4" s="7">
        <v>455</v>
      </c>
      <c r="J4" s="7">
        <v>-248</v>
      </c>
      <c r="K4" s="6">
        <v>-2939</v>
      </c>
      <c r="L4" s="6">
        <v>-2064</v>
      </c>
      <c r="M4" s="6">
        <v>1320</v>
      </c>
    </row>
    <row r="5" spans="1:14" x14ac:dyDescent="0.35">
      <c r="A5" s="5" t="s">
        <v>244</v>
      </c>
      <c r="B5" s="6">
        <v>1481</v>
      </c>
      <c r="C5" s="7">
        <v>-192</v>
      </c>
      <c r="D5" s="7">
        <v>-165</v>
      </c>
      <c r="E5" s="7">
        <v>-133</v>
      </c>
      <c r="F5" s="7">
        <v>-352</v>
      </c>
      <c r="G5" s="7">
        <v>-713</v>
      </c>
      <c r="H5" s="7">
        <v>-369</v>
      </c>
      <c r="I5" s="7">
        <v>173</v>
      </c>
      <c r="J5" s="7">
        <v>343</v>
      </c>
      <c r="K5" s="6">
        <v>-5024</v>
      </c>
      <c r="L5" s="7">
        <v>-130</v>
      </c>
      <c r="M5" s="6">
        <v>-2569</v>
      </c>
    </row>
    <row r="6" spans="1:14" x14ac:dyDescent="0.35">
      <c r="A6" s="5" t="s">
        <v>245</v>
      </c>
      <c r="B6" s="6">
        <v>2789</v>
      </c>
      <c r="C6" s="6">
        <v>2297</v>
      </c>
      <c r="D6" s="6">
        <v>2549</v>
      </c>
      <c r="E6" s="7">
        <v>81</v>
      </c>
      <c r="F6" s="6">
        <v>3395</v>
      </c>
      <c r="G6" s="7">
        <v>288</v>
      </c>
      <c r="H6" s="6">
        <v>4110</v>
      </c>
      <c r="I6" s="7">
        <v>-870</v>
      </c>
      <c r="J6" s="6">
        <v>1985</v>
      </c>
      <c r="K6" s="6">
        <v>7188</v>
      </c>
      <c r="L6" s="6">
        <v>12806</v>
      </c>
      <c r="M6" s="6">
        <v>-2846</v>
      </c>
    </row>
    <row r="7" spans="1:14" x14ac:dyDescent="0.35">
      <c r="A7" s="5" t="s">
        <v>246</v>
      </c>
      <c r="B7" s="6">
        <v>-2336</v>
      </c>
      <c r="C7" s="6">
        <v>1657</v>
      </c>
      <c r="D7" s="7">
        <v>-369</v>
      </c>
      <c r="E7" s="7">
        <v>0</v>
      </c>
      <c r="F7" s="7">
        <v>0</v>
      </c>
      <c r="G7" s="7">
        <v>0</v>
      </c>
      <c r="H7" s="7">
        <v>0</v>
      </c>
      <c r="I7" s="7">
        <v>0</v>
      </c>
      <c r="J7" s="7">
        <v>0</v>
      </c>
      <c r="K7" s="7">
        <v>0</v>
      </c>
      <c r="L7" s="7">
        <v>0</v>
      </c>
      <c r="M7" s="7">
        <v>0</v>
      </c>
    </row>
    <row r="8" spans="1:14" x14ac:dyDescent="0.35">
      <c r="A8" s="5" t="s">
        <v>247</v>
      </c>
      <c r="B8" s="7">
        <v>0</v>
      </c>
      <c r="C8" s="7">
        <v>0</v>
      </c>
      <c r="D8" s="7">
        <v>0</v>
      </c>
      <c r="E8" s="7">
        <v>802</v>
      </c>
      <c r="F8" s="7">
        <v>-427</v>
      </c>
      <c r="G8" s="7">
        <v>688</v>
      </c>
      <c r="H8" s="7">
        <v>-223</v>
      </c>
      <c r="I8" s="7">
        <v>-219</v>
      </c>
      <c r="J8" s="7">
        <v>-280</v>
      </c>
      <c r="K8" s="6">
        <v>-1757</v>
      </c>
      <c r="L8" s="6">
        <v>-1267</v>
      </c>
      <c r="M8" s="6">
        <v>4066</v>
      </c>
    </row>
    <row r="9" spans="1:14" x14ac:dyDescent="0.35">
      <c r="A9" s="17" t="s">
        <v>248</v>
      </c>
      <c r="B9" s="18">
        <v>2197</v>
      </c>
      <c r="C9" s="19">
        <v>-592</v>
      </c>
      <c r="D9" s="18">
        <v>-3235</v>
      </c>
      <c r="E9" s="18">
        <v>3568</v>
      </c>
      <c r="F9" s="18">
        <v>-1350</v>
      </c>
      <c r="G9" s="19">
        <v>-270</v>
      </c>
      <c r="H9" s="18">
        <v>1409</v>
      </c>
      <c r="I9" s="19">
        <v>-461</v>
      </c>
      <c r="J9" s="18">
        <v>1800</v>
      </c>
      <c r="K9" s="18">
        <v>-2532</v>
      </c>
      <c r="L9" s="18">
        <v>9345</v>
      </c>
      <c r="M9" s="19">
        <v>-29</v>
      </c>
    </row>
    <row r="10" spans="1:14" x14ac:dyDescent="0.35">
      <c r="A10" s="5" t="s">
        <v>249</v>
      </c>
      <c r="B10" s="7">
        <v>-568</v>
      </c>
      <c r="C10" s="7">
        <v>-640</v>
      </c>
      <c r="D10" s="7">
        <v>-834</v>
      </c>
      <c r="E10" s="7">
        <v>-231</v>
      </c>
      <c r="F10" s="7">
        <v>-220</v>
      </c>
      <c r="G10" s="7">
        <v>-250</v>
      </c>
      <c r="H10" s="7">
        <v>-211</v>
      </c>
      <c r="I10" s="7">
        <v>-267</v>
      </c>
      <c r="J10" s="7">
        <v>-112</v>
      </c>
      <c r="K10" s="7">
        <v>-205</v>
      </c>
      <c r="L10" s="7">
        <v>-910</v>
      </c>
      <c r="M10" s="6">
        <v>-1708</v>
      </c>
    </row>
    <row r="11" spans="1:14" x14ac:dyDescent="0.35">
      <c r="A11" s="5" t="s">
        <v>250</v>
      </c>
      <c r="B11" s="7">
        <v>0</v>
      </c>
      <c r="C11" s="7">
        <v>0</v>
      </c>
      <c r="D11" s="7">
        <v>0</v>
      </c>
      <c r="E11" s="7">
        <v>0</v>
      </c>
      <c r="F11" s="7">
        <v>0</v>
      </c>
      <c r="G11" s="7">
        <v>0</v>
      </c>
      <c r="H11" s="7">
        <v>-91</v>
      </c>
      <c r="I11" s="7">
        <v>0</v>
      </c>
      <c r="J11" s="7">
        <v>0</v>
      </c>
      <c r="K11" s="7">
        <v>0</v>
      </c>
      <c r="L11" s="7">
        <v>0</v>
      </c>
      <c r="M11" s="7">
        <v>0</v>
      </c>
    </row>
    <row r="12" spans="1:14" x14ac:dyDescent="0.35">
      <c r="A12" s="17" t="s">
        <v>251</v>
      </c>
      <c r="B12" s="18">
        <v>-14790</v>
      </c>
      <c r="C12" s="18">
        <v>-8007</v>
      </c>
      <c r="D12" s="18">
        <v>-11465</v>
      </c>
      <c r="E12" s="18">
        <v>-1825</v>
      </c>
      <c r="F12" s="18">
        <v>-1460</v>
      </c>
      <c r="G12" s="18">
        <v>-7649</v>
      </c>
      <c r="H12" s="18">
        <v>2487</v>
      </c>
      <c r="I12" s="18">
        <v>-1082</v>
      </c>
      <c r="J12" s="18">
        <v>-8611</v>
      </c>
      <c r="K12" s="18">
        <v>-17041</v>
      </c>
      <c r="L12" s="18">
        <v>-15459</v>
      </c>
      <c r="M12" s="18">
        <v>-18767</v>
      </c>
    </row>
    <row r="13" spans="1:14" x14ac:dyDescent="0.35">
      <c r="A13" s="5" t="s">
        <v>252</v>
      </c>
      <c r="B13" s="6">
        <v>-15741</v>
      </c>
      <c r="C13" s="6">
        <v>-11362</v>
      </c>
      <c r="D13" s="6">
        <v>-9557</v>
      </c>
      <c r="E13" s="6">
        <v>-5920</v>
      </c>
      <c r="F13" s="6">
        <v>-4167</v>
      </c>
      <c r="G13" s="6">
        <v>-7305</v>
      </c>
      <c r="H13" s="6">
        <v>-1772</v>
      </c>
      <c r="I13" s="6">
        <v>-2901</v>
      </c>
      <c r="J13" s="6">
        <v>-4139</v>
      </c>
      <c r="K13" s="6">
        <v>-11647</v>
      </c>
      <c r="L13" s="6">
        <v>-14725</v>
      </c>
      <c r="M13" s="6">
        <v>-22366</v>
      </c>
    </row>
    <row r="14" spans="1:14" x14ac:dyDescent="0.35">
      <c r="A14" s="5" t="s">
        <v>253</v>
      </c>
      <c r="B14" s="7">
        <v>273</v>
      </c>
      <c r="C14" s="7">
        <v>169</v>
      </c>
      <c r="D14" s="7">
        <v>405</v>
      </c>
      <c r="E14" s="7">
        <v>30</v>
      </c>
      <c r="F14" s="7">
        <v>20</v>
      </c>
      <c r="G14" s="7">
        <v>11</v>
      </c>
      <c r="H14" s="7">
        <v>7</v>
      </c>
      <c r="I14" s="7">
        <v>180</v>
      </c>
      <c r="J14" s="7">
        <v>780</v>
      </c>
      <c r="K14" s="7">
        <v>2</v>
      </c>
      <c r="L14" s="7">
        <v>70</v>
      </c>
      <c r="M14" s="7">
        <v>120</v>
      </c>
    </row>
    <row r="15" spans="1:14" x14ac:dyDescent="0.35">
      <c r="A15" s="5" t="s">
        <v>254</v>
      </c>
      <c r="B15" s="7">
        <v>-10</v>
      </c>
      <c r="C15" s="7">
        <v>0</v>
      </c>
      <c r="D15" s="7">
        <v>-401</v>
      </c>
      <c r="E15" s="7">
        <v>8</v>
      </c>
      <c r="F15" s="7">
        <v>-52</v>
      </c>
      <c r="G15" s="7">
        <v>0</v>
      </c>
      <c r="H15" s="7">
        <v>0</v>
      </c>
      <c r="I15" s="7">
        <v>-40</v>
      </c>
      <c r="J15" s="7">
        <v>0</v>
      </c>
      <c r="K15" s="7">
        <v>-32</v>
      </c>
      <c r="L15" s="7">
        <v>-260</v>
      </c>
      <c r="M15" s="6">
        <v>-1191</v>
      </c>
    </row>
    <row r="16" spans="1:14" x14ac:dyDescent="0.35">
      <c r="A16" s="5" t="s">
        <v>255</v>
      </c>
      <c r="B16" s="7">
        <v>817</v>
      </c>
      <c r="C16" s="7">
        <v>34</v>
      </c>
      <c r="D16" s="7">
        <v>0</v>
      </c>
      <c r="E16" s="7">
        <v>0</v>
      </c>
      <c r="F16" s="7">
        <v>0</v>
      </c>
      <c r="G16" s="7">
        <v>6</v>
      </c>
      <c r="H16" s="7">
        <v>243</v>
      </c>
      <c r="I16" s="7">
        <v>0</v>
      </c>
      <c r="J16" s="7">
        <v>222</v>
      </c>
      <c r="K16" s="7">
        <v>89</v>
      </c>
      <c r="L16" s="7">
        <v>28</v>
      </c>
      <c r="M16" s="7">
        <v>159</v>
      </c>
    </row>
    <row r="17" spans="1:13" x14ac:dyDescent="0.35">
      <c r="A17" s="5" t="s">
        <v>256</v>
      </c>
      <c r="B17" s="7">
        <v>23</v>
      </c>
      <c r="C17" s="7">
        <v>34</v>
      </c>
      <c r="D17" s="7">
        <v>2</v>
      </c>
      <c r="E17" s="7">
        <v>0</v>
      </c>
      <c r="F17" s="7">
        <v>0</v>
      </c>
      <c r="G17" s="7">
        <v>0</v>
      </c>
      <c r="H17" s="7">
        <v>0</v>
      </c>
      <c r="I17" s="7">
        <v>0</v>
      </c>
      <c r="J17" s="7">
        <v>0</v>
      </c>
      <c r="K17" s="7">
        <v>0</v>
      </c>
      <c r="L17" s="7">
        <v>0</v>
      </c>
      <c r="M17" s="7">
        <v>0</v>
      </c>
    </row>
    <row r="18" spans="1:13" x14ac:dyDescent="0.35">
      <c r="A18" s="5" t="s">
        <v>257</v>
      </c>
      <c r="B18" s="7">
        <v>572</v>
      </c>
      <c r="C18" s="7">
        <v>736</v>
      </c>
      <c r="D18" s="7">
        <v>872</v>
      </c>
      <c r="E18" s="7">
        <v>754</v>
      </c>
      <c r="F18" s="7">
        <v>651</v>
      </c>
      <c r="G18" s="7">
        <v>547</v>
      </c>
      <c r="H18" s="7">
        <v>476</v>
      </c>
      <c r="I18" s="7">
        <v>459</v>
      </c>
      <c r="J18" s="7">
        <v>322</v>
      </c>
      <c r="K18" s="7">
        <v>821</v>
      </c>
      <c r="L18" s="7">
        <v>608</v>
      </c>
      <c r="M18" s="6">
        <v>1127</v>
      </c>
    </row>
    <row r="19" spans="1:13" x14ac:dyDescent="0.35">
      <c r="A19" s="5" t="s">
        <v>258</v>
      </c>
      <c r="B19" s="7">
        <v>0</v>
      </c>
      <c r="C19" s="7">
        <v>0</v>
      </c>
      <c r="D19" s="7">
        <v>15</v>
      </c>
      <c r="E19" s="7">
        <v>177</v>
      </c>
      <c r="F19" s="7">
        <v>4</v>
      </c>
      <c r="G19" s="7">
        <v>4</v>
      </c>
      <c r="H19" s="7">
        <v>3</v>
      </c>
      <c r="I19" s="7">
        <v>0</v>
      </c>
      <c r="J19" s="7">
        <v>0</v>
      </c>
      <c r="K19" s="7">
        <v>0</v>
      </c>
      <c r="L19" s="7">
        <v>0</v>
      </c>
      <c r="M19" s="7">
        <v>11</v>
      </c>
    </row>
    <row r="20" spans="1:13" x14ac:dyDescent="0.35">
      <c r="A20" s="5" t="s">
        <v>259</v>
      </c>
      <c r="B20" s="7">
        <v>0</v>
      </c>
      <c r="C20" s="7">
        <v>0</v>
      </c>
      <c r="D20" s="7">
        <v>0</v>
      </c>
      <c r="E20" s="7">
        <v>-40</v>
      </c>
      <c r="F20" s="7">
        <v>-73</v>
      </c>
      <c r="G20" s="7">
        <v>-80</v>
      </c>
      <c r="H20" s="7">
        <v>-324</v>
      </c>
      <c r="I20" s="7">
        <v>-253</v>
      </c>
      <c r="J20" s="6">
        <v>-3488</v>
      </c>
      <c r="K20" s="7">
        <v>-363</v>
      </c>
      <c r="L20" s="6">
        <v>-1372</v>
      </c>
      <c r="M20" s="6">
        <v>-1070</v>
      </c>
    </row>
    <row r="21" spans="1:13" x14ac:dyDescent="0.35">
      <c r="A21" s="5" t="s">
        <v>260</v>
      </c>
      <c r="B21" s="7">
        <v>0</v>
      </c>
      <c r="C21" s="7">
        <v>0</v>
      </c>
      <c r="D21" s="7">
        <v>0</v>
      </c>
      <c r="E21" s="7">
        <v>45</v>
      </c>
      <c r="F21" s="7">
        <v>0</v>
      </c>
      <c r="G21" s="7">
        <v>0</v>
      </c>
      <c r="H21" s="6">
        <v>1270</v>
      </c>
      <c r="I21" s="7">
        <v>0</v>
      </c>
      <c r="J21" s="7">
        <v>0</v>
      </c>
      <c r="K21" s="7">
        <v>0</v>
      </c>
      <c r="L21" s="7">
        <v>0</v>
      </c>
      <c r="M21" s="7">
        <v>0</v>
      </c>
    </row>
    <row r="22" spans="1:13" x14ac:dyDescent="0.35">
      <c r="A22" s="5" t="s">
        <v>261</v>
      </c>
      <c r="B22" s="7">
        <v>0</v>
      </c>
      <c r="C22" s="7">
        <v>0</v>
      </c>
      <c r="D22" s="6">
        <v>-2243</v>
      </c>
      <c r="E22" s="7">
        <v>-52</v>
      </c>
      <c r="F22" s="7">
        <v>0</v>
      </c>
      <c r="G22" s="7">
        <v>0</v>
      </c>
      <c r="H22" s="7">
        <v>0</v>
      </c>
      <c r="I22" s="7">
        <v>0</v>
      </c>
      <c r="J22" s="7">
        <v>0</v>
      </c>
      <c r="K22" s="6">
        <v>-1484</v>
      </c>
      <c r="L22" s="7">
        <v>-914</v>
      </c>
      <c r="M22" s="7">
        <v>-13</v>
      </c>
    </row>
    <row r="23" spans="1:13" x14ac:dyDescent="0.35">
      <c r="A23" s="5" t="s">
        <v>262</v>
      </c>
      <c r="B23" s="7">
        <v>-723</v>
      </c>
      <c r="C23" s="6">
        <v>2382</v>
      </c>
      <c r="D23" s="7">
        <v>-558</v>
      </c>
      <c r="E23" s="6">
        <v>3173</v>
      </c>
      <c r="F23" s="6">
        <v>2157</v>
      </c>
      <c r="G23" s="7">
        <v>-832</v>
      </c>
      <c r="H23" s="6">
        <v>2584</v>
      </c>
      <c r="I23" s="6">
        <v>1474</v>
      </c>
      <c r="J23" s="6">
        <v>-2308</v>
      </c>
      <c r="K23" s="6">
        <v>-4426</v>
      </c>
      <c r="L23" s="6">
        <v>1105</v>
      </c>
      <c r="M23" s="6">
        <v>4458</v>
      </c>
    </row>
    <row r="24" spans="1:13" x14ac:dyDescent="0.35">
      <c r="A24" s="17" t="s">
        <v>263</v>
      </c>
      <c r="B24" s="18">
        <v>7199</v>
      </c>
      <c r="C24" s="18">
        <v>-1109</v>
      </c>
      <c r="D24" s="18">
        <v>3445</v>
      </c>
      <c r="E24" s="18">
        <v>-3448</v>
      </c>
      <c r="F24" s="19">
        <v>716</v>
      </c>
      <c r="G24" s="18">
        <v>5120</v>
      </c>
      <c r="H24" s="18">
        <v>-6158</v>
      </c>
      <c r="I24" s="19">
        <v>-221</v>
      </c>
      <c r="J24" s="18">
        <v>3109</v>
      </c>
      <c r="K24" s="18">
        <v>15901</v>
      </c>
      <c r="L24" s="18">
        <v>-1198</v>
      </c>
      <c r="M24" s="18">
        <v>8879</v>
      </c>
    </row>
    <row r="25" spans="1:13" x14ac:dyDescent="0.35">
      <c r="A25" s="5" t="s">
        <v>264</v>
      </c>
      <c r="B25" s="7">
        <v>0</v>
      </c>
      <c r="C25" s="7">
        <v>0</v>
      </c>
      <c r="D25" s="7">
        <v>0</v>
      </c>
      <c r="E25" s="7">
        <v>0</v>
      </c>
      <c r="F25" s="7">
        <v>0</v>
      </c>
      <c r="G25" s="7">
        <v>0</v>
      </c>
      <c r="H25" s="7">
        <v>0</v>
      </c>
      <c r="I25" s="7">
        <v>0</v>
      </c>
      <c r="J25" s="7">
        <v>0</v>
      </c>
      <c r="K25" s="7">
        <v>0</v>
      </c>
      <c r="L25" s="6">
        <v>7700</v>
      </c>
      <c r="M25" s="7">
        <v>0</v>
      </c>
    </row>
    <row r="26" spans="1:13" x14ac:dyDescent="0.35">
      <c r="A26" s="5" t="s">
        <v>265</v>
      </c>
      <c r="B26" s="6">
        <v>25996</v>
      </c>
      <c r="C26" s="6">
        <v>12372</v>
      </c>
      <c r="D26" s="6">
        <v>30297</v>
      </c>
      <c r="E26" s="6">
        <v>4772</v>
      </c>
      <c r="F26" s="6">
        <v>4266</v>
      </c>
      <c r="G26" s="6">
        <v>15069</v>
      </c>
      <c r="H26" s="6">
        <v>3031</v>
      </c>
      <c r="I26" s="6">
        <v>4435</v>
      </c>
      <c r="J26" s="6">
        <v>7520</v>
      </c>
      <c r="K26" s="6">
        <v>18364</v>
      </c>
      <c r="L26" s="6">
        <v>30339</v>
      </c>
      <c r="M26" s="6">
        <v>22522</v>
      </c>
    </row>
    <row r="27" spans="1:13" x14ac:dyDescent="0.35">
      <c r="A27" s="5" t="s">
        <v>266</v>
      </c>
      <c r="B27" s="6">
        <v>-15181</v>
      </c>
      <c r="C27" s="6">
        <v>-9006</v>
      </c>
      <c r="D27" s="6">
        <v>-18760</v>
      </c>
      <c r="E27" s="6">
        <v>-6518</v>
      </c>
      <c r="F27" s="6">
        <v>-2547</v>
      </c>
      <c r="G27" s="6">
        <v>-8484</v>
      </c>
      <c r="H27" s="6">
        <v>-7636</v>
      </c>
      <c r="I27" s="6">
        <v>-3255</v>
      </c>
      <c r="J27" s="6">
        <v>-3047</v>
      </c>
      <c r="K27" s="7">
        <v>-270</v>
      </c>
      <c r="L27" s="6">
        <v>-34403</v>
      </c>
      <c r="M27" s="6">
        <v>-10717</v>
      </c>
    </row>
    <row r="28" spans="1:13" x14ac:dyDescent="0.35">
      <c r="A28" s="5" t="s">
        <v>267</v>
      </c>
      <c r="B28" s="6">
        <v>-3440</v>
      </c>
      <c r="C28" s="6">
        <v>-5384</v>
      </c>
      <c r="D28" s="6">
        <v>-7941</v>
      </c>
      <c r="E28" s="6">
        <v>-1494</v>
      </c>
      <c r="F28" s="6">
        <v>-1581</v>
      </c>
      <c r="G28" s="6">
        <v>-1726</v>
      </c>
      <c r="H28" s="6">
        <v>-1606</v>
      </c>
      <c r="I28" s="6">
        <v>-1532</v>
      </c>
      <c r="J28" s="6">
        <v>-1212</v>
      </c>
      <c r="K28" s="6">
        <v>-2601</v>
      </c>
      <c r="L28" s="6">
        <v>-3342</v>
      </c>
      <c r="M28" s="6">
        <v>-4055</v>
      </c>
    </row>
    <row r="29" spans="1:13" x14ac:dyDescent="0.35">
      <c r="A29" s="5" t="s">
        <v>268</v>
      </c>
      <c r="B29" s="7">
        <v>-182</v>
      </c>
      <c r="C29" s="7">
        <v>-259</v>
      </c>
      <c r="D29" s="7">
        <v>-146</v>
      </c>
      <c r="E29" s="7">
        <v>-208</v>
      </c>
      <c r="F29" s="7">
        <v>0</v>
      </c>
      <c r="G29" s="7">
        <v>-53</v>
      </c>
      <c r="H29" s="7">
        <v>-53</v>
      </c>
      <c r="I29" s="7">
        <v>-186</v>
      </c>
      <c r="J29" s="7">
        <v>0</v>
      </c>
      <c r="K29" s="7">
        <v>-110</v>
      </c>
      <c r="L29" s="7">
        <v>-114</v>
      </c>
      <c r="M29" s="7">
        <v>-137</v>
      </c>
    </row>
    <row r="30" spans="1:13" x14ac:dyDescent="0.35">
      <c r="A30" s="5" t="s">
        <v>269</v>
      </c>
      <c r="B30" s="7">
        <v>0</v>
      </c>
      <c r="C30" s="7">
        <v>0</v>
      </c>
      <c r="D30" s="7">
        <v>0</v>
      </c>
      <c r="E30" s="7">
        <v>0</v>
      </c>
      <c r="F30" s="7">
        <v>0</v>
      </c>
      <c r="G30" s="7">
        <v>0</v>
      </c>
      <c r="H30" s="7">
        <v>0</v>
      </c>
      <c r="I30" s="7">
        <v>-40</v>
      </c>
      <c r="J30" s="7">
        <v>-18</v>
      </c>
      <c r="K30" s="7">
        <v>-107</v>
      </c>
      <c r="L30" s="7">
        <v>-746</v>
      </c>
      <c r="M30" s="6">
        <v>-1495</v>
      </c>
    </row>
    <row r="31" spans="1:13" x14ac:dyDescent="0.35">
      <c r="A31" s="5" t="s">
        <v>270</v>
      </c>
      <c r="B31" s="7">
        <v>0</v>
      </c>
      <c r="C31" s="7">
        <v>0</v>
      </c>
      <c r="D31" s="7">
        <v>0</v>
      </c>
      <c r="E31" s="7">
        <v>0</v>
      </c>
      <c r="F31" s="7">
        <v>0</v>
      </c>
      <c r="G31" s="7">
        <v>0</v>
      </c>
      <c r="H31" s="7">
        <v>0</v>
      </c>
      <c r="I31" s="7">
        <v>0</v>
      </c>
      <c r="J31" s="7">
        <v>0</v>
      </c>
      <c r="K31" s="7">
        <v>0</v>
      </c>
      <c r="L31" s="7">
        <v>0</v>
      </c>
      <c r="M31" s="7">
        <v>0</v>
      </c>
    </row>
    <row r="32" spans="1:13" x14ac:dyDescent="0.35">
      <c r="A32" s="5" t="s">
        <v>271</v>
      </c>
      <c r="B32" s="7">
        <v>0</v>
      </c>
      <c r="C32" s="7">
        <v>0</v>
      </c>
      <c r="D32" s="7">
        <v>0</v>
      </c>
      <c r="E32" s="7">
        <v>0</v>
      </c>
      <c r="F32" s="7">
        <v>0</v>
      </c>
      <c r="G32" s="7">
        <v>0</v>
      </c>
      <c r="H32" s="7">
        <v>0</v>
      </c>
      <c r="I32" s="7">
        <v>0</v>
      </c>
      <c r="J32" s="7">
        <v>0</v>
      </c>
      <c r="K32" s="7">
        <v>0</v>
      </c>
      <c r="L32" s="7">
        <v>0</v>
      </c>
      <c r="M32" s="7">
        <v>0</v>
      </c>
    </row>
    <row r="33" spans="1:13" x14ac:dyDescent="0.35">
      <c r="A33" s="5" t="s">
        <v>272</v>
      </c>
      <c r="B33" s="7">
        <v>6</v>
      </c>
      <c r="C33" s="6">
        <v>1169</v>
      </c>
      <c r="D33" s="7">
        <v>-5</v>
      </c>
      <c r="E33" s="7">
        <v>0</v>
      </c>
      <c r="F33" s="7">
        <v>577</v>
      </c>
      <c r="G33" s="7">
        <v>313</v>
      </c>
      <c r="H33" s="7">
        <v>105</v>
      </c>
      <c r="I33" s="7">
        <v>357</v>
      </c>
      <c r="J33" s="7">
        <v>-135</v>
      </c>
      <c r="K33" s="7">
        <v>626</v>
      </c>
      <c r="L33" s="7">
        <v>-631</v>
      </c>
      <c r="M33" s="6">
        <v>2761</v>
      </c>
    </row>
    <row r="34" spans="1:13" x14ac:dyDescent="0.35">
      <c r="A34" s="17" t="s">
        <v>273</v>
      </c>
      <c r="B34" s="19">
        <v>75</v>
      </c>
      <c r="C34" s="19">
        <v>-888</v>
      </c>
      <c r="D34" s="19">
        <v>512</v>
      </c>
      <c r="E34" s="19">
        <v>-161</v>
      </c>
      <c r="F34" s="19">
        <v>30</v>
      </c>
      <c r="G34" s="19">
        <v>413</v>
      </c>
      <c r="H34" s="19">
        <v>-436</v>
      </c>
      <c r="I34" s="18">
        <v>1151</v>
      </c>
      <c r="J34" s="18">
        <v>-1459</v>
      </c>
      <c r="K34" s="19">
        <v>246</v>
      </c>
      <c r="L34" s="19">
        <v>970</v>
      </c>
      <c r="M34" s="19">
        <v>424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155E-833E-4D94-8F34-CE782C469F11}">
  <dimension ref="A1:C17"/>
  <sheetViews>
    <sheetView showGridLines="0" zoomScale="97" zoomScaleNormal="130" workbookViewId="0">
      <selection activeCell="B2" sqref="B2"/>
    </sheetView>
  </sheetViews>
  <sheetFormatPr defaultRowHeight="14.5" x14ac:dyDescent="0.35"/>
  <cols>
    <col min="1" max="1" width="47.08984375" customWidth="1"/>
    <col min="2" max="2" width="27.36328125" customWidth="1"/>
    <col min="3" max="3" width="35.08984375" customWidth="1"/>
  </cols>
  <sheetData>
    <row r="1" spans="1:3" x14ac:dyDescent="0.35">
      <c r="A1" s="41" t="s">
        <v>207</v>
      </c>
      <c r="B1" s="41" t="s">
        <v>311</v>
      </c>
      <c r="C1" s="41" t="s">
        <v>294</v>
      </c>
    </row>
    <row r="2" spans="1:3" x14ac:dyDescent="0.35">
      <c r="A2" t="s">
        <v>295</v>
      </c>
      <c r="B2">
        <v>7700</v>
      </c>
      <c r="C2">
        <v>0</v>
      </c>
    </row>
    <row r="3" spans="1:3" x14ac:dyDescent="0.35">
      <c r="A3" t="s">
        <v>296</v>
      </c>
      <c r="B3">
        <v>936.03</v>
      </c>
      <c r="C3">
        <v>-1012.21</v>
      </c>
    </row>
    <row r="4" spans="1:3" x14ac:dyDescent="0.35">
      <c r="A4" t="s">
        <v>297</v>
      </c>
      <c r="B4">
        <v>1950</v>
      </c>
      <c r="C4">
        <v>590</v>
      </c>
    </row>
    <row r="5" spans="1:3" x14ac:dyDescent="0.35">
      <c r="A5" t="s">
        <v>298</v>
      </c>
      <c r="B5">
        <v>-890</v>
      </c>
      <c r="C5">
        <v>-159.63</v>
      </c>
    </row>
    <row r="6" spans="1:3" x14ac:dyDescent="0.35">
      <c r="A6" t="s">
        <v>299</v>
      </c>
      <c r="B6">
        <v>900</v>
      </c>
      <c r="C6">
        <v>0</v>
      </c>
    </row>
    <row r="7" spans="1:3" x14ac:dyDescent="0.35">
      <c r="A7" t="s">
        <v>300</v>
      </c>
      <c r="B7">
        <v>-100.93</v>
      </c>
      <c r="C7">
        <v>-724.64</v>
      </c>
    </row>
    <row r="8" spans="1:3" x14ac:dyDescent="0.35">
      <c r="A8" t="s">
        <v>301</v>
      </c>
      <c r="B8">
        <v>0</v>
      </c>
      <c r="C8">
        <v>-510</v>
      </c>
    </row>
    <row r="9" spans="1:3" x14ac:dyDescent="0.35">
      <c r="A9" t="s">
        <v>302</v>
      </c>
      <c r="B9">
        <v>0</v>
      </c>
      <c r="C9">
        <v>-4.59</v>
      </c>
    </row>
    <row r="10" spans="1:3" x14ac:dyDescent="0.35">
      <c r="A10" t="s">
        <v>303</v>
      </c>
      <c r="B10">
        <v>-530.94000000000005</v>
      </c>
      <c r="C10">
        <v>-613.12</v>
      </c>
    </row>
    <row r="11" spans="1:3" x14ac:dyDescent="0.35">
      <c r="A11" t="s">
        <v>304</v>
      </c>
      <c r="B11">
        <v>-136.80000000000001</v>
      </c>
      <c r="C11">
        <v>-114</v>
      </c>
    </row>
    <row r="12" spans="1:3" x14ac:dyDescent="0.35">
      <c r="A12" t="s">
        <v>305</v>
      </c>
      <c r="B12">
        <v>-27.79</v>
      </c>
      <c r="C12">
        <v>-41.49</v>
      </c>
    </row>
    <row r="13" spans="1:3" x14ac:dyDescent="0.35">
      <c r="A13" t="s">
        <v>306</v>
      </c>
      <c r="B13">
        <v>2099.5700000000002</v>
      </c>
      <c r="C13">
        <v>5110.32</v>
      </c>
    </row>
    <row r="14" spans="1:3" x14ac:dyDescent="0.35">
      <c r="A14" t="s">
        <v>307</v>
      </c>
      <c r="B14">
        <v>141.57</v>
      </c>
      <c r="C14">
        <v>288.89</v>
      </c>
    </row>
    <row r="15" spans="1:3" x14ac:dyDescent="0.35">
      <c r="A15" t="s">
        <v>308</v>
      </c>
      <c r="B15">
        <v>352.48</v>
      </c>
      <c r="C15">
        <v>63.59</v>
      </c>
    </row>
    <row r="16" spans="1:3" x14ac:dyDescent="0.35">
      <c r="A16" t="s">
        <v>309</v>
      </c>
      <c r="B16">
        <v>-48.12</v>
      </c>
      <c r="C16">
        <v>0</v>
      </c>
    </row>
    <row r="17" spans="1:3" x14ac:dyDescent="0.35">
      <c r="A17" t="s">
        <v>310</v>
      </c>
      <c r="B17">
        <v>445.93</v>
      </c>
      <c r="C17">
        <v>352.48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3D02-FE82-4C32-9519-F4038A8CC834}">
  <dimension ref="A1:O23"/>
  <sheetViews>
    <sheetView showGridLines="0" tabSelected="1" topLeftCell="A19" zoomScale="62" workbookViewId="0">
      <selection activeCell="O30" sqref="O30"/>
    </sheetView>
  </sheetViews>
  <sheetFormatPr defaultRowHeight="14.5" x14ac:dyDescent="0.35"/>
  <cols>
    <col min="1" max="1" width="20.81640625" bestFit="1" customWidth="1"/>
  </cols>
  <sheetData>
    <row r="1" spans="1:15" ht="18.5" x14ac:dyDescent="0.45">
      <c r="A1" s="1" t="s">
        <v>19</v>
      </c>
      <c r="B1" s="2" t="s">
        <v>20</v>
      </c>
      <c r="C1" s="2" t="s">
        <v>21</v>
      </c>
      <c r="D1" s="2" t="s">
        <v>22</v>
      </c>
      <c r="E1" s="2" t="s">
        <v>23</v>
      </c>
      <c r="F1" s="2" t="s">
        <v>24</v>
      </c>
      <c r="G1" s="2" t="s">
        <v>25</v>
      </c>
      <c r="H1" s="2" t="s">
        <v>26</v>
      </c>
      <c r="I1" s="2" t="s">
        <v>27</v>
      </c>
      <c r="J1" s="2" t="s">
        <v>28</v>
      </c>
      <c r="K1" s="2" t="s">
        <v>29</v>
      </c>
      <c r="L1" s="2" t="s">
        <v>30</v>
      </c>
      <c r="M1" s="2" t="s">
        <v>31</v>
      </c>
      <c r="N1" s="3" t="s">
        <v>32</v>
      </c>
      <c r="O1" s="49" t="s">
        <v>312</v>
      </c>
    </row>
    <row r="2" spans="1:15" x14ac:dyDescent="0.35">
      <c r="A2" t="s">
        <v>33</v>
      </c>
      <c r="B2">
        <v>46375</v>
      </c>
      <c r="C2">
        <v>54947</v>
      </c>
      <c r="D2">
        <v>64465</v>
      </c>
      <c r="E2">
        <v>34008</v>
      </c>
      <c r="F2">
        <v>36533</v>
      </c>
      <c r="G2">
        <v>35924</v>
      </c>
      <c r="H2">
        <v>40379</v>
      </c>
      <c r="I2">
        <v>43403</v>
      </c>
      <c r="J2">
        <v>39537</v>
      </c>
      <c r="K2">
        <v>69420</v>
      </c>
      <c r="L2">
        <v>127540</v>
      </c>
      <c r="M2">
        <v>96421</v>
      </c>
      <c r="N2">
        <v>100109</v>
      </c>
      <c r="O2" s="50">
        <v>6.6225586136166775E-2</v>
      </c>
    </row>
    <row r="3" spans="1:15" x14ac:dyDescent="0.35">
      <c r="A3" t="s">
        <v>42</v>
      </c>
      <c r="B3">
        <v>1218</v>
      </c>
      <c r="C3">
        <v>2646</v>
      </c>
      <c r="D3">
        <v>2298</v>
      </c>
      <c r="E3">
        <v>1000</v>
      </c>
      <c r="F3">
        <v>925</v>
      </c>
      <c r="G3">
        <v>594</v>
      </c>
      <c r="H3">
        <v>506</v>
      </c>
      <c r="I3">
        <v>1040</v>
      </c>
      <c r="J3">
        <v>1046</v>
      </c>
      <c r="K3">
        <v>788</v>
      </c>
      <c r="L3">
        <v>2422</v>
      </c>
      <c r="M3">
        <v>3335</v>
      </c>
      <c r="N3">
        <v>4342</v>
      </c>
      <c r="O3" s="51">
        <v>0.11174080005337098</v>
      </c>
    </row>
    <row r="21" spans="1:12" x14ac:dyDescent="0.35">
      <c r="A21" t="s">
        <v>118</v>
      </c>
      <c r="B21" t="s">
        <v>313</v>
      </c>
      <c r="C21" t="s">
        <v>314</v>
      </c>
      <c r="D21" t="s">
        <v>315</v>
      </c>
      <c r="E21" t="s">
        <v>316</v>
      </c>
      <c r="F21" t="s">
        <v>317</v>
      </c>
      <c r="G21" t="s">
        <v>318</v>
      </c>
      <c r="H21" t="s">
        <v>319</v>
      </c>
      <c r="I21" t="s">
        <v>320</v>
      </c>
      <c r="J21" t="s">
        <v>321</v>
      </c>
      <c r="K21" t="s">
        <v>322</v>
      </c>
      <c r="L21" t="s">
        <v>323</v>
      </c>
    </row>
    <row r="22" spans="1:12" x14ac:dyDescent="0.35">
      <c r="A22" t="s">
        <v>119</v>
      </c>
      <c r="B22" s="52">
        <f>Analysis!B3</f>
        <v>3.2404187698635258</v>
      </c>
      <c r="C22" s="52">
        <f>Analysis!C3</f>
        <v>3.0298438355011155</v>
      </c>
      <c r="D22" s="52">
        <f>Analysis!D3</f>
        <v>3.2482509328358211</v>
      </c>
      <c r="E22" s="52">
        <f>Analysis!E3</f>
        <v>1.4328748691882194</v>
      </c>
      <c r="F22" s="52">
        <f>Analysis!F3</f>
        <v>1.4746745897000566</v>
      </c>
      <c r="G22" s="52">
        <f>Analysis!G3</f>
        <v>1.1688647359003248</v>
      </c>
      <c r="H22" s="52">
        <f>Analysis!H3</f>
        <v>0.76192735158579561</v>
      </c>
      <c r="I22" s="52">
        <f>Analysis!I3</f>
        <v>0.73281406738655808</v>
      </c>
      <c r="J22" s="52">
        <f>Analysis!J3</f>
        <v>0.94568448044757858</v>
      </c>
      <c r="K22" s="52">
        <f>Analysis!K3</f>
        <v>1.8692546165251382</v>
      </c>
      <c r="L22" s="52">
        <f>Analysis!L3</f>
        <v>1.6096335965628876</v>
      </c>
    </row>
    <row r="23" spans="1:12" x14ac:dyDescent="0.35">
      <c r="A23" t="s">
        <v>120</v>
      </c>
      <c r="B23" s="52">
        <f>Analysis!B4</f>
        <v>1.5744558991981672</v>
      </c>
      <c r="C23" s="52">
        <f>Analysis!C4</f>
        <v>1.283008942661757</v>
      </c>
      <c r="D23" s="52">
        <f>Analysis!D4</f>
        <v>1.3775510204081634</v>
      </c>
      <c r="E23" s="52">
        <f>Analysis!E4</f>
        <v>1.7789240972733973</v>
      </c>
      <c r="F23" s="52">
        <f>Analysis!F4</f>
        <v>1.858392999204455</v>
      </c>
      <c r="G23" s="52">
        <f>Analysis!G4</f>
        <v>1.3895999999999999</v>
      </c>
      <c r="H23" s="52">
        <f>Analysis!H4</f>
        <v>1.2818461538461539</v>
      </c>
      <c r="I23" s="52">
        <f>Analysis!I4</f>
        <v>1.7137404580152671</v>
      </c>
      <c r="J23" s="52">
        <f>Analysis!J4</f>
        <v>1.7886710239651415</v>
      </c>
      <c r="K23" s="52">
        <f>Analysis!K4</f>
        <v>1.3768804433887569</v>
      </c>
      <c r="L23" s="52">
        <f>Analysis!L4</f>
        <v>1.81809019904258</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2AC0-A5E3-4F40-9150-F21BD347C3EA}">
  <dimension ref="A1:L2"/>
  <sheetViews>
    <sheetView showGridLines="0" workbookViewId="0">
      <selection activeCell="A12" sqref="A12"/>
    </sheetView>
  </sheetViews>
  <sheetFormatPr defaultRowHeight="14.5" x14ac:dyDescent="0.35"/>
  <cols>
    <col min="1" max="1" width="13.81640625" customWidth="1"/>
  </cols>
  <sheetData>
    <row r="1" spans="1:12" ht="18.5" x14ac:dyDescent="0.45">
      <c r="A1" s="53" t="s">
        <v>118</v>
      </c>
      <c r="B1" s="54" t="s">
        <v>313</v>
      </c>
      <c r="C1" s="54" t="s">
        <v>314</v>
      </c>
      <c r="D1" s="54" t="s">
        <v>315</v>
      </c>
      <c r="E1" s="54" t="s">
        <v>316</v>
      </c>
      <c r="F1" s="54" t="s">
        <v>317</v>
      </c>
      <c r="G1" s="54" t="s">
        <v>318</v>
      </c>
      <c r="H1" s="55" t="s">
        <v>319</v>
      </c>
      <c r="I1" s="55" t="s">
        <v>320</v>
      </c>
      <c r="J1" s="55" t="s">
        <v>321</v>
      </c>
      <c r="K1" s="55" t="s">
        <v>322</v>
      </c>
      <c r="L1" s="56" t="s">
        <v>323</v>
      </c>
    </row>
    <row r="2" spans="1:12" ht="18.5" x14ac:dyDescent="0.45">
      <c r="A2" s="57" t="s">
        <v>132</v>
      </c>
      <c r="B2" s="58">
        <f>Analysis!B14</f>
        <v>5.6926528323051034E-2</v>
      </c>
      <c r="C2" s="58">
        <f>Analysis!C14</f>
        <v>0.111377699204445</v>
      </c>
      <c r="D2" s="58">
        <f>Analysis!D14</f>
        <v>8.9319029850746273E-2</v>
      </c>
      <c r="E2" s="58">
        <f>Analysis!E14</f>
        <v>7.4749588877261172E-2</v>
      </c>
      <c r="F2" s="58">
        <f>Analysis!F14</f>
        <v>6.543576683644596E-2</v>
      </c>
      <c r="G2" s="58">
        <f>Analysis!G14</f>
        <v>3.936642587315263E-2</v>
      </c>
      <c r="H2" s="58">
        <f>Analysis!H14</f>
        <v>3.4291135809162376E-2</v>
      </c>
      <c r="I2" s="58">
        <f>Analysis!I14</f>
        <v>6.1367793709801145E-2</v>
      </c>
      <c r="J2" s="58">
        <f>Analysis!J14</f>
        <v>6.0959263360335685E-2</v>
      </c>
      <c r="K2" s="58">
        <f>Analysis!K14</f>
        <v>3.5404591813811385E-2</v>
      </c>
      <c r="L2" s="59">
        <f>Analysis!L14</f>
        <v>7.3280687422468307E-2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1CB0-A2AF-4115-A2D5-303F2C44D85A}">
  <dimension ref="A1:M3"/>
  <sheetViews>
    <sheetView showGridLines="0" topLeftCell="B1" workbookViewId="0">
      <selection activeCell="M18" sqref="M18"/>
    </sheetView>
  </sheetViews>
  <sheetFormatPr defaultRowHeight="14.5" x14ac:dyDescent="0.35"/>
  <cols>
    <col min="1" max="1" width="33.81640625" bestFit="1" customWidth="1"/>
  </cols>
  <sheetData>
    <row r="1" spans="1:13" ht="18.5" x14ac:dyDescent="0.45">
      <c r="A1" s="20" t="s">
        <v>117</v>
      </c>
      <c r="B1" s="21"/>
      <c r="C1" s="20"/>
      <c r="D1" s="20"/>
      <c r="E1" s="20"/>
      <c r="F1" s="20"/>
      <c r="G1" s="20"/>
      <c r="H1" s="20"/>
      <c r="I1" s="20"/>
      <c r="J1" s="20"/>
      <c r="K1" s="20"/>
      <c r="L1" s="20"/>
      <c r="M1" s="22"/>
    </row>
    <row r="2" spans="1:13" ht="18.5" x14ac:dyDescent="0.45">
      <c r="A2" s="20" t="s">
        <v>118</v>
      </c>
      <c r="B2" s="23">
        <v>2013</v>
      </c>
      <c r="C2" s="24">
        <v>2014</v>
      </c>
      <c r="D2" s="24">
        <v>2015</v>
      </c>
      <c r="E2" s="24">
        <v>2016</v>
      </c>
      <c r="F2" s="24">
        <v>2017</v>
      </c>
      <c r="G2" s="24">
        <v>2018</v>
      </c>
      <c r="H2" s="25">
        <v>2019</v>
      </c>
      <c r="I2" s="25">
        <v>2020</v>
      </c>
      <c r="J2" s="25">
        <v>2021</v>
      </c>
      <c r="K2" s="25">
        <v>2022</v>
      </c>
      <c r="L2" s="25">
        <v>2023</v>
      </c>
      <c r="M2" s="26">
        <v>2024</v>
      </c>
    </row>
    <row r="3" spans="1:13" ht="18.5" x14ac:dyDescent="0.45">
      <c r="A3" s="20" t="s">
        <v>120</v>
      </c>
      <c r="B3">
        <v>1.5744558991981672</v>
      </c>
      <c r="C3">
        <v>1.283008942661757</v>
      </c>
      <c r="D3">
        <v>1.3775510204081634</v>
      </c>
      <c r="E3">
        <v>1.7789240972733973</v>
      </c>
      <c r="F3">
        <v>1.858392999204455</v>
      </c>
      <c r="G3">
        <v>1.3895999999999999</v>
      </c>
      <c r="H3">
        <v>1.2818461538461539</v>
      </c>
      <c r="I3">
        <v>1.7137404580152671</v>
      </c>
      <c r="J3">
        <v>1.7886710239651415</v>
      </c>
      <c r="K3">
        <v>1.3768804433887569</v>
      </c>
      <c r="L3">
        <v>1.81809019904258</v>
      </c>
      <c r="M3">
        <v>2.0814489571899011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7763-B65B-46B4-8473-D94B6569E0E4}">
  <dimension ref="A1:N2"/>
  <sheetViews>
    <sheetView showGridLines="0" workbookViewId="0">
      <selection activeCell="M14" sqref="M14"/>
    </sheetView>
  </sheetViews>
  <sheetFormatPr defaultRowHeight="14.5" x14ac:dyDescent="0.35"/>
  <sheetData>
    <row r="1" spans="1:14" ht="18.5" x14ac:dyDescent="0.45">
      <c r="A1" s="20" t="s">
        <v>118</v>
      </c>
      <c r="B1" s="23">
        <v>2013</v>
      </c>
      <c r="C1" s="24">
        <v>2014</v>
      </c>
      <c r="D1" s="24">
        <v>2015</v>
      </c>
      <c r="E1" s="24">
        <v>2016</v>
      </c>
      <c r="F1" s="24">
        <v>2017</v>
      </c>
      <c r="G1" s="24">
        <v>2018</v>
      </c>
      <c r="H1" s="25">
        <v>2019</v>
      </c>
      <c r="I1" s="25">
        <v>2020</v>
      </c>
      <c r="J1" s="25">
        <v>2021</v>
      </c>
      <c r="K1" s="25">
        <v>2022</v>
      </c>
      <c r="L1" s="25">
        <v>2023</v>
      </c>
      <c r="M1" s="26">
        <v>2024</v>
      </c>
    </row>
    <row r="2" spans="1:14" ht="18.5" x14ac:dyDescent="0.45">
      <c r="A2" s="20" t="s">
        <v>133</v>
      </c>
      <c r="B2">
        <v>14.67</v>
      </c>
      <c r="C2">
        <v>20.190000000000001</v>
      </c>
      <c r="D2">
        <v>17.71</v>
      </c>
      <c r="E2">
        <v>9.19</v>
      </c>
      <c r="F2">
        <v>8.98</v>
      </c>
      <c r="G2">
        <v>6.89</v>
      </c>
      <c r="H2">
        <v>6.52</v>
      </c>
      <c r="I2">
        <v>10.35</v>
      </c>
      <c r="J2">
        <v>8.39</v>
      </c>
      <c r="K2">
        <v>7.06</v>
      </c>
      <c r="L2">
        <v>21.61</v>
      </c>
      <c r="M2">
        <v>28.42</v>
      </c>
      <c r="N2" s="27">
        <f>RATE(12,,-B2,M2)</f>
        <v>5.6654069501749497E-2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D30C-4728-4624-B8EB-A4A6FAE8E497}">
  <dimension ref="A1:K9"/>
  <sheetViews>
    <sheetView showGridLines="0" workbookViewId="0"/>
  </sheetViews>
  <sheetFormatPr defaultRowHeight="14.5" x14ac:dyDescent="0.35"/>
  <cols>
    <col min="1" max="1" width="7.453125" bestFit="1" customWidth="1"/>
    <col min="2" max="2" width="15.453125" bestFit="1" customWidth="1"/>
    <col min="3" max="3" width="18.7265625" bestFit="1" customWidth="1"/>
    <col min="4" max="4" width="6.81640625" bestFit="1" customWidth="1"/>
    <col min="5" max="5" width="24.453125" bestFit="1" customWidth="1"/>
    <col min="6" max="6" width="19.54296875" bestFit="1" customWidth="1"/>
    <col min="7" max="7" width="22.90625" bestFit="1" customWidth="1"/>
    <col min="8" max="8" width="25.36328125" bestFit="1" customWidth="1"/>
    <col min="9" max="10" width="24.81640625" bestFit="1" customWidth="1"/>
    <col min="11" max="11" width="18.3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v>2353.4499999999998</v>
      </c>
      <c r="D2">
        <v>71.180000000000007</v>
      </c>
      <c r="E2">
        <v>271589.71999999997</v>
      </c>
      <c r="F2">
        <v>0.06</v>
      </c>
      <c r="G2">
        <v>228.64</v>
      </c>
      <c r="H2">
        <v>-96.89</v>
      </c>
      <c r="I2">
        <v>22848.42</v>
      </c>
      <c r="J2">
        <v>-8.7899999999999991</v>
      </c>
      <c r="K2">
        <v>9.8699999999999992</v>
      </c>
    </row>
    <row r="3" spans="1:11" x14ac:dyDescent="0.35">
      <c r="A3">
        <v>2</v>
      </c>
      <c r="B3" t="s">
        <v>12</v>
      </c>
      <c r="C3">
        <v>107.81</v>
      </c>
      <c r="D3">
        <v>107.33</v>
      </c>
      <c r="E3">
        <v>48653.95</v>
      </c>
      <c r="F3">
        <v>0</v>
      </c>
      <c r="G3">
        <v>262.72000000000003</v>
      </c>
      <c r="H3">
        <v>27.93</v>
      </c>
      <c r="I3">
        <v>3135.94</v>
      </c>
      <c r="J3">
        <v>19.53</v>
      </c>
      <c r="K3">
        <v>11.36</v>
      </c>
    </row>
    <row r="4" spans="1:11" x14ac:dyDescent="0.35">
      <c r="A4">
        <v>3</v>
      </c>
      <c r="B4" t="s">
        <v>13</v>
      </c>
      <c r="C4">
        <v>794.25</v>
      </c>
      <c r="D4">
        <v>48.24</v>
      </c>
      <c r="E4">
        <v>27883.66</v>
      </c>
      <c r="F4">
        <v>0.82</v>
      </c>
      <c r="G4">
        <v>159.52000000000001</v>
      </c>
      <c r="H4">
        <v>-4.5199999999999996</v>
      </c>
      <c r="I4">
        <v>1706.99</v>
      </c>
      <c r="J4">
        <v>-8.8800000000000008</v>
      </c>
      <c r="K4">
        <v>14.74</v>
      </c>
    </row>
    <row r="5" spans="1:11" x14ac:dyDescent="0.35">
      <c r="A5">
        <v>4</v>
      </c>
      <c r="B5" t="s">
        <v>14</v>
      </c>
      <c r="C5">
        <v>229.04</v>
      </c>
      <c r="D5">
        <v>14.64</v>
      </c>
      <c r="E5">
        <v>17920.47</v>
      </c>
      <c r="F5">
        <v>2.71</v>
      </c>
      <c r="G5">
        <v>402.96</v>
      </c>
      <c r="H5">
        <v>17.47</v>
      </c>
      <c r="I5">
        <v>26716.080000000002</v>
      </c>
      <c r="J5">
        <v>13.66</v>
      </c>
      <c r="K5">
        <v>19.46</v>
      </c>
    </row>
    <row r="6" spans="1:11" x14ac:dyDescent="0.35">
      <c r="A6">
        <v>5</v>
      </c>
      <c r="B6" t="s">
        <v>15</v>
      </c>
      <c r="C6">
        <v>618.4</v>
      </c>
      <c r="D6">
        <v>40.21</v>
      </c>
      <c r="E6">
        <v>13648.52</v>
      </c>
      <c r="F6">
        <v>0.24</v>
      </c>
      <c r="G6">
        <v>92.5</v>
      </c>
      <c r="H6">
        <v>1.8</v>
      </c>
      <c r="I6">
        <v>556.85</v>
      </c>
      <c r="J6">
        <v>5.65</v>
      </c>
      <c r="K6">
        <v>36.28</v>
      </c>
    </row>
    <row r="7" spans="1:11" x14ac:dyDescent="0.35">
      <c r="A7">
        <v>6</v>
      </c>
      <c r="B7" t="s">
        <v>16</v>
      </c>
      <c r="C7">
        <v>61.53</v>
      </c>
      <c r="D7">
        <v>43.62</v>
      </c>
      <c r="E7">
        <v>9239.64</v>
      </c>
      <c r="F7">
        <v>0</v>
      </c>
      <c r="G7">
        <v>48.05</v>
      </c>
      <c r="H7">
        <v>-58.86</v>
      </c>
      <c r="I7">
        <v>1.56</v>
      </c>
      <c r="J7">
        <v>100.74</v>
      </c>
      <c r="K7">
        <v>9.23</v>
      </c>
    </row>
    <row r="8" spans="1:11" x14ac:dyDescent="0.35">
      <c r="A8">
        <v>7</v>
      </c>
      <c r="B8" t="s">
        <v>17</v>
      </c>
      <c r="C8">
        <v>477.5</v>
      </c>
      <c r="D8">
        <v>41.71</v>
      </c>
      <c r="E8">
        <v>6773.1</v>
      </c>
      <c r="F8">
        <v>0.99</v>
      </c>
      <c r="G8">
        <v>42.45</v>
      </c>
      <c r="H8">
        <v>70.44</v>
      </c>
      <c r="I8">
        <v>3124.88</v>
      </c>
      <c r="J8">
        <v>21.13</v>
      </c>
      <c r="K8">
        <v>17.47</v>
      </c>
    </row>
    <row r="9" spans="1:11" x14ac:dyDescent="0.35">
      <c r="B9" t="s">
        <v>18</v>
      </c>
      <c r="C9">
        <v>116.31</v>
      </c>
      <c r="D9">
        <v>29.98</v>
      </c>
      <c r="E9">
        <v>292.74</v>
      </c>
      <c r="F9">
        <v>0</v>
      </c>
      <c r="G9">
        <v>2.73</v>
      </c>
      <c r="H9">
        <v>18.239999999999998</v>
      </c>
      <c r="I9">
        <v>47.67</v>
      </c>
      <c r="J9">
        <v>14.32</v>
      </c>
      <c r="K9">
        <v>10.37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F16C-5219-47CA-B9A6-CF574ACC0B45}">
  <dimension ref="A1:E11"/>
  <sheetViews>
    <sheetView showGridLines="0" topLeftCell="B4" workbookViewId="0">
      <selection activeCell="H13" sqref="H13"/>
    </sheetView>
  </sheetViews>
  <sheetFormatPr defaultRowHeight="14.5" x14ac:dyDescent="0.35"/>
  <cols>
    <col min="1" max="1" width="10.1796875" customWidth="1"/>
    <col min="2" max="3" width="22.6328125" customWidth="1"/>
    <col min="4" max="5" width="19.08984375" customWidth="1"/>
  </cols>
  <sheetData>
    <row r="1" spans="1:5" ht="15" thickBot="1" x14ac:dyDescent="0.4">
      <c r="A1" s="43" t="s">
        <v>275</v>
      </c>
      <c r="B1" s="44" t="s">
        <v>276</v>
      </c>
      <c r="C1" s="44" t="s">
        <v>277</v>
      </c>
      <c r="D1" s="44" t="s">
        <v>278</v>
      </c>
      <c r="E1" s="44" t="s">
        <v>279</v>
      </c>
    </row>
    <row r="2" spans="1:5" ht="15" thickBot="1" x14ac:dyDescent="0.4">
      <c r="A2" s="42" t="s">
        <v>280</v>
      </c>
      <c r="B2" s="39">
        <v>8062</v>
      </c>
      <c r="C2" s="39">
        <v>5989</v>
      </c>
      <c r="D2" s="39">
        <v>2437</v>
      </c>
      <c r="E2" s="39">
        <v>1681</v>
      </c>
    </row>
    <row r="3" spans="1:5" ht="68" thickBot="1" x14ac:dyDescent="0.4">
      <c r="A3" s="42" t="s">
        <v>281</v>
      </c>
      <c r="B3" s="39">
        <v>10000</v>
      </c>
      <c r="C3" s="39">
        <v>4000</v>
      </c>
      <c r="D3" s="39">
        <v>2296</v>
      </c>
      <c r="E3" s="37">
        <v>499</v>
      </c>
    </row>
    <row r="4" spans="1:5" ht="15" thickBot="1" x14ac:dyDescent="0.4">
      <c r="A4" s="42" t="s">
        <v>282</v>
      </c>
      <c r="B4" s="39">
        <v>3500</v>
      </c>
      <c r="C4" s="39">
        <v>2500</v>
      </c>
      <c r="D4" s="37">
        <v>900</v>
      </c>
      <c r="E4" s="37">
        <v>600</v>
      </c>
    </row>
    <row r="5" spans="1:5" ht="27.5" thickBot="1" x14ac:dyDescent="0.4">
      <c r="A5" s="42" t="s">
        <v>283</v>
      </c>
      <c r="B5" s="39">
        <v>12000</v>
      </c>
      <c r="C5" s="39">
        <v>10000</v>
      </c>
      <c r="D5" s="39">
        <v>3500</v>
      </c>
      <c r="E5" s="39">
        <v>2800</v>
      </c>
    </row>
    <row r="6" spans="1:5" ht="68" thickBot="1" x14ac:dyDescent="0.4">
      <c r="A6" s="42" t="s">
        <v>284</v>
      </c>
      <c r="B6" s="39">
        <v>45000</v>
      </c>
      <c r="C6" s="39">
        <v>40000</v>
      </c>
      <c r="D6" s="39">
        <v>4000</v>
      </c>
      <c r="E6" s="39">
        <v>3200</v>
      </c>
    </row>
    <row r="7" spans="1:5" ht="27.5" thickBot="1" x14ac:dyDescent="0.4">
      <c r="A7" s="42" t="s">
        <v>285</v>
      </c>
      <c r="B7" s="39">
        <v>2000</v>
      </c>
      <c r="C7" s="39">
        <v>1500</v>
      </c>
      <c r="D7" s="37">
        <v>500</v>
      </c>
      <c r="E7" s="37">
        <v>300</v>
      </c>
    </row>
    <row r="8" spans="1:5" ht="27.5" thickBot="1" x14ac:dyDescent="0.4">
      <c r="A8" s="42" t="s">
        <v>286</v>
      </c>
      <c r="B8" s="39">
        <v>4500</v>
      </c>
      <c r="C8" s="39">
        <v>2500</v>
      </c>
      <c r="D8" s="39">
        <v>1000</v>
      </c>
      <c r="E8" s="37">
        <v>500</v>
      </c>
    </row>
    <row r="9" spans="1:5" ht="15" thickBot="1" x14ac:dyDescent="0.4">
      <c r="A9" s="42" t="s">
        <v>287</v>
      </c>
      <c r="B9" s="39">
        <v>5000</v>
      </c>
      <c r="C9" s="39">
        <v>3000</v>
      </c>
      <c r="D9" s="39">
        <v>1200</v>
      </c>
      <c r="E9" s="37">
        <v>700</v>
      </c>
    </row>
    <row r="10" spans="1:5" ht="27.5" thickBot="1" x14ac:dyDescent="0.4">
      <c r="A10" s="42" t="s">
        <v>288</v>
      </c>
      <c r="B10" s="39">
        <v>2500</v>
      </c>
      <c r="C10" s="39">
        <v>1500</v>
      </c>
      <c r="D10" s="37">
        <v>600</v>
      </c>
      <c r="E10" s="37">
        <v>400</v>
      </c>
    </row>
    <row r="11" spans="1:5" ht="54" x14ac:dyDescent="0.35">
      <c r="A11" s="45" t="s">
        <v>289</v>
      </c>
      <c r="B11" s="46">
        <v>51262</v>
      </c>
      <c r="C11" s="46">
        <v>48000</v>
      </c>
      <c r="D11" s="46">
        <v>1400</v>
      </c>
      <c r="E11" s="46">
        <v>1000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858BC-F5B0-4140-8AB3-8A5A3C98A7BB}">
  <dimension ref="A1:C4"/>
  <sheetViews>
    <sheetView showGridLines="0" workbookViewId="0">
      <selection activeCell="C11" sqref="C11"/>
    </sheetView>
  </sheetViews>
  <sheetFormatPr defaultRowHeight="14.5" x14ac:dyDescent="0.35"/>
  <cols>
    <col min="1" max="1" width="25.54296875" customWidth="1"/>
    <col min="2" max="3" width="22.6328125" customWidth="1"/>
  </cols>
  <sheetData>
    <row r="1" spans="1:3" ht="15" thickBot="1" x14ac:dyDescent="0.4">
      <c r="A1" s="43" t="s">
        <v>290</v>
      </c>
      <c r="B1" s="44" t="s">
        <v>276</v>
      </c>
      <c r="C1" s="44" t="s">
        <v>277</v>
      </c>
    </row>
    <row r="2" spans="1:3" ht="15" thickBot="1" x14ac:dyDescent="0.4">
      <c r="A2" s="42" t="s">
        <v>291</v>
      </c>
      <c r="B2" s="39">
        <v>68000</v>
      </c>
      <c r="C2" s="39">
        <v>61000</v>
      </c>
    </row>
    <row r="3" spans="1:3" ht="27.5" thickBot="1" x14ac:dyDescent="0.4">
      <c r="A3" s="42" t="s">
        <v>292</v>
      </c>
      <c r="B3" s="39">
        <v>30282</v>
      </c>
      <c r="C3" s="39">
        <v>27000</v>
      </c>
    </row>
    <row r="4" spans="1:3" x14ac:dyDescent="0.35">
      <c r="A4" s="45" t="s">
        <v>293</v>
      </c>
      <c r="B4" s="47">
        <v>98282</v>
      </c>
      <c r="C4" s="47">
        <v>88000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45CA-133C-454F-80FF-7BD5DCEC2AA1}">
  <dimension ref="A1:O29"/>
  <sheetViews>
    <sheetView showGridLines="0" topLeftCell="A11" zoomScale="82" workbookViewId="0">
      <selection activeCell="O15" activeCellId="1" sqref="O1:O2 O15"/>
    </sheetView>
  </sheetViews>
  <sheetFormatPr defaultRowHeight="14.5" x14ac:dyDescent="0.35"/>
  <cols>
    <col min="1" max="1" width="20.7265625" bestFit="1" customWidth="1"/>
    <col min="2" max="2" width="12.26953125" bestFit="1" customWidth="1"/>
    <col min="3" max="9" width="11" bestFit="1" customWidth="1"/>
    <col min="10" max="14" width="11.26953125" customWidth="1"/>
  </cols>
  <sheetData>
    <row r="1" spans="1:15" ht="18.5" x14ac:dyDescent="0.45">
      <c r="A1" t="s">
        <v>19</v>
      </c>
      <c r="B1" t="s">
        <v>20</v>
      </c>
      <c r="C1" t="s">
        <v>21</v>
      </c>
      <c r="D1" t="s">
        <v>22</v>
      </c>
      <c r="E1" t="s">
        <v>23</v>
      </c>
      <c r="F1" t="s">
        <v>24</v>
      </c>
      <c r="G1" t="s">
        <v>25</v>
      </c>
      <c r="H1" t="s">
        <v>26</v>
      </c>
      <c r="I1" t="s">
        <v>27</v>
      </c>
      <c r="J1" t="s">
        <v>28</v>
      </c>
      <c r="K1" t="s">
        <v>29</v>
      </c>
      <c r="L1" t="s">
        <v>30</v>
      </c>
      <c r="M1" t="s">
        <v>31</v>
      </c>
      <c r="N1" t="s">
        <v>32</v>
      </c>
      <c r="O1" s="48" t="s">
        <v>312</v>
      </c>
    </row>
    <row r="2" spans="1:15" x14ac:dyDescent="0.35">
      <c r="A2" t="s">
        <v>33</v>
      </c>
      <c r="B2">
        <v>46375</v>
      </c>
      <c r="C2">
        <v>54947</v>
      </c>
      <c r="D2">
        <v>64465</v>
      </c>
      <c r="E2">
        <v>34008</v>
      </c>
      <c r="F2">
        <v>36533</v>
      </c>
      <c r="G2">
        <v>35924</v>
      </c>
      <c r="H2">
        <v>40379</v>
      </c>
      <c r="I2">
        <v>43403</v>
      </c>
      <c r="J2">
        <v>39537</v>
      </c>
      <c r="K2">
        <v>69420</v>
      </c>
      <c r="L2">
        <v>127540</v>
      </c>
      <c r="M2">
        <v>96421</v>
      </c>
      <c r="N2">
        <v>100109</v>
      </c>
      <c r="O2" s="27">
        <f>RATE(12,,-Table_3[[#This Row],[Mar 2013]],Table_3[[#This Row],[TTM]])</f>
        <v>6.6225586136166775E-2</v>
      </c>
    </row>
    <row r="3" spans="1:15" x14ac:dyDescent="0.35">
      <c r="A3" t="s">
        <v>34</v>
      </c>
      <c r="B3">
        <v>40354</v>
      </c>
      <c r="C3">
        <v>45564</v>
      </c>
      <c r="D3">
        <v>52015</v>
      </c>
      <c r="E3">
        <v>32325</v>
      </c>
      <c r="F3">
        <v>34631</v>
      </c>
      <c r="G3">
        <v>33886</v>
      </c>
      <c r="H3">
        <v>38409</v>
      </c>
      <c r="I3">
        <v>41108</v>
      </c>
      <c r="J3">
        <v>37031</v>
      </c>
      <c r="K3">
        <v>65707</v>
      </c>
      <c r="L3">
        <v>118722</v>
      </c>
      <c r="M3">
        <v>85044</v>
      </c>
      <c r="N3">
        <v>86371</v>
      </c>
      <c r="O3" s="27"/>
    </row>
    <row r="4" spans="1:15" x14ac:dyDescent="0.35">
      <c r="A4" t="s">
        <v>35</v>
      </c>
      <c r="B4">
        <v>6021</v>
      </c>
      <c r="C4">
        <v>9383</v>
      </c>
      <c r="D4">
        <v>12450</v>
      </c>
      <c r="E4">
        <v>1684</v>
      </c>
      <c r="F4">
        <v>1902</v>
      </c>
      <c r="G4">
        <v>2038</v>
      </c>
      <c r="H4">
        <v>1969</v>
      </c>
      <c r="I4">
        <v>2294</v>
      </c>
      <c r="J4">
        <v>2506</v>
      </c>
      <c r="K4">
        <v>3714</v>
      </c>
      <c r="L4">
        <v>8818</v>
      </c>
      <c r="M4">
        <v>11377</v>
      </c>
      <c r="N4">
        <v>13737</v>
      </c>
      <c r="O4" s="27">
        <f>RATE(12,,-Table_3[[#This Row],[Mar 2013]],Table_3[[#This Row],[TTM]])</f>
        <v>7.1154062494723197E-2</v>
      </c>
    </row>
    <row r="5" spans="1:15" x14ac:dyDescent="0.35">
      <c r="A5" t="s">
        <v>36</v>
      </c>
      <c r="B5">
        <v>0.13</v>
      </c>
      <c r="C5">
        <v>0.17</v>
      </c>
      <c r="D5">
        <v>0.19</v>
      </c>
      <c r="E5">
        <v>0.05</v>
      </c>
      <c r="F5">
        <v>0.05</v>
      </c>
      <c r="G5">
        <v>0.06</v>
      </c>
      <c r="H5">
        <v>0.05</v>
      </c>
      <c r="I5">
        <v>0.05</v>
      </c>
      <c r="J5">
        <v>0.06</v>
      </c>
      <c r="K5">
        <v>0.05</v>
      </c>
      <c r="L5">
        <v>7.0000000000000007E-2</v>
      </c>
      <c r="M5">
        <v>0.12</v>
      </c>
      <c r="N5">
        <v>0.14000000000000001</v>
      </c>
      <c r="O5" s="27"/>
    </row>
    <row r="6" spans="1:15" x14ac:dyDescent="0.35">
      <c r="A6" t="s">
        <v>37</v>
      </c>
      <c r="B6">
        <v>1775</v>
      </c>
      <c r="C6">
        <v>1157</v>
      </c>
      <c r="D6">
        <v>792</v>
      </c>
      <c r="E6">
        <v>1044</v>
      </c>
      <c r="F6">
        <v>749</v>
      </c>
      <c r="G6">
        <v>363</v>
      </c>
      <c r="H6">
        <v>504</v>
      </c>
      <c r="I6">
        <v>872</v>
      </c>
      <c r="J6">
        <v>494</v>
      </c>
      <c r="K6">
        <v>1012</v>
      </c>
      <c r="L6">
        <v>834</v>
      </c>
      <c r="M6">
        <v>1146</v>
      </c>
      <c r="N6">
        <v>1646</v>
      </c>
      <c r="O6" s="27"/>
    </row>
    <row r="7" spans="1:15" x14ac:dyDescent="0.35">
      <c r="A7" t="s">
        <v>52</v>
      </c>
      <c r="B7">
        <f>B4+B6</f>
        <v>7796</v>
      </c>
      <c r="C7">
        <f t="shared" ref="C7:N7" si="0">C4+C6</f>
        <v>10540</v>
      </c>
      <c r="D7">
        <f t="shared" si="0"/>
        <v>13242</v>
      </c>
      <c r="E7">
        <f t="shared" si="0"/>
        <v>2728</v>
      </c>
      <c r="F7">
        <f t="shared" si="0"/>
        <v>2651</v>
      </c>
      <c r="G7">
        <f t="shared" si="0"/>
        <v>2401</v>
      </c>
      <c r="H7">
        <f t="shared" si="0"/>
        <v>2473</v>
      </c>
      <c r="I7">
        <f t="shared" si="0"/>
        <v>3166</v>
      </c>
      <c r="J7">
        <f t="shared" si="0"/>
        <v>3000</v>
      </c>
      <c r="K7">
        <f t="shared" si="0"/>
        <v>4726</v>
      </c>
      <c r="L7">
        <f t="shared" si="0"/>
        <v>9652</v>
      </c>
      <c r="M7">
        <f t="shared" si="0"/>
        <v>12523</v>
      </c>
      <c r="N7">
        <f t="shared" si="0"/>
        <v>15383</v>
      </c>
      <c r="O7" s="27">
        <f>RATE(12,,-Table_3[[#This Row],[Mar 2013]],Table_3[[#This Row],[TTM]])</f>
        <v>5.8272313163238408E-2</v>
      </c>
    </row>
    <row r="8" spans="1:15" x14ac:dyDescent="0.35">
      <c r="A8" t="s">
        <v>53</v>
      </c>
      <c r="B8" s="8">
        <f>B7/B2</f>
        <v>0.16810781671159031</v>
      </c>
      <c r="C8" s="8">
        <f t="shared" ref="C8:N8" si="1">C7/C2</f>
        <v>0.19182120952918266</v>
      </c>
      <c r="D8" s="8">
        <f t="shared" si="1"/>
        <v>0.20541379042891492</v>
      </c>
      <c r="E8" s="8">
        <f t="shared" si="1"/>
        <v>8.021641966596095E-2</v>
      </c>
      <c r="F8" s="8">
        <f t="shared" si="1"/>
        <v>7.2564530698272789E-2</v>
      </c>
      <c r="G8" s="8">
        <f t="shared" si="1"/>
        <v>6.6835541699142631E-2</v>
      </c>
      <c r="H8" s="8">
        <f t="shared" si="1"/>
        <v>6.1244706406795614E-2</v>
      </c>
      <c r="I8" s="8">
        <f t="shared" si="1"/>
        <v>7.2944266525355392E-2</v>
      </c>
      <c r="J8" s="8">
        <f t="shared" si="1"/>
        <v>7.5878291220881702E-2</v>
      </c>
      <c r="K8" s="8">
        <f t="shared" si="1"/>
        <v>6.807836358398156E-2</v>
      </c>
      <c r="L8" s="8">
        <f t="shared" si="1"/>
        <v>7.5678218598086877E-2</v>
      </c>
      <c r="M8" s="8">
        <f t="shared" si="1"/>
        <v>0.12987834600346398</v>
      </c>
      <c r="N8" s="8">
        <f t="shared" si="1"/>
        <v>0.1536625078664256</v>
      </c>
      <c r="O8" s="27"/>
    </row>
    <row r="9" spans="1:15" x14ac:dyDescent="0.35">
      <c r="A9" t="s">
        <v>39</v>
      </c>
      <c r="B9">
        <v>2298</v>
      </c>
      <c r="C9">
        <v>3223</v>
      </c>
      <c r="D9">
        <v>3522</v>
      </c>
      <c r="E9">
        <v>314</v>
      </c>
      <c r="F9">
        <v>315</v>
      </c>
      <c r="G9">
        <v>664</v>
      </c>
      <c r="H9">
        <v>390</v>
      </c>
      <c r="I9">
        <v>472</v>
      </c>
      <c r="J9">
        <v>537</v>
      </c>
      <c r="K9">
        <v>1248</v>
      </c>
      <c r="L9">
        <v>2436</v>
      </c>
      <c r="M9">
        <v>3042</v>
      </c>
      <c r="N9">
        <v>3786</v>
      </c>
      <c r="O9" s="27"/>
    </row>
    <row r="10" spans="1:15" x14ac:dyDescent="0.35">
      <c r="A10" t="s">
        <v>54</v>
      </c>
      <c r="B10">
        <f>B7-B9</f>
        <v>5498</v>
      </c>
      <c r="C10">
        <f t="shared" ref="C10:N10" si="2">C7-C9</f>
        <v>7317</v>
      </c>
      <c r="D10">
        <f t="shared" si="2"/>
        <v>9720</v>
      </c>
      <c r="E10">
        <f t="shared" si="2"/>
        <v>2414</v>
      </c>
      <c r="F10">
        <f t="shared" si="2"/>
        <v>2336</v>
      </c>
      <c r="G10">
        <f t="shared" si="2"/>
        <v>1737</v>
      </c>
      <c r="H10">
        <f t="shared" si="2"/>
        <v>2083</v>
      </c>
      <c r="I10">
        <f t="shared" si="2"/>
        <v>2694</v>
      </c>
      <c r="J10">
        <f t="shared" si="2"/>
        <v>2463</v>
      </c>
      <c r="K10">
        <f t="shared" si="2"/>
        <v>3478</v>
      </c>
      <c r="L10">
        <f t="shared" si="2"/>
        <v>7216</v>
      </c>
      <c r="M10">
        <f t="shared" si="2"/>
        <v>9481</v>
      </c>
      <c r="N10">
        <f t="shared" si="2"/>
        <v>11597</v>
      </c>
      <c r="O10" s="27">
        <f>RATE(12,,-Table_3[[#This Row],[Mar 2013]],Table_3[[#This Row],[TTM]])</f>
        <v>6.4171793404282446E-2</v>
      </c>
    </row>
    <row r="11" spans="1:15" x14ac:dyDescent="0.35">
      <c r="A11" t="s">
        <v>38</v>
      </c>
      <c r="B11">
        <v>3492</v>
      </c>
      <c r="C11">
        <v>5703</v>
      </c>
      <c r="D11">
        <v>7056</v>
      </c>
      <c r="E11">
        <v>1357</v>
      </c>
      <c r="F11">
        <v>1257</v>
      </c>
      <c r="G11">
        <v>1250</v>
      </c>
      <c r="H11">
        <v>1625</v>
      </c>
      <c r="I11">
        <v>1572</v>
      </c>
      <c r="J11">
        <v>1377</v>
      </c>
      <c r="K11">
        <v>2526</v>
      </c>
      <c r="L11">
        <v>3969</v>
      </c>
      <c r="M11">
        <v>4555</v>
      </c>
      <c r="N11">
        <v>5694</v>
      </c>
      <c r="O11" s="27"/>
    </row>
    <row r="12" spans="1:15" x14ac:dyDescent="0.35">
      <c r="A12" t="s">
        <v>40</v>
      </c>
      <c r="B12">
        <v>2005</v>
      </c>
      <c r="C12">
        <v>1614</v>
      </c>
      <c r="D12">
        <v>2663</v>
      </c>
      <c r="E12">
        <v>1056</v>
      </c>
      <c r="F12">
        <v>1079</v>
      </c>
      <c r="G12">
        <v>487</v>
      </c>
      <c r="H12">
        <v>459</v>
      </c>
      <c r="I12">
        <v>1122</v>
      </c>
      <c r="J12">
        <v>1086</v>
      </c>
      <c r="K12">
        <v>952</v>
      </c>
      <c r="L12">
        <v>3247</v>
      </c>
      <c r="M12">
        <v>4926</v>
      </c>
      <c r="N12">
        <v>5903</v>
      </c>
      <c r="O12" s="27">
        <f>RATE(12,,-Table_3[[#This Row],[Mar 2013]],Table_3[[#This Row],[TTM]])</f>
        <v>9.4157564439799266E-2</v>
      </c>
    </row>
    <row r="13" spans="1:15" x14ac:dyDescent="0.35">
      <c r="A13" t="s">
        <v>41</v>
      </c>
      <c r="B13" s="8">
        <v>0.39</v>
      </c>
      <c r="C13" s="8">
        <v>-0.64</v>
      </c>
      <c r="D13" s="8">
        <v>0.14000000000000001</v>
      </c>
      <c r="E13" s="8">
        <v>7.0000000000000007E-2</v>
      </c>
      <c r="F13" s="8">
        <v>0.25</v>
      </c>
      <c r="G13" s="8">
        <v>0.23</v>
      </c>
      <c r="H13" s="8">
        <v>0.32</v>
      </c>
      <c r="I13" s="8">
        <v>0.28999999999999998</v>
      </c>
      <c r="J13" s="8">
        <v>0.31</v>
      </c>
      <c r="K13" s="8">
        <v>0.5</v>
      </c>
      <c r="L13" s="8">
        <v>0.32</v>
      </c>
      <c r="M13" s="8">
        <v>0.33</v>
      </c>
      <c r="O13" s="27"/>
    </row>
    <row r="14" spans="1:15" x14ac:dyDescent="0.35">
      <c r="A14" t="s">
        <v>55</v>
      </c>
      <c r="B14" s="9">
        <f>B12-B15</f>
        <v>787</v>
      </c>
      <c r="C14" s="9">
        <f t="shared" ref="C14:N14" si="3">C12-C15</f>
        <v>-1032</v>
      </c>
      <c r="D14" s="9">
        <f t="shared" si="3"/>
        <v>365</v>
      </c>
      <c r="E14" s="9">
        <f t="shared" si="3"/>
        <v>56</v>
      </c>
      <c r="F14" s="9">
        <f t="shared" si="3"/>
        <v>154</v>
      </c>
      <c r="G14" s="9">
        <f t="shared" si="3"/>
        <v>-107</v>
      </c>
      <c r="H14" s="9">
        <f t="shared" si="3"/>
        <v>-47</v>
      </c>
      <c r="I14" s="9">
        <f t="shared" si="3"/>
        <v>82</v>
      </c>
      <c r="J14" s="9">
        <f t="shared" si="3"/>
        <v>40</v>
      </c>
      <c r="K14" s="9">
        <f t="shared" si="3"/>
        <v>164</v>
      </c>
      <c r="L14" s="9">
        <f t="shared" si="3"/>
        <v>825</v>
      </c>
      <c r="M14" s="9">
        <f t="shared" si="3"/>
        <v>1591</v>
      </c>
      <c r="N14" s="9">
        <f t="shared" si="3"/>
        <v>1561</v>
      </c>
      <c r="O14" s="27"/>
    </row>
    <row r="15" spans="1:15" x14ac:dyDescent="0.35">
      <c r="A15" t="s">
        <v>42</v>
      </c>
      <c r="B15">
        <v>1218</v>
      </c>
      <c r="C15">
        <v>2646</v>
      </c>
      <c r="D15">
        <v>2298</v>
      </c>
      <c r="E15">
        <v>1000</v>
      </c>
      <c r="F15">
        <v>925</v>
      </c>
      <c r="G15">
        <v>594</v>
      </c>
      <c r="H15">
        <v>506</v>
      </c>
      <c r="I15">
        <v>1040</v>
      </c>
      <c r="J15">
        <v>1046</v>
      </c>
      <c r="K15">
        <v>788</v>
      </c>
      <c r="L15">
        <v>2422</v>
      </c>
      <c r="M15">
        <v>3335</v>
      </c>
      <c r="N15">
        <v>4342</v>
      </c>
      <c r="O15" s="27">
        <f>RATE(12,,-Table_3[[#This Row],[Mar 2013]],Table_3[[#This Row],[TTM]])</f>
        <v>0.11174080005337098</v>
      </c>
    </row>
    <row r="16" spans="1:15" x14ac:dyDescent="0.35">
      <c r="A16" t="s">
        <v>43</v>
      </c>
      <c r="B16">
        <v>14.67</v>
      </c>
      <c r="C16">
        <v>20.190000000000001</v>
      </c>
      <c r="D16">
        <v>17.71</v>
      </c>
      <c r="E16">
        <v>9.19</v>
      </c>
      <c r="F16">
        <v>8.98</v>
      </c>
      <c r="G16">
        <v>6.89</v>
      </c>
      <c r="H16">
        <v>6.52</v>
      </c>
      <c r="I16">
        <v>10.35</v>
      </c>
      <c r="J16">
        <v>8.39</v>
      </c>
      <c r="K16">
        <v>7.06</v>
      </c>
      <c r="L16">
        <v>21.61</v>
      </c>
      <c r="M16">
        <v>28.42</v>
      </c>
      <c r="N16">
        <v>32.49</v>
      </c>
      <c r="O16" s="27"/>
    </row>
    <row r="17" spans="1:15" x14ac:dyDescent="0.35">
      <c r="A17" t="s">
        <v>44</v>
      </c>
      <c r="B17" s="8">
        <v>0.1</v>
      </c>
      <c r="C17" s="8">
        <v>7.0000000000000007E-2</v>
      </c>
      <c r="D17" s="8">
        <v>0.08</v>
      </c>
      <c r="E17" s="8">
        <v>0.04</v>
      </c>
      <c r="F17" s="8">
        <v>0.04</v>
      </c>
      <c r="G17" s="8">
        <v>0.06</v>
      </c>
      <c r="H17" s="8">
        <v>0.06</v>
      </c>
      <c r="I17" s="8">
        <v>0.1</v>
      </c>
      <c r="J17" s="8">
        <v>0.12</v>
      </c>
      <c r="K17" s="8">
        <v>0.14000000000000001</v>
      </c>
      <c r="L17" s="8">
        <v>0.06</v>
      </c>
      <c r="M17" s="8">
        <v>0.05</v>
      </c>
      <c r="O17" s="27"/>
    </row>
    <row r="21" spans="1:15" x14ac:dyDescent="0.35">
      <c r="A21" s="5" t="s">
        <v>45</v>
      </c>
      <c r="B21" s="6">
        <v>1218</v>
      </c>
      <c r="C21" s="6">
        <v>2646</v>
      </c>
      <c r="D21" s="6">
        <v>2298</v>
      </c>
      <c r="E21" s="7">
        <v>978</v>
      </c>
      <c r="F21" s="7">
        <v>808</v>
      </c>
      <c r="G21" s="7">
        <v>375</v>
      </c>
      <c r="H21" s="7">
        <v>314</v>
      </c>
      <c r="I21" s="7">
        <v>798</v>
      </c>
      <c r="J21" s="7">
        <v>746</v>
      </c>
      <c r="K21" s="7">
        <v>475</v>
      </c>
      <c r="L21" s="6">
        <v>2209</v>
      </c>
      <c r="M21" s="6">
        <v>3295</v>
      </c>
      <c r="N21" s="7"/>
    </row>
    <row r="22" spans="1:15" x14ac:dyDescent="0.35">
      <c r="A22" s="5" t="s">
        <v>46</v>
      </c>
      <c r="B22" s="7">
        <v>0</v>
      </c>
      <c r="C22" s="7">
        <v>0</v>
      </c>
      <c r="D22" s="7">
        <v>0</v>
      </c>
      <c r="E22" s="7">
        <v>22</v>
      </c>
      <c r="F22" s="7">
        <v>118</v>
      </c>
      <c r="G22" s="7">
        <v>219</v>
      </c>
      <c r="H22" s="7">
        <v>192</v>
      </c>
      <c r="I22" s="7">
        <v>242</v>
      </c>
      <c r="J22" s="7">
        <v>299</v>
      </c>
      <c r="K22" s="7">
        <v>312</v>
      </c>
      <c r="L22" s="7">
        <v>213</v>
      </c>
      <c r="M22" s="7">
        <v>41</v>
      </c>
      <c r="N22" s="7"/>
    </row>
    <row r="23" spans="1:15" x14ac:dyDescent="0.35">
      <c r="A23" s="5" t="s">
        <v>47</v>
      </c>
      <c r="B23" s="6">
        <v>1218</v>
      </c>
      <c r="C23" s="6">
        <v>2646</v>
      </c>
      <c r="D23" s="6">
        <v>2298</v>
      </c>
      <c r="E23" s="6">
        <v>1000</v>
      </c>
      <c r="F23" s="7">
        <v>925</v>
      </c>
      <c r="G23" s="7">
        <v>594</v>
      </c>
      <c r="H23" s="7">
        <v>506</v>
      </c>
      <c r="I23" s="6">
        <v>1040</v>
      </c>
      <c r="J23" s="6">
        <v>1046</v>
      </c>
      <c r="K23" s="7">
        <v>788</v>
      </c>
      <c r="L23" s="6">
        <v>2422</v>
      </c>
      <c r="M23" s="6">
        <v>3335</v>
      </c>
      <c r="N23" s="7"/>
    </row>
    <row r="24" spans="1:15" x14ac:dyDescent="0.35">
      <c r="A24" s="5" t="s">
        <v>48</v>
      </c>
      <c r="B24" s="7">
        <v>395</v>
      </c>
      <c r="C24" s="7">
        <v>-425</v>
      </c>
      <c r="D24" s="7">
        <v>-350</v>
      </c>
      <c r="E24" s="7">
        <v>11</v>
      </c>
      <c r="F24" s="7">
        <v>62</v>
      </c>
      <c r="G24" s="7">
        <v>163</v>
      </c>
      <c r="H24" s="7">
        <v>211</v>
      </c>
      <c r="I24" s="7">
        <v>98</v>
      </c>
      <c r="J24" s="7">
        <v>-123</v>
      </c>
      <c r="K24" s="7">
        <v>-11</v>
      </c>
      <c r="L24" s="7">
        <v>42</v>
      </c>
      <c r="M24" s="7">
        <v>-96</v>
      </c>
      <c r="N24" s="7"/>
    </row>
    <row r="25" spans="1:15" x14ac:dyDescent="0.35">
      <c r="A25" s="5" t="s">
        <v>49</v>
      </c>
      <c r="B25" s="6">
        <v>1613</v>
      </c>
      <c r="C25" s="6">
        <v>2221</v>
      </c>
      <c r="D25" s="6">
        <v>1948</v>
      </c>
      <c r="E25" s="6">
        <v>1011</v>
      </c>
      <c r="F25" s="7">
        <v>988</v>
      </c>
      <c r="G25" s="7">
        <v>757</v>
      </c>
      <c r="H25" s="7">
        <v>717</v>
      </c>
      <c r="I25" s="6">
        <v>1138</v>
      </c>
      <c r="J25" s="7">
        <v>923</v>
      </c>
      <c r="K25" s="7">
        <v>777</v>
      </c>
      <c r="L25" s="6">
        <v>2464</v>
      </c>
      <c r="M25" s="6">
        <v>3240</v>
      </c>
      <c r="N25" s="7"/>
    </row>
    <row r="26" spans="1:15" x14ac:dyDescent="0.35">
      <c r="A26" s="5" t="s">
        <v>50</v>
      </c>
      <c r="B26" s="7">
        <v>401</v>
      </c>
      <c r="C26" s="7">
        <v>84</v>
      </c>
      <c r="D26" s="7">
        <v>-45</v>
      </c>
      <c r="E26" s="7">
        <v>-54</v>
      </c>
      <c r="F26" s="7">
        <v>13</v>
      </c>
      <c r="G26" s="7">
        <v>-202</v>
      </c>
      <c r="H26" s="7">
        <v>-86</v>
      </c>
      <c r="I26" s="7">
        <v>180</v>
      </c>
      <c r="J26" s="7">
        <v>-175</v>
      </c>
      <c r="K26" s="7">
        <v>2</v>
      </c>
      <c r="L26" s="7">
        <v>-243</v>
      </c>
      <c r="M26" s="7">
        <v>-279</v>
      </c>
      <c r="N26" s="7"/>
    </row>
    <row r="27" spans="1:15" x14ac:dyDescent="0.35">
      <c r="A27" s="5" t="s">
        <v>51</v>
      </c>
      <c r="B27" s="7">
        <v>817</v>
      </c>
      <c r="C27" s="6">
        <v>2150</v>
      </c>
      <c r="D27" s="6">
        <v>1986</v>
      </c>
      <c r="E27" s="6">
        <v>1054</v>
      </c>
      <c r="F27" s="7">
        <v>912</v>
      </c>
      <c r="G27" s="7">
        <v>796</v>
      </c>
      <c r="H27" s="7">
        <v>592</v>
      </c>
      <c r="I27" s="7">
        <v>860</v>
      </c>
      <c r="J27" s="6">
        <v>1077</v>
      </c>
      <c r="K27" s="7">
        <v>775</v>
      </c>
      <c r="L27" s="6">
        <v>2664</v>
      </c>
      <c r="M27" s="6">
        <v>3510</v>
      </c>
      <c r="N27" s="4"/>
    </row>
    <row r="28" spans="1:15" x14ac:dyDescent="0.35">
      <c r="A28" s="5" t="s">
        <v>43</v>
      </c>
      <c r="B28" s="7">
        <f>B25/B29</f>
        <v>14.67</v>
      </c>
      <c r="C28" s="7">
        <f t="shared" ref="C28:M28" si="4">C25/C29</f>
        <v>20.190000000000001</v>
      </c>
      <c r="D28" s="7">
        <f t="shared" si="4"/>
        <v>17.71</v>
      </c>
      <c r="E28" s="7">
        <f t="shared" si="4"/>
        <v>9.19</v>
      </c>
      <c r="F28" s="7">
        <f t="shared" si="4"/>
        <v>8.98</v>
      </c>
      <c r="G28" s="7">
        <f t="shared" si="4"/>
        <v>6.89</v>
      </c>
      <c r="H28" s="7">
        <f t="shared" si="4"/>
        <v>6.52</v>
      </c>
      <c r="I28" s="7">
        <f t="shared" si="4"/>
        <v>10.35</v>
      </c>
      <c r="J28" s="7">
        <f t="shared" si="4"/>
        <v>8.39</v>
      </c>
      <c r="K28" s="7">
        <f t="shared" si="4"/>
        <v>7.06</v>
      </c>
      <c r="L28" s="7">
        <f t="shared" si="4"/>
        <v>21.61</v>
      </c>
      <c r="M28" s="7">
        <f t="shared" si="4"/>
        <v>28.42</v>
      </c>
      <c r="N28" s="7"/>
    </row>
    <row r="29" spans="1:15" x14ac:dyDescent="0.35">
      <c r="A29" s="5" t="s">
        <v>56</v>
      </c>
      <c r="B29" s="7">
        <f>B25/B16</f>
        <v>109.95228357191547</v>
      </c>
      <c r="C29" s="7">
        <f t="shared" ref="C29:M29" si="5">C25/C16</f>
        <v>110.00495294700346</v>
      </c>
      <c r="D29" s="7">
        <f t="shared" si="5"/>
        <v>109.99435347261434</v>
      </c>
      <c r="E29" s="7">
        <f t="shared" si="5"/>
        <v>110.01088139281829</v>
      </c>
      <c r="F29" s="7">
        <f t="shared" si="5"/>
        <v>110.02227171492204</v>
      </c>
      <c r="G29" s="7">
        <f t="shared" si="5"/>
        <v>109.86937590711176</v>
      </c>
      <c r="H29" s="7">
        <f t="shared" si="5"/>
        <v>109.96932515337424</v>
      </c>
      <c r="I29" s="7">
        <f t="shared" si="5"/>
        <v>109.95169082125604</v>
      </c>
      <c r="J29" s="7">
        <f t="shared" si="5"/>
        <v>110.01191895113229</v>
      </c>
      <c r="K29" s="7">
        <f t="shared" si="5"/>
        <v>110.05665722379604</v>
      </c>
      <c r="L29" s="7">
        <f t="shared" si="5"/>
        <v>114.02128644146229</v>
      </c>
      <c r="M29" s="7">
        <f t="shared" si="5"/>
        <v>114.00422237860661</v>
      </c>
      <c r="N29" s="7"/>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436BF-854D-4455-928E-BD51FFED000D}">
  <dimension ref="A1:M10"/>
  <sheetViews>
    <sheetView showGridLines="0" workbookViewId="0">
      <selection activeCell="C17" sqref="C17"/>
    </sheetView>
  </sheetViews>
  <sheetFormatPr defaultRowHeight="14.5" x14ac:dyDescent="0.35"/>
  <cols>
    <col min="1" max="1" width="23.36328125" bestFit="1" customWidth="1"/>
    <col min="2" max="2" width="9.36328125" bestFit="1" customWidth="1"/>
  </cols>
  <sheetData>
    <row r="1" spans="1:13" ht="15.5" x14ac:dyDescent="0.35">
      <c r="A1" s="10" t="s">
        <v>57</v>
      </c>
      <c r="B1" s="10" t="s">
        <v>20</v>
      </c>
      <c r="C1" s="10" t="s">
        <v>21</v>
      </c>
      <c r="D1" s="10" t="s">
        <v>22</v>
      </c>
      <c r="E1" s="10" t="s">
        <v>23</v>
      </c>
      <c r="F1" s="10" t="s">
        <v>24</v>
      </c>
      <c r="G1" s="10" t="s">
        <v>25</v>
      </c>
      <c r="H1" s="10" t="s">
        <v>26</v>
      </c>
      <c r="I1" s="10" t="s">
        <v>27</v>
      </c>
      <c r="J1" s="10" t="s">
        <v>28</v>
      </c>
      <c r="K1" s="10" t="s">
        <v>29</v>
      </c>
      <c r="L1" s="10" t="s">
        <v>30</v>
      </c>
      <c r="M1" s="10" t="s">
        <v>63</v>
      </c>
    </row>
    <row r="2" spans="1:13" ht="15.5" x14ac:dyDescent="0.35">
      <c r="A2" s="10" t="s">
        <v>58</v>
      </c>
      <c r="B2" s="15">
        <f>Table_3[[#This Row],[Mar 2013]]/Table_3[[#This Row],[Mar 2013]]</f>
        <v>1</v>
      </c>
      <c r="C2" s="15">
        <f>Table_3[[#This Row],[Mar 2014]]/Table_3[[#This Row],[Mar 2014]]</f>
        <v>1</v>
      </c>
      <c r="D2" s="15">
        <f>Table_3[[#This Row],[Mar 2015]]/Table_3[[#This Row],[Mar 2015]]</f>
        <v>1</v>
      </c>
      <c r="E2" s="15">
        <f>Table_3[[#This Row],[Mar 2016]]/Table_3[[#This Row],[Mar 2016]]</f>
        <v>1</v>
      </c>
      <c r="F2" s="15">
        <f>Table_3[[#This Row],[Mar 2017]]/Table_3[[#This Row],[Mar 2017]]</f>
        <v>1</v>
      </c>
      <c r="G2" s="15">
        <f>Table_3[[#This Row],[Mar 2018]]/Table_3[[#This Row],[Mar 2018]]</f>
        <v>1</v>
      </c>
      <c r="H2" s="15">
        <f>Table_3[[#This Row],[Mar 2019]]/Table_3[[#This Row],[Mar 2019]]</f>
        <v>1</v>
      </c>
      <c r="I2" s="15">
        <f>Table_3[[#This Row],[Mar 2020]]/Table_3[[#This Row],[Mar 2020]]</f>
        <v>1</v>
      </c>
      <c r="J2" s="15">
        <f>Table_3[[#This Row],[Mar 2021]]/Table_3[[#This Row],[Mar 2021]]</f>
        <v>1</v>
      </c>
      <c r="K2" s="15">
        <f>Table_3[[#This Row],[Mar 2022]]/Table_3[[#This Row],[Mar 2022]]</f>
        <v>1</v>
      </c>
      <c r="L2" s="15">
        <f>Table_3[[#This Row],[Mar 2023]]/Table_3[[#This Row],[Mar 2023]]</f>
        <v>1</v>
      </c>
      <c r="M2" s="15">
        <f>Table_3[[#This Row],[Mar 2024]]/Table_3[[#This Row],[Mar 2024]]</f>
        <v>1</v>
      </c>
    </row>
    <row r="3" spans="1:13" ht="15.5" x14ac:dyDescent="0.35">
      <c r="A3" s="10" t="s">
        <v>59</v>
      </c>
      <c r="B3" s="15">
        <f>Table_3[[#This Row],[Mar 2013]]/'Income Statement'!B2</f>
        <v>0.87016711590296492</v>
      </c>
      <c r="C3" s="15">
        <f>Table_3[[#This Row],[Mar 2013]]/'Income Statement'!C2</f>
        <v>0.73441680164522172</v>
      </c>
      <c r="D3" s="15">
        <f>Table_3[[#This Row],[Mar 2013]]/'Income Statement'!D2</f>
        <v>0.62598309160009302</v>
      </c>
      <c r="E3" s="15">
        <f>Table_3[[#This Row],[Mar 2013]]/'Income Statement'!E2</f>
        <v>1.1866031521994824</v>
      </c>
      <c r="F3" s="15">
        <f>Table_3[[#This Row],[Mar 2013]]/'Income Statement'!F2</f>
        <v>1.1045903703500943</v>
      </c>
      <c r="G3" s="15">
        <f>Table_3[[#This Row],[Mar 2013]]/'Income Statement'!G2</f>
        <v>1.1233158890992094</v>
      </c>
      <c r="H3" s="15">
        <f>Table_3[[#This Row],[Mar 2013]]/'Income Statement'!H2</f>
        <v>0.99938086629188438</v>
      </c>
      <c r="I3" s="15">
        <f>Table_3[[#This Row],[Mar 2013]]/'Income Statement'!I2</f>
        <v>0.92975139967283371</v>
      </c>
      <c r="J3" s="15">
        <f>Table_3[[#This Row],[Mar 2013]]/'Income Statement'!J2</f>
        <v>1.02066418797582</v>
      </c>
      <c r="K3" s="15">
        <f>Table_3[[#This Row],[Mar 2013]]/'Income Statement'!K2</f>
        <v>0.58130221838087004</v>
      </c>
      <c r="L3" s="15">
        <f>Table_3[[#This Row],[Mar 2013]]/'Income Statement'!L2</f>
        <v>0.31640269719303749</v>
      </c>
      <c r="M3" s="15">
        <f>Table_3[[#This Row],[Mar 2013]]/'Income Statement'!M2</f>
        <v>0.41851878740108484</v>
      </c>
    </row>
    <row r="4" spans="1:13" ht="15.5" x14ac:dyDescent="0.35">
      <c r="A4" s="11" t="s">
        <v>60</v>
      </c>
      <c r="B4" s="15">
        <f>'Income Statement'!B7/'Income Statement'!B2</f>
        <v>0.16810781671159031</v>
      </c>
      <c r="C4" s="15">
        <f>'Income Statement'!C7/'Income Statement'!C2</f>
        <v>0.19182120952918266</v>
      </c>
      <c r="D4" s="15">
        <f>'Income Statement'!D7/'Income Statement'!D2</f>
        <v>0.20541379042891492</v>
      </c>
      <c r="E4" s="15">
        <f>'Income Statement'!E7/'Income Statement'!E2</f>
        <v>8.021641966596095E-2</v>
      </c>
      <c r="F4" s="15">
        <f>'Income Statement'!F7/'Income Statement'!F2</f>
        <v>7.2564530698272789E-2</v>
      </c>
      <c r="G4" s="15">
        <f>'Income Statement'!G7/'Income Statement'!G2</f>
        <v>6.6835541699142631E-2</v>
      </c>
      <c r="H4" s="15">
        <f>'Income Statement'!H7/'Income Statement'!H2</f>
        <v>6.1244706406795614E-2</v>
      </c>
      <c r="I4" s="15">
        <f>'Income Statement'!I7/'Income Statement'!I2</f>
        <v>7.2944266525355392E-2</v>
      </c>
      <c r="J4" s="15">
        <f>'Income Statement'!J7/'Income Statement'!J2</f>
        <v>7.5878291220881702E-2</v>
      </c>
      <c r="K4" s="15">
        <f>'Income Statement'!K7/'Income Statement'!K2</f>
        <v>6.807836358398156E-2</v>
      </c>
      <c r="L4" s="15">
        <f>'Income Statement'!L7/'Income Statement'!L2</f>
        <v>7.5678218598086877E-2</v>
      </c>
      <c r="M4" s="15">
        <f>'Income Statement'!M7/'Income Statement'!M2</f>
        <v>0.12987834600346398</v>
      </c>
    </row>
    <row r="5" spans="1:13" ht="15.5" x14ac:dyDescent="0.35">
      <c r="A5" s="10" t="s">
        <v>39</v>
      </c>
      <c r="B5" s="15">
        <f>'Income Statement'!B9/'Income Statement'!B2</f>
        <v>4.9552560646900272E-2</v>
      </c>
      <c r="C5" s="15">
        <f>'Income Statement'!C9/'Income Statement'!C2</f>
        <v>5.8656523559066011E-2</v>
      </c>
      <c r="D5" s="15">
        <f>'Income Statement'!D9/'Income Statement'!D2</f>
        <v>5.4634297680912124E-2</v>
      </c>
      <c r="E5" s="15">
        <f>'Income Statement'!E9/'Income Statement'!E2</f>
        <v>9.2331216184427193E-3</v>
      </c>
      <c r="F5" s="15">
        <f>'Income Statement'!F9/'Income Statement'!F2</f>
        <v>8.6223414447212116E-3</v>
      </c>
      <c r="G5" s="15">
        <f>'Income Statement'!G9/'Income Statement'!G2</f>
        <v>1.8483465092974057E-2</v>
      </c>
      <c r="H5" s="15">
        <f>'Income Statement'!H9/'Income Statement'!H2</f>
        <v>9.6584858466034328E-3</v>
      </c>
      <c r="I5" s="15">
        <f>'Income Statement'!I9/'Income Statement'!I2</f>
        <v>1.0874824320899477E-2</v>
      </c>
      <c r="J5" s="15">
        <f>'Income Statement'!J9/'Income Statement'!J2</f>
        <v>1.3582214128537825E-2</v>
      </c>
      <c r="K5" s="15">
        <f>'Income Statement'!K9/'Income Statement'!K2</f>
        <v>1.7977528089887642E-2</v>
      </c>
      <c r="L5" s="15">
        <f>'Income Statement'!L9/'Income Statement'!L2</f>
        <v>1.9099890230515917E-2</v>
      </c>
      <c r="M5" s="15">
        <f>'Income Statement'!M9/'Income Statement'!M2</f>
        <v>3.1549143858702978E-2</v>
      </c>
    </row>
    <row r="6" spans="1:13" ht="15.5" x14ac:dyDescent="0.35">
      <c r="A6" s="12" t="s">
        <v>54</v>
      </c>
      <c r="B6" s="15">
        <f>'Income Statement'!B9/'Income Statement'!B2</f>
        <v>4.9552560646900272E-2</v>
      </c>
      <c r="C6" s="15">
        <f>'Income Statement'!C9/'Income Statement'!C2</f>
        <v>5.8656523559066011E-2</v>
      </c>
      <c r="D6" s="15">
        <f>'Income Statement'!D9/'Income Statement'!D2</f>
        <v>5.4634297680912124E-2</v>
      </c>
      <c r="E6" s="15">
        <f>'Income Statement'!E9/'Income Statement'!E2</f>
        <v>9.2331216184427193E-3</v>
      </c>
      <c r="F6" s="15">
        <f>'Income Statement'!F9/'Income Statement'!F2</f>
        <v>8.6223414447212116E-3</v>
      </c>
      <c r="G6" s="15">
        <f>'Income Statement'!G9/'Income Statement'!G2</f>
        <v>1.8483465092974057E-2</v>
      </c>
      <c r="H6" s="15">
        <f>'Income Statement'!H9/'Income Statement'!H2</f>
        <v>9.6584858466034328E-3</v>
      </c>
      <c r="I6" s="15">
        <f>'Income Statement'!I9/'Income Statement'!I2</f>
        <v>1.0874824320899477E-2</v>
      </c>
      <c r="J6" s="15">
        <f>'Income Statement'!J9/'Income Statement'!J2</f>
        <v>1.3582214128537825E-2</v>
      </c>
      <c r="K6" s="15">
        <f>'Income Statement'!K9/'Income Statement'!K2</f>
        <v>1.7977528089887642E-2</v>
      </c>
      <c r="L6" s="15">
        <f>'Income Statement'!L9/'Income Statement'!L2</f>
        <v>1.9099890230515917E-2</v>
      </c>
      <c r="M6" s="15">
        <f>'Income Statement'!M9/'Income Statement'!M2</f>
        <v>3.1549143858702978E-2</v>
      </c>
    </row>
    <row r="7" spans="1:13" ht="15.5" x14ac:dyDescent="0.35">
      <c r="A7" s="10" t="s">
        <v>38</v>
      </c>
      <c r="B7" s="15">
        <f>'Income Statement'!B11/'Income Statement'!B2</f>
        <v>7.5299191374663066E-2</v>
      </c>
      <c r="C7" s="15">
        <f>'Income Statement'!C11/'Income Statement'!C2</f>
        <v>0.10379092580122663</v>
      </c>
      <c r="D7" s="15">
        <f>'Income Statement'!D11/'Income Statement'!D2</f>
        <v>0.10945474288373536</v>
      </c>
      <c r="E7" s="15">
        <f>'Income Statement'!E11/'Income Statement'!E2</f>
        <v>3.9902375911550221E-2</v>
      </c>
      <c r="F7" s="15">
        <f>'Income Statement'!F11/'Income Statement'!F2</f>
        <v>3.4407248241316073E-2</v>
      </c>
      <c r="G7" s="15">
        <f>'Income Statement'!G11/'Income Statement'!G2</f>
        <v>3.4795679768399958E-2</v>
      </c>
      <c r="H7" s="15">
        <f>'Income Statement'!H11/'Income Statement'!H2</f>
        <v>4.0243691027514301E-2</v>
      </c>
      <c r="I7" s="15">
        <f>'Income Statement'!I11/'Income Statement'!I2</f>
        <v>3.621869456028385E-2</v>
      </c>
      <c r="J7" s="15">
        <f>'Income Statement'!J11/'Income Statement'!J2</f>
        <v>3.4828135670384702E-2</v>
      </c>
      <c r="K7" s="15">
        <f>'Income Statement'!K11/'Income Statement'!K2</f>
        <v>3.6387208297320658E-2</v>
      </c>
      <c r="L7" s="15">
        <f>'Income Statement'!L11/'Income Statement'!L2</f>
        <v>3.1119648737650933E-2</v>
      </c>
      <c r="M7" s="15">
        <f>'Income Statement'!M11/'Income Statement'!M2</f>
        <v>4.724074631045104E-2</v>
      </c>
    </row>
    <row r="8" spans="1:13" ht="15.5" x14ac:dyDescent="0.35">
      <c r="A8" s="13" t="s">
        <v>61</v>
      </c>
      <c r="B8" s="15">
        <f>'Income Statement'!B12/'Income Statement'!B2</f>
        <v>4.3234501347708898E-2</v>
      </c>
      <c r="C8" s="15">
        <f>'Income Statement'!C12/'Income Statement'!C2</f>
        <v>2.9373760168890022E-2</v>
      </c>
      <c r="D8" s="15">
        <f>'Income Statement'!D12/'Income Statement'!D2</f>
        <v>4.1309237570774836E-2</v>
      </c>
      <c r="E8" s="15">
        <f>'Income Statement'!E12/'Income Statement'!E2</f>
        <v>3.1051517290049402E-2</v>
      </c>
      <c r="F8" s="15">
        <f>'Income Statement'!F12/'Income Statement'!F2</f>
        <v>2.9534941012235513E-2</v>
      </c>
      <c r="G8" s="15">
        <f>'Income Statement'!G12/'Income Statement'!G2</f>
        <v>1.3556396837768622E-2</v>
      </c>
      <c r="H8" s="15">
        <f>'Income Statement'!H12/'Income Statement'!H2</f>
        <v>1.1367294881002502E-2</v>
      </c>
      <c r="I8" s="15">
        <f>'Income Statement'!I12/'Income Statement'!I2</f>
        <v>2.5850747644172063E-2</v>
      </c>
      <c r="J8" s="15">
        <f>'Income Statement'!J12/'Income Statement'!J2</f>
        <v>2.7467941421959179E-2</v>
      </c>
      <c r="K8" s="15">
        <f>'Income Statement'!K12/'Income Statement'!K2</f>
        <v>1.3713627196773263E-2</v>
      </c>
      <c r="L8" s="15">
        <f>'Income Statement'!L12/'Income Statement'!L2</f>
        <v>2.5458679629920024E-2</v>
      </c>
      <c r="M8" s="15">
        <f>'Income Statement'!M12/'Income Statement'!M2</f>
        <v>5.1088455834309952E-2</v>
      </c>
    </row>
    <row r="9" spans="1:13" ht="15.5" x14ac:dyDescent="0.35">
      <c r="A9" s="10" t="s">
        <v>55</v>
      </c>
      <c r="B9" s="15">
        <f>'Income Statement'!B14/'Income Statement'!B2</f>
        <v>1.6970350404312669E-2</v>
      </c>
      <c r="C9" s="15">
        <f>'Income Statement'!C14/'Income Statement'!C2</f>
        <v>-1.8781735126576521E-2</v>
      </c>
      <c r="D9" s="15">
        <f>'Income Statement'!D14/'Income Statement'!D2</f>
        <v>5.6619871247964009E-3</v>
      </c>
      <c r="E9" s="15">
        <f>'Income Statement'!E14/'Income Statement'!E2</f>
        <v>1.6466713714420136E-3</v>
      </c>
      <c r="F9" s="15">
        <f>'Income Statement'!F14/'Income Statement'!F2</f>
        <v>4.2153669285303697E-3</v>
      </c>
      <c r="G9" s="15">
        <f>'Income Statement'!G14/'Income Statement'!G2</f>
        <v>-2.9785101881750361E-3</v>
      </c>
      <c r="H9" s="15">
        <f>'Income Statement'!H14/'Income Statement'!H2</f>
        <v>-1.1639713712573367E-3</v>
      </c>
      <c r="I9" s="15">
        <f>'Income Statement'!I14/'Income Statement'!I2</f>
        <v>1.889270326935926E-3</v>
      </c>
      <c r="J9" s="15">
        <f>'Income Statement'!J14/'Income Statement'!J2</f>
        <v>1.0117105496117561E-3</v>
      </c>
      <c r="K9" s="15">
        <f>'Income Statement'!K14/'Income Statement'!K2</f>
        <v>2.3624315759147221E-3</v>
      </c>
      <c r="L9" s="15">
        <f>'Income Statement'!L14/'Income Statement'!L2</f>
        <v>6.4685588834875333E-3</v>
      </c>
      <c r="M9" s="15">
        <f>'Income Statement'!M14/'Income Statement'!M2</f>
        <v>1.6500554858381474E-2</v>
      </c>
    </row>
    <row r="10" spans="1:13" ht="15.5" x14ac:dyDescent="0.35">
      <c r="A10" s="14" t="s">
        <v>62</v>
      </c>
      <c r="B10" s="15">
        <f>'Income Statement'!B15/'Income Statement'!B2</f>
        <v>2.6264150943396226E-2</v>
      </c>
      <c r="C10" s="15">
        <f>'Income Statement'!C15/'Income Statement'!C2</f>
        <v>4.815549529546654E-2</v>
      </c>
      <c r="D10" s="15">
        <f>'Income Statement'!D15/'Income Statement'!D2</f>
        <v>3.564725044597844E-2</v>
      </c>
      <c r="E10" s="15">
        <f>'Income Statement'!E15/'Income Statement'!E2</f>
        <v>2.9404845918607387E-2</v>
      </c>
      <c r="F10" s="15">
        <f>'Income Statement'!F15/'Income Statement'!F2</f>
        <v>2.5319574083705144E-2</v>
      </c>
      <c r="G10" s="15">
        <f>'Income Statement'!G15/'Income Statement'!G2</f>
        <v>1.6534907025943658E-2</v>
      </c>
      <c r="H10" s="15">
        <f>'Income Statement'!H15/'Income Statement'!H2</f>
        <v>1.2531266252259837E-2</v>
      </c>
      <c r="I10" s="15">
        <f>'Income Statement'!I15/'Income Statement'!I2</f>
        <v>2.3961477317236135E-2</v>
      </c>
      <c r="J10" s="15">
        <f>'Income Statement'!J15/'Income Statement'!J2</f>
        <v>2.6456230872347421E-2</v>
      </c>
      <c r="K10" s="15">
        <f>'Income Statement'!K15/'Income Statement'!K2</f>
        <v>1.1351195620858541E-2</v>
      </c>
      <c r="L10" s="15">
        <f>'Income Statement'!L15/'Income Statement'!L2</f>
        <v>1.8990120746432491E-2</v>
      </c>
      <c r="M10" s="15">
        <f>'Income Statement'!M15/'Income Statement'!M2</f>
        <v>3.4587900975928482E-2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6A7B-A0FB-445D-9AAD-4550B7A5F7A3}">
  <dimension ref="A1:N42"/>
  <sheetViews>
    <sheetView showGridLines="0" topLeftCell="A10" zoomScale="49" workbookViewId="0">
      <selection activeCell="A40" sqref="A40:M42"/>
    </sheetView>
  </sheetViews>
  <sheetFormatPr defaultRowHeight="14.5" x14ac:dyDescent="0.35"/>
  <cols>
    <col min="1" max="1" width="23.90625" bestFit="1" customWidth="1"/>
    <col min="2" max="2" width="8.7265625" bestFit="1" customWidth="1"/>
    <col min="3" max="13" width="9.08984375" customWidth="1"/>
  </cols>
  <sheetData>
    <row r="1" spans="1:14" x14ac:dyDescent="0.35">
      <c r="A1" t="s">
        <v>111</v>
      </c>
      <c r="B1" s="16" t="s">
        <v>100</v>
      </c>
      <c r="C1" s="16" t="s">
        <v>101</v>
      </c>
      <c r="D1" s="16" t="s">
        <v>102</v>
      </c>
      <c r="E1" s="16" t="s">
        <v>103</v>
      </c>
      <c r="F1" s="16" t="s">
        <v>104</v>
      </c>
      <c r="G1" s="16" t="s">
        <v>105</v>
      </c>
      <c r="H1" s="16" t="s">
        <v>106</v>
      </c>
      <c r="I1" s="16" t="s">
        <v>107</v>
      </c>
      <c r="J1" s="16" t="s">
        <v>108</v>
      </c>
      <c r="K1" s="16" t="s">
        <v>109</v>
      </c>
      <c r="L1" s="16" t="s">
        <v>110</v>
      </c>
      <c r="M1" s="16" t="s">
        <v>63</v>
      </c>
      <c r="N1" s="4"/>
    </row>
    <row r="2" spans="1:14" x14ac:dyDescent="0.35">
      <c r="A2" s="5" t="s">
        <v>64</v>
      </c>
      <c r="B2" s="7">
        <v>110</v>
      </c>
      <c r="C2" s="7">
        <v>110</v>
      </c>
      <c r="D2" s="7">
        <v>110</v>
      </c>
      <c r="E2" s="7">
        <v>110</v>
      </c>
      <c r="F2" s="7">
        <v>110</v>
      </c>
      <c r="G2" s="7">
        <v>110</v>
      </c>
      <c r="H2" s="7">
        <v>110</v>
      </c>
      <c r="I2" s="7">
        <v>110</v>
      </c>
      <c r="J2" s="7">
        <v>110</v>
      </c>
      <c r="K2" s="7">
        <v>110</v>
      </c>
      <c r="L2" s="7">
        <v>114</v>
      </c>
      <c r="M2" s="7">
        <v>114</v>
      </c>
    </row>
    <row r="3" spans="1:14" x14ac:dyDescent="0.35">
      <c r="A3" s="5" t="s">
        <v>65</v>
      </c>
      <c r="B3" s="6">
        <v>21286</v>
      </c>
      <c r="C3" s="6">
        <v>23647</v>
      </c>
      <c r="D3" s="6">
        <v>25618</v>
      </c>
      <c r="E3" s="6">
        <v>13268</v>
      </c>
      <c r="F3" s="6">
        <v>14026</v>
      </c>
      <c r="G3" s="6">
        <v>14979</v>
      </c>
      <c r="H3" s="6">
        <v>14646</v>
      </c>
      <c r="I3" s="6">
        <v>16837</v>
      </c>
      <c r="J3" s="6">
        <v>17049</v>
      </c>
      <c r="K3" s="6">
        <v>22147</v>
      </c>
      <c r="L3" s="6">
        <v>32937</v>
      </c>
      <c r="M3" s="6">
        <v>38962</v>
      </c>
    </row>
    <row r="4" spans="1:14" x14ac:dyDescent="0.35">
      <c r="A4" s="17" t="s">
        <v>66</v>
      </c>
      <c r="B4" s="18">
        <v>69332</v>
      </c>
      <c r="C4" s="18">
        <v>71980</v>
      </c>
      <c r="D4" s="18">
        <v>83571</v>
      </c>
      <c r="E4" s="18">
        <v>19169</v>
      </c>
      <c r="F4" s="18">
        <v>20846</v>
      </c>
      <c r="G4" s="18">
        <v>17637</v>
      </c>
      <c r="H4" s="18">
        <v>11243</v>
      </c>
      <c r="I4" s="18">
        <v>12419</v>
      </c>
      <c r="J4" s="18">
        <v>16227</v>
      </c>
      <c r="K4" s="18">
        <v>41604</v>
      </c>
      <c r="L4" s="18">
        <v>53200</v>
      </c>
      <c r="M4" s="18">
        <v>65310</v>
      </c>
    </row>
    <row r="5" spans="1:14" x14ac:dyDescent="0.35">
      <c r="A5" s="5" t="s">
        <v>67</v>
      </c>
      <c r="B5" s="6">
        <v>48850</v>
      </c>
      <c r="C5" s="6">
        <v>49584</v>
      </c>
      <c r="D5" s="6">
        <v>55487</v>
      </c>
      <c r="E5" s="6">
        <v>7009</v>
      </c>
      <c r="F5" s="6">
        <v>9173</v>
      </c>
      <c r="G5" s="6">
        <v>4273</v>
      </c>
      <c r="H5" s="6">
        <v>2992</v>
      </c>
      <c r="I5" s="6">
        <v>3516</v>
      </c>
      <c r="J5" s="6">
        <v>9523</v>
      </c>
      <c r="K5" s="6">
        <v>20803</v>
      </c>
      <c r="L5" s="6">
        <v>32590</v>
      </c>
      <c r="M5" s="6">
        <v>43718</v>
      </c>
    </row>
    <row r="6" spans="1:14" x14ac:dyDescent="0.35">
      <c r="A6" s="5" t="s">
        <v>68</v>
      </c>
      <c r="B6" s="6">
        <v>12912</v>
      </c>
      <c r="C6" s="6">
        <v>15395</v>
      </c>
      <c r="D6" s="6">
        <v>19413</v>
      </c>
      <c r="E6" s="6">
        <v>11006</v>
      </c>
      <c r="F6" s="6">
        <v>10680</v>
      </c>
      <c r="G6" s="6">
        <v>12599</v>
      </c>
      <c r="H6" s="6">
        <v>6959</v>
      </c>
      <c r="I6" s="6">
        <v>8137</v>
      </c>
      <c r="J6" s="6">
        <v>6528</v>
      </c>
      <c r="K6" s="6">
        <v>20220</v>
      </c>
      <c r="L6" s="6">
        <v>5730</v>
      </c>
      <c r="M6" s="6">
        <v>6406</v>
      </c>
    </row>
    <row r="7" spans="1:14" x14ac:dyDescent="0.35">
      <c r="A7" s="5" t="s">
        <v>69</v>
      </c>
      <c r="B7" s="7">
        <v>0</v>
      </c>
      <c r="C7" s="7">
        <v>0</v>
      </c>
      <c r="D7" s="7">
        <v>0</v>
      </c>
      <c r="E7" s="7">
        <v>0</v>
      </c>
      <c r="F7" s="7">
        <v>0</v>
      </c>
      <c r="G7" s="7">
        <v>0</v>
      </c>
      <c r="H7" s="7">
        <v>0</v>
      </c>
      <c r="I7" s="7">
        <v>0</v>
      </c>
      <c r="J7" s="7">
        <v>176</v>
      </c>
      <c r="K7" s="7">
        <v>580</v>
      </c>
      <c r="L7" s="6">
        <v>14881</v>
      </c>
      <c r="M7" s="6">
        <v>15186</v>
      </c>
    </row>
    <row r="8" spans="1:14" x14ac:dyDescent="0.35">
      <c r="A8" s="5" t="s">
        <v>70</v>
      </c>
      <c r="B8" s="6">
        <v>7570</v>
      </c>
      <c r="C8" s="6">
        <v>7001</v>
      </c>
      <c r="D8" s="6">
        <v>8671</v>
      </c>
      <c r="E8" s="6">
        <v>1154</v>
      </c>
      <c r="F8" s="7">
        <v>993</v>
      </c>
      <c r="G8" s="7">
        <v>764</v>
      </c>
      <c r="H8" s="6">
        <v>1292</v>
      </c>
      <c r="I8" s="7">
        <v>767</v>
      </c>
      <c r="J8" s="7">
        <v>0</v>
      </c>
      <c r="K8" s="7">
        <v>0</v>
      </c>
      <c r="L8" s="7">
        <v>0</v>
      </c>
      <c r="M8" s="7">
        <v>0</v>
      </c>
    </row>
    <row r="9" spans="1:14" x14ac:dyDescent="0.35">
      <c r="A9" s="17" t="s">
        <v>71</v>
      </c>
      <c r="B9" s="18">
        <v>21143</v>
      </c>
      <c r="C9" s="18">
        <v>22365</v>
      </c>
      <c r="D9" s="18">
        <v>21420</v>
      </c>
      <c r="E9" s="18">
        <v>9132</v>
      </c>
      <c r="F9" s="18">
        <v>12630</v>
      </c>
      <c r="G9" s="18">
        <v>23679</v>
      </c>
      <c r="H9" s="18">
        <v>16537</v>
      </c>
      <c r="I9" s="18">
        <v>17509</v>
      </c>
      <c r="J9" s="18">
        <v>18231</v>
      </c>
      <c r="K9" s="18">
        <v>37726</v>
      </c>
      <c r="L9" s="18">
        <v>55027</v>
      </c>
      <c r="M9" s="18">
        <v>56200</v>
      </c>
    </row>
    <row r="10" spans="1:14" x14ac:dyDescent="0.35">
      <c r="A10" s="5" t="s">
        <v>72</v>
      </c>
      <c r="B10" s="6">
        <v>3234</v>
      </c>
      <c r="C10" s="6">
        <v>4481</v>
      </c>
      <c r="D10" s="6">
        <v>4102</v>
      </c>
      <c r="E10" s="7">
        <v>85</v>
      </c>
      <c r="F10" s="7">
        <v>562</v>
      </c>
      <c r="G10" s="7">
        <v>778</v>
      </c>
      <c r="H10" s="7">
        <v>388</v>
      </c>
      <c r="I10" s="6">
        <v>1263</v>
      </c>
      <c r="J10" s="6">
        <v>1751</v>
      </c>
      <c r="K10" s="6">
        <v>4672</v>
      </c>
      <c r="L10" s="6">
        <v>4839</v>
      </c>
      <c r="M10" s="6">
        <v>5110</v>
      </c>
    </row>
    <row r="11" spans="1:14" x14ac:dyDescent="0.35">
      <c r="A11" s="5" t="s">
        <v>73</v>
      </c>
      <c r="B11" s="6">
        <v>6117</v>
      </c>
      <c r="C11" s="6">
        <v>8876</v>
      </c>
      <c r="D11" s="6">
        <v>10383</v>
      </c>
      <c r="E11" s="6">
        <v>5347</v>
      </c>
      <c r="F11" s="6">
        <v>8555</v>
      </c>
      <c r="G11" s="6">
        <v>8549</v>
      </c>
      <c r="H11" s="6">
        <v>12117</v>
      </c>
      <c r="I11" s="6">
        <v>11999</v>
      </c>
      <c r="J11" s="6">
        <v>11756</v>
      </c>
      <c r="K11" s="6">
        <v>17648</v>
      </c>
      <c r="L11" s="6">
        <v>28547</v>
      </c>
      <c r="M11" s="6">
        <v>24669</v>
      </c>
    </row>
    <row r="12" spans="1:14" x14ac:dyDescent="0.35">
      <c r="A12" s="5" t="s">
        <v>74</v>
      </c>
      <c r="B12" s="7">
        <v>587</v>
      </c>
      <c r="C12" s="7">
        <v>110</v>
      </c>
      <c r="D12" s="7">
        <v>713</v>
      </c>
      <c r="E12" s="6">
        <v>1197</v>
      </c>
      <c r="F12" s="6">
        <v>1035</v>
      </c>
      <c r="G12" s="6">
        <v>1275</v>
      </c>
      <c r="H12" s="6">
        <v>1406</v>
      </c>
      <c r="I12" s="6">
        <v>1697</v>
      </c>
      <c r="J12" s="6">
        <v>1353</v>
      </c>
      <c r="K12" s="6">
        <v>1829</v>
      </c>
      <c r="L12" s="7">
        <v>0</v>
      </c>
      <c r="M12" s="7">
        <v>0</v>
      </c>
    </row>
    <row r="13" spans="1:14" x14ac:dyDescent="0.35">
      <c r="A13" s="5" t="s">
        <v>75</v>
      </c>
      <c r="B13" s="6">
        <v>11205</v>
      </c>
      <c r="C13" s="6">
        <v>8898</v>
      </c>
      <c r="D13" s="6">
        <v>6222</v>
      </c>
      <c r="E13" s="6">
        <v>2503</v>
      </c>
      <c r="F13" s="6">
        <v>2477</v>
      </c>
      <c r="G13" s="6">
        <v>13078</v>
      </c>
      <c r="H13" s="6">
        <v>2626</v>
      </c>
      <c r="I13" s="6">
        <v>2549</v>
      </c>
      <c r="J13" s="6">
        <v>3370</v>
      </c>
      <c r="K13" s="6">
        <v>13577</v>
      </c>
      <c r="L13" s="6">
        <v>21641</v>
      </c>
      <c r="M13" s="6">
        <v>26421</v>
      </c>
    </row>
    <row r="14" spans="1:14" x14ac:dyDescent="0.35">
      <c r="A14" s="61" t="s">
        <v>112</v>
      </c>
      <c r="B14" s="62">
        <f>B5+B7</f>
        <v>48850</v>
      </c>
      <c r="C14" s="62">
        <f t="shared" ref="C14:M14" si="0">C5+C7</f>
        <v>49584</v>
      </c>
      <c r="D14" s="62">
        <f t="shared" si="0"/>
        <v>55487</v>
      </c>
      <c r="E14" s="62">
        <f t="shared" si="0"/>
        <v>7009</v>
      </c>
      <c r="F14" s="62">
        <f t="shared" si="0"/>
        <v>9173</v>
      </c>
      <c r="G14" s="62">
        <f t="shared" si="0"/>
        <v>4273</v>
      </c>
      <c r="H14" s="62">
        <f t="shared" si="0"/>
        <v>2992</v>
      </c>
      <c r="I14" s="62">
        <f t="shared" si="0"/>
        <v>3516</v>
      </c>
      <c r="J14" s="62">
        <f t="shared" si="0"/>
        <v>9699</v>
      </c>
      <c r="K14" s="62">
        <f t="shared" si="0"/>
        <v>21383</v>
      </c>
      <c r="L14" s="62">
        <f t="shared" si="0"/>
        <v>47471</v>
      </c>
      <c r="M14" s="62">
        <f t="shared" si="0"/>
        <v>58904</v>
      </c>
    </row>
    <row r="15" spans="1:14" x14ac:dyDescent="0.35">
      <c r="A15" s="61" t="s">
        <v>113</v>
      </c>
      <c r="B15" s="62">
        <f>SUM(B6,B8,B10,B11,B12,B13)</f>
        <v>41625</v>
      </c>
      <c r="C15" s="62">
        <f t="shared" ref="C15:M15" si="1">SUM(C6,C8,C10,C11,C12,C13)</f>
        <v>44761</v>
      </c>
      <c r="D15" s="62">
        <f t="shared" si="1"/>
        <v>49504</v>
      </c>
      <c r="E15" s="62">
        <f t="shared" si="1"/>
        <v>21292</v>
      </c>
      <c r="F15" s="62">
        <f t="shared" si="1"/>
        <v>24302</v>
      </c>
      <c r="G15" s="62">
        <f t="shared" si="1"/>
        <v>37043</v>
      </c>
      <c r="H15" s="62">
        <f t="shared" si="1"/>
        <v>24788</v>
      </c>
      <c r="I15" s="62">
        <f t="shared" si="1"/>
        <v>26412</v>
      </c>
      <c r="J15" s="62">
        <f t="shared" si="1"/>
        <v>24758</v>
      </c>
      <c r="K15" s="62">
        <f t="shared" si="1"/>
        <v>57946</v>
      </c>
      <c r="L15" s="62">
        <f t="shared" si="1"/>
        <v>60757</v>
      </c>
      <c r="M15" s="62">
        <f t="shared" si="1"/>
        <v>62606</v>
      </c>
    </row>
    <row r="16" spans="1:14" x14ac:dyDescent="0.35">
      <c r="A16" s="61" t="s">
        <v>114</v>
      </c>
      <c r="B16" s="62">
        <f>B2+B3</f>
        <v>21396</v>
      </c>
      <c r="C16" s="62">
        <f t="shared" ref="C16:M16" si="2">C2+C3</f>
        <v>23757</v>
      </c>
      <c r="D16" s="62">
        <f t="shared" si="2"/>
        <v>25728</v>
      </c>
      <c r="E16" s="62">
        <f t="shared" si="2"/>
        <v>13378</v>
      </c>
      <c r="F16" s="62">
        <f t="shared" si="2"/>
        <v>14136</v>
      </c>
      <c r="G16" s="62">
        <f t="shared" si="2"/>
        <v>15089</v>
      </c>
      <c r="H16" s="62">
        <f t="shared" si="2"/>
        <v>14756</v>
      </c>
      <c r="I16" s="62">
        <f t="shared" si="2"/>
        <v>16947</v>
      </c>
      <c r="J16" s="62">
        <f t="shared" si="2"/>
        <v>17159</v>
      </c>
      <c r="K16" s="62">
        <f t="shared" si="2"/>
        <v>22257</v>
      </c>
      <c r="L16" s="62">
        <f t="shared" si="2"/>
        <v>33051</v>
      </c>
      <c r="M16" s="62">
        <f t="shared" si="2"/>
        <v>39076</v>
      </c>
    </row>
    <row r="17" spans="1:13" x14ac:dyDescent="0.35">
      <c r="A17" s="17" t="s">
        <v>76</v>
      </c>
      <c r="B17" s="18">
        <v>111871</v>
      </c>
      <c r="C17" s="18">
        <v>118102</v>
      </c>
      <c r="D17" s="18">
        <v>130718</v>
      </c>
      <c r="E17" s="18">
        <v>41679</v>
      </c>
      <c r="F17" s="18">
        <v>47611</v>
      </c>
      <c r="G17" s="18">
        <v>56405</v>
      </c>
      <c r="H17" s="18">
        <v>42536</v>
      </c>
      <c r="I17" s="18">
        <v>46875</v>
      </c>
      <c r="J17" s="18">
        <v>51617</v>
      </c>
      <c r="K17" s="18">
        <v>101586</v>
      </c>
      <c r="L17" s="18">
        <v>141278</v>
      </c>
      <c r="M17" s="18">
        <v>160586</v>
      </c>
    </row>
    <row r="18" spans="1:13" x14ac:dyDescent="0.35">
      <c r="A18" s="17" t="s">
        <v>77</v>
      </c>
      <c r="B18" s="18">
        <v>48770</v>
      </c>
      <c r="C18" s="18">
        <v>70579</v>
      </c>
      <c r="D18" s="18">
        <v>83834</v>
      </c>
      <c r="E18" s="18">
        <v>10473</v>
      </c>
      <c r="F18" s="18">
        <v>13668</v>
      </c>
      <c r="G18" s="18">
        <v>10555</v>
      </c>
      <c r="H18" s="18">
        <v>9020</v>
      </c>
      <c r="I18" s="18">
        <v>10476</v>
      </c>
      <c r="J18" s="18">
        <v>10838</v>
      </c>
      <c r="K18" s="18">
        <v>30123</v>
      </c>
      <c r="L18" s="18">
        <v>56881</v>
      </c>
      <c r="M18" s="18">
        <v>65978</v>
      </c>
    </row>
    <row r="19" spans="1:13" x14ac:dyDescent="0.35">
      <c r="A19" s="5" t="s">
        <v>78</v>
      </c>
      <c r="B19" s="6">
        <v>2120</v>
      </c>
      <c r="C19" s="6">
        <v>2210</v>
      </c>
      <c r="D19" s="6">
        <v>2808</v>
      </c>
      <c r="E19" s="6">
        <v>1232</v>
      </c>
      <c r="F19" s="6">
        <v>1596</v>
      </c>
      <c r="G19" s="6">
        <v>1633</v>
      </c>
      <c r="H19" s="6">
        <v>1225</v>
      </c>
      <c r="I19" s="6">
        <v>1224</v>
      </c>
      <c r="J19" s="7">
        <v>986</v>
      </c>
      <c r="K19" s="6">
        <v>1313</v>
      </c>
      <c r="L19" s="6">
        <v>2731</v>
      </c>
      <c r="M19" s="6">
        <v>2122</v>
      </c>
    </row>
    <row r="20" spans="1:13" x14ac:dyDescent="0.35">
      <c r="A20" s="5" t="s">
        <v>79</v>
      </c>
      <c r="B20" s="6">
        <v>2990</v>
      </c>
      <c r="C20" s="6">
        <v>3881</v>
      </c>
      <c r="D20" s="6">
        <v>5392</v>
      </c>
      <c r="E20" s="7">
        <v>487</v>
      </c>
      <c r="F20" s="7">
        <v>742</v>
      </c>
      <c r="G20" s="6">
        <v>1142</v>
      </c>
      <c r="H20" s="6">
        <v>1059</v>
      </c>
      <c r="I20" s="6">
        <v>1121</v>
      </c>
      <c r="J20" s="6">
        <v>1389</v>
      </c>
      <c r="K20" s="6">
        <v>11481</v>
      </c>
      <c r="L20" s="6">
        <v>14391</v>
      </c>
      <c r="M20" s="6">
        <v>18021</v>
      </c>
    </row>
    <row r="21" spans="1:13" x14ac:dyDescent="0.35">
      <c r="A21" s="5" t="s">
        <v>80</v>
      </c>
      <c r="B21" s="6">
        <v>36234</v>
      </c>
      <c r="C21" s="6">
        <v>58476</v>
      </c>
      <c r="D21" s="6">
        <v>69255</v>
      </c>
      <c r="E21" s="6">
        <v>3544</v>
      </c>
      <c r="F21" s="6">
        <v>6582</v>
      </c>
      <c r="G21" s="6">
        <v>3253</v>
      </c>
      <c r="H21" s="6">
        <v>2493</v>
      </c>
      <c r="I21" s="6">
        <v>3376</v>
      </c>
      <c r="J21" s="6">
        <v>3821</v>
      </c>
      <c r="K21" s="6">
        <v>5388</v>
      </c>
      <c r="L21" s="6">
        <v>9093</v>
      </c>
      <c r="M21" s="6">
        <v>15270</v>
      </c>
    </row>
    <row r="22" spans="1:13" x14ac:dyDescent="0.35">
      <c r="A22" s="5" t="s">
        <v>81</v>
      </c>
      <c r="B22" s="6">
        <v>2586</v>
      </c>
      <c r="C22" s="6">
        <v>2814</v>
      </c>
      <c r="D22" s="6">
        <v>2902</v>
      </c>
      <c r="E22" s="6">
        <v>1704</v>
      </c>
      <c r="F22" s="6">
        <v>1838</v>
      </c>
      <c r="G22" s="6">
        <v>1847</v>
      </c>
      <c r="H22" s="6">
        <v>1959</v>
      </c>
      <c r="I22" s="6">
        <v>2113</v>
      </c>
      <c r="J22" s="7">
        <v>974</v>
      </c>
      <c r="K22" s="6">
        <v>1058</v>
      </c>
      <c r="L22" s="6">
        <v>1148</v>
      </c>
      <c r="M22" s="6">
        <v>1174</v>
      </c>
    </row>
    <row r="23" spans="1:13" x14ac:dyDescent="0.35">
      <c r="A23" s="5" t="s">
        <v>82</v>
      </c>
      <c r="B23" s="7">
        <v>84</v>
      </c>
      <c r="C23" s="7">
        <v>107</v>
      </c>
      <c r="D23" s="7">
        <v>155</v>
      </c>
      <c r="E23" s="7">
        <v>25</v>
      </c>
      <c r="F23" s="7">
        <v>38</v>
      </c>
      <c r="G23" s="7">
        <v>46</v>
      </c>
      <c r="H23" s="7">
        <v>45</v>
      </c>
      <c r="I23" s="7">
        <v>48</v>
      </c>
      <c r="J23" s="7">
        <v>66</v>
      </c>
      <c r="K23" s="7">
        <v>108</v>
      </c>
      <c r="L23" s="7">
        <v>182</v>
      </c>
      <c r="M23" s="7">
        <v>345</v>
      </c>
    </row>
    <row r="24" spans="1:13" x14ac:dyDescent="0.35">
      <c r="A24" s="5" t="s">
        <v>83</v>
      </c>
      <c r="B24" s="7">
        <v>138</v>
      </c>
      <c r="C24" s="7">
        <v>155</v>
      </c>
      <c r="D24" s="7">
        <v>183</v>
      </c>
      <c r="E24" s="7">
        <v>24</v>
      </c>
      <c r="F24" s="7">
        <v>31</v>
      </c>
      <c r="G24" s="7">
        <v>58</v>
      </c>
      <c r="H24" s="7">
        <v>52</v>
      </c>
      <c r="I24" s="7">
        <v>68</v>
      </c>
      <c r="J24" s="7">
        <v>67</v>
      </c>
      <c r="K24" s="7">
        <v>133</v>
      </c>
      <c r="L24" s="7">
        <v>213</v>
      </c>
      <c r="M24" s="7">
        <v>363</v>
      </c>
    </row>
    <row r="25" spans="1:13" x14ac:dyDescent="0.35">
      <c r="A25" s="5" t="s">
        <v>84</v>
      </c>
      <c r="B25" s="7">
        <v>177</v>
      </c>
      <c r="C25" s="7">
        <v>276</v>
      </c>
      <c r="D25" s="7">
        <v>324</v>
      </c>
      <c r="E25" s="7">
        <v>92</v>
      </c>
      <c r="F25" s="7">
        <v>106</v>
      </c>
      <c r="G25" s="7">
        <v>172</v>
      </c>
      <c r="H25" s="7">
        <v>171</v>
      </c>
      <c r="I25" s="7">
        <v>186</v>
      </c>
      <c r="J25" s="7">
        <v>187</v>
      </c>
      <c r="K25" s="7">
        <v>565</v>
      </c>
      <c r="L25" s="7">
        <v>583</v>
      </c>
      <c r="M25" s="7">
        <v>898</v>
      </c>
    </row>
    <row r="26" spans="1:13" x14ac:dyDescent="0.35">
      <c r="A26" s="5" t="s">
        <v>85</v>
      </c>
      <c r="B26" s="7">
        <v>509</v>
      </c>
      <c r="C26" s="7">
        <v>753</v>
      </c>
      <c r="D26" s="6">
        <v>1449</v>
      </c>
      <c r="E26" s="7">
        <v>74</v>
      </c>
      <c r="F26" s="7">
        <v>74</v>
      </c>
      <c r="G26" s="7">
        <v>74</v>
      </c>
      <c r="H26" s="7">
        <v>0</v>
      </c>
      <c r="I26" s="7">
        <v>0</v>
      </c>
      <c r="J26" s="7">
        <v>0</v>
      </c>
      <c r="K26" s="7">
        <v>0</v>
      </c>
      <c r="L26" s="6">
        <v>12712</v>
      </c>
      <c r="M26" s="6">
        <v>13980</v>
      </c>
    </row>
    <row r="27" spans="1:13" x14ac:dyDescent="0.35">
      <c r="A27" s="5" t="s">
        <v>86</v>
      </c>
      <c r="B27" s="7">
        <v>436</v>
      </c>
      <c r="C27" s="7">
        <v>468</v>
      </c>
      <c r="D27" s="7">
        <v>477</v>
      </c>
      <c r="E27" s="7">
        <v>25</v>
      </c>
      <c r="F27" s="7">
        <v>29</v>
      </c>
      <c r="G27" s="7">
        <v>35</v>
      </c>
      <c r="H27" s="7">
        <v>44</v>
      </c>
      <c r="I27" s="7">
        <v>54</v>
      </c>
      <c r="J27" s="7">
        <v>68</v>
      </c>
      <c r="K27" s="7">
        <v>436</v>
      </c>
      <c r="L27" s="7">
        <v>498</v>
      </c>
      <c r="M27" s="7">
        <v>554</v>
      </c>
    </row>
    <row r="28" spans="1:13" x14ac:dyDescent="0.35">
      <c r="A28" s="5" t="s">
        <v>87</v>
      </c>
      <c r="B28" s="7">
        <v>255</v>
      </c>
      <c r="C28" s="7">
        <v>205</v>
      </c>
      <c r="D28" s="6">
        <v>2130</v>
      </c>
      <c r="E28" s="7">
        <v>80</v>
      </c>
      <c r="F28" s="7">
        <v>80</v>
      </c>
      <c r="G28" s="7">
        <v>80</v>
      </c>
      <c r="H28" s="7">
        <v>54</v>
      </c>
      <c r="I28" s="7">
        <v>139</v>
      </c>
      <c r="J28" s="7">
        <v>152</v>
      </c>
      <c r="K28" s="7">
        <v>301</v>
      </c>
      <c r="L28" s="7">
        <v>887</v>
      </c>
      <c r="M28" s="6">
        <v>1040</v>
      </c>
    </row>
    <row r="29" spans="1:13" x14ac:dyDescent="0.35">
      <c r="A29" s="5" t="s">
        <v>88</v>
      </c>
      <c r="B29" s="6">
        <v>8283</v>
      </c>
      <c r="C29" s="6">
        <v>9562</v>
      </c>
      <c r="D29" s="6">
        <v>11411</v>
      </c>
      <c r="E29" s="6">
        <v>3527</v>
      </c>
      <c r="F29" s="6">
        <v>3518</v>
      </c>
      <c r="G29" s="6">
        <v>3569</v>
      </c>
      <c r="H29" s="6">
        <v>3380</v>
      </c>
      <c r="I29" s="6">
        <v>4114</v>
      </c>
      <c r="J29" s="6">
        <v>5324</v>
      </c>
      <c r="K29" s="6">
        <v>12909</v>
      </c>
      <c r="L29" s="6">
        <v>19939</v>
      </c>
      <c r="M29" s="6">
        <v>20792</v>
      </c>
    </row>
    <row r="30" spans="1:13" x14ac:dyDescent="0.35">
      <c r="A30" s="17" t="s">
        <v>89</v>
      </c>
      <c r="B30" s="18">
        <v>53813</v>
      </c>
      <c r="C30" s="18">
        <v>78907</v>
      </c>
      <c r="D30" s="18">
        <v>96486</v>
      </c>
      <c r="E30" s="18">
        <v>10813</v>
      </c>
      <c r="F30" s="18">
        <v>14634</v>
      </c>
      <c r="G30" s="18">
        <v>11907</v>
      </c>
      <c r="H30" s="18">
        <v>10482</v>
      </c>
      <c r="I30" s="18">
        <v>12442</v>
      </c>
      <c r="J30" s="18">
        <v>13035</v>
      </c>
      <c r="K30" s="18">
        <v>33692</v>
      </c>
      <c r="L30" s="18">
        <v>62378</v>
      </c>
      <c r="M30" s="18">
        <v>74560</v>
      </c>
    </row>
    <row r="31" spans="1:13" x14ac:dyDescent="0.35">
      <c r="A31" s="5" t="s">
        <v>90</v>
      </c>
      <c r="B31" s="6">
        <v>5043</v>
      </c>
      <c r="C31" s="6">
        <v>8329</v>
      </c>
      <c r="D31" s="6">
        <v>12652</v>
      </c>
      <c r="E31" s="7">
        <v>339</v>
      </c>
      <c r="F31" s="7">
        <v>966</v>
      </c>
      <c r="G31" s="6">
        <v>1352</v>
      </c>
      <c r="H31" s="6">
        <v>1462</v>
      </c>
      <c r="I31" s="6">
        <v>1965</v>
      </c>
      <c r="J31" s="6">
        <v>2197</v>
      </c>
      <c r="K31" s="6">
        <v>3570</v>
      </c>
      <c r="L31" s="6">
        <v>5497</v>
      </c>
      <c r="M31" s="6">
        <v>8582</v>
      </c>
    </row>
    <row r="32" spans="1:13" x14ac:dyDescent="0.35">
      <c r="A32" s="5" t="s">
        <v>91</v>
      </c>
      <c r="B32" s="6">
        <v>29248</v>
      </c>
      <c r="C32" s="6">
        <v>13574</v>
      </c>
      <c r="D32" s="6">
        <v>6733</v>
      </c>
      <c r="E32" s="6">
        <v>7705</v>
      </c>
      <c r="F32" s="6">
        <v>7731</v>
      </c>
      <c r="G32" s="6">
        <v>5526</v>
      </c>
      <c r="H32" s="6">
        <v>5765</v>
      </c>
      <c r="I32" s="6">
        <v>7347</v>
      </c>
      <c r="J32" s="6">
        <v>8825</v>
      </c>
      <c r="K32" s="6">
        <v>23544</v>
      </c>
      <c r="L32" s="6">
        <v>24025</v>
      </c>
      <c r="M32" s="6">
        <v>35180</v>
      </c>
    </row>
    <row r="33" spans="1:13" x14ac:dyDescent="0.35">
      <c r="A33" s="5" t="s">
        <v>92</v>
      </c>
      <c r="B33" s="7">
        <v>323</v>
      </c>
      <c r="C33" s="7">
        <v>288</v>
      </c>
      <c r="D33" s="7">
        <v>744</v>
      </c>
      <c r="E33" s="7">
        <v>805</v>
      </c>
      <c r="F33" s="6">
        <v>1042</v>
      </c>
      <c r="G33" s="6">
        <v>1461</v>
      </c>
      <c r="H33" s="6">
        <v>1511</v>
      </c>
      <c r="I33" s="6">
        <v>1952</v>
      </c>
      <c r="J33" s="6">
        <v>5503</v>
      </c>
      <c r="K33" s="6">
        <v>4292</v>
      </c>
      <c r="L33" s="6">
        <v>6310</v>
      </c>
      <c r="M33" s="6">
        <v>8701</v>
      </c>
    </row>
    <row r="34" spans="1:13" x14ac:dyDescent="0.35">
      <c r="A34" s="17" t="s">
        <v>93</v>
      </c>
      <c r="B34" s="18">
        <v>33529</v>
      </c>
      <c r="C34" s="18">
        <v>33661</v>
      </c>
      <c r="D34" s="18">
        <v>39407</v>
      </c>
      <c r="E34" s="18">
        <v>22696</v>
      </c>
      <c r="F34" s="18">
        <v>25170</v>
      </c>
      <c r="G34" s="18">
        <v>38864</v>
      </c>
      <c r="H34" s="18">
        <v>26240</v>
      </c>
      <c r="I34" s="18">
        <v>27099</v>
      </c>
      <c r="J34" s="18">
        <v>26451</v>
      </c>
      <c r="K34" s="18">
        <v>43627</v>
      </c>
      <c r="L34" s="18">
        <v>54062</v>
      </c>
      <c r="M34" s="18">
        <v>50728</v>
      </c>
    </row>
    <row r="35" spans="1:13" x14ac:dyDescent="0.35">
      <c r="A35" s="5" t="s">
        <v>94</v>
      </c>
      <c r="B35" s="6">
        <v>3733</v>
      </c>
      <c r="C35" s="6">
        <v>3924</v>
      </c>
      <c r="D35" s="6">
        <v>4082</v>
      </c>
      <c r="E35" s="6">
        <v>1300</v>
      </c>
      <c r="F35" s="6">
        <v>1652</v>
      </c>
      <c r="G35" s="6">
        <v>2343</v>
      </c>
      <c r="H35" s="6">
        <v>2669</v>
      </c>
      <c r="I35" s="6">
        <v>2562</v>
      </c>
      <c r="J35" s="6">
        <v>1757</v>
      </c>
      <c r="K35" s="6">
        <v>6788</v>
      </c>
      <c r="L35" s="6">
        <v>6918</v>
      </c>
      <c r="M35" s="6">
        <v>9487</v>
      </c>
    </row>
    <row r="36" spans="1:13" x14ac:dyDescent="0.35">
      <c r="A36" s="5" t="s">
        <v>95</v>
      </c>
      <c r="B36" s="6">
        <v>9002</v>
      </c>
      <c r="C36" s="6">
        <v>10113</v>
      </c>
      <c r="D36" s="6">
        <v>15319</v>
      </c>
      <c r="E36" s="6">
        <v>10187</v>
      </c>
      <c r="F36" s="6">
        <v>12742</v>
      </c>
      <c r="G36" s="6">
        <v>12099</v>
      </c>
      <c r="H36" s="6">
        <v>14307</v>
      </c>
      <c r="I36" s="6">
        <v>13147</v>
      </c>
      <c r="J36" s="6">
        <v>11983</v>
      </c>
      <c r="K36" s="6">
        <v>13712</v>
      </c>
      <c r="L36" s="6">
        <v>12553</v>
      </c>
      <c r="M36" s="6">
        <v>9793</v>
      </c>
    </row>
    <row r="37" spans="1:13" x14ac:dyDescent="0.35">
      <c r="A37" s="5" t="s">
        <v>96</v>
      </c>
      <c r="B37" s="6">
        <v>7074</v>
      </c>
      <c r="C37" s="6">
        <v>3721</v>
      </c>
      <c r="D37" s="6">
        <v>3651</v>
      </c>
      <c r="E37" s="6">
        <v>1540</v>
      </c>
      <c r="F37" s="6">
        <v>1715</v>
      </c>
      <c r="G37" s="6">
        <v>1884</v>
      </c>
      <c r="H37" s="6">
        <v>1709</v>
      </c>
      <c r="I37" s="6">
        <v>3377</v>
      </c>
      <c r="J37" s="6">
        <v>1811</v>
      </c>
      <c r="K37" s="6">
        <v>3916</v>
      </c>
      <c r="L37" s="6">
        <v>5374</v>
      </c>
      <c r="M37" s="6">
        <v>7068</v>
      </c>
    </row>
    <row r="38" spans="1:13" x14ac:dyDescent="0.35">
      <c r="A38" s="5" t="s">
        <v>97</v>
      </c>
      <c r="B38" s="7">
        <v>206</v>
      </c>
      <c r="C38" s="7">
        <v>422</v>
      </c>
      <c r="D38" s="7">
        <v>290</v>
      </c>
      <c r="E38" s="7">
        <v>62</v>
      </c>
      <c r="F38" s="6">
        <v>4027</v>
      </c>
      <c r="G38" s="6">
        <v>4256</v>
      </c>
      <c r="H38" s="6">
        <v>2332</v>
      </c>
      <c r="I38" s="6">
        <v>2093</v>
      </c>
      <c r="J38" s="6">
        <v>1509</v>
      </c>
      <c r="K38" s="6">
        <v>1740</v>
      </c>
      <c r="L38" s="6">
        <v>4931</v>
      </c>
      <c r="M38" s="6">
        <v>1683</v>
      </c>
    </row>
    <row r="39" spans="1:13" x14ac:dyDescent="0.35">
      <c r="A39" s="5" t="s">
        <v>98</v>
      </c>
      <c r="B39" s="6">
        <v>13513</v>
      </c>
      <c r="C39" s="6">
        <v>15481</v>
      </c>
      <c r="D39" s="6">
        <v>16065</v>
      </c>
      <c r="E39" s="6">
        <v>9607</v>
      </c>
      <c r="F39" s="6">
        <v>5034</v>
      </c>
      <c r="G39" s="6">
        <v>18282</v>
      </c>
      <c r="H39" s="6">
        <v>5222</v>
      </c>
      <c r="I39" s="6">
        <v>5921</v>
      </c>
      <c r="J39" s="6">
        <v>9392</v>
      </c>
      <c r="K39" s="6">
        <v>17470</v>
      </c>
      <c r="L39" s="6">
        <v>24286</v>
      </c>
      <c r="M39" s="6">
        <v>22696</v>
      </c>
    </row>
    <row r="40" spans="1:13" x14ac:dyDescent="0.35">
      <c r="A40" s="63" t="s">
        <v>115</v>
      </c>
      <c r="B40" s="62">
        <f>SUM(B35,B36,B37,B38,B39)</f>
        <v>33528</v>
      </c>
      <c r="C40" s="62">
        <f t="shared" ref="C40:M40" si="3">SUM(C35,C36,C37,C38,C39)</f>
        <v>33661</v>
      </c>
      <c r="D40" s="62">
        <f t="shared" si="3"/>
        <v>39407</v>
      </c>
      <c r="E40" s="62">
        <f t="shared" si="3"/>
        <v>22696</v>
      </c>
      <c r="F40" s="62">
        <f t="shared" si="3"/>
        <v>25170</v>
      </c>
      <c r="G40" s="62">
        <f t="shared" si="3"/>
        <v>38864</v>
      </c>
      <c r="H40" s="62">
        <f t="shared" si="3"/>
        <v>26239</v>
      </c>
      <c r="I40" s="62">
        <f t="shared" si="3"/>
        <v>27100</v>
      </c>
      <c r="J40" s="62">
        <f t="shared" si="3"/>
        <v>26452</v>
      </c>
      <c r="K40" s="62">
        <f t="shared" si="3"/>
        <v>43626</v>
      </c>
      <c r="L40" s="62">
        <f t="shared" si="3"/>
        <v>54062</v>
      </c>
      <c r="M40" s="62">
        <f t="shared" si="3"/>
        <v>50727</v>
      </c>
    </row>
    <row r="41" spans="1:13" x14ac:dyDescent="0.35">
      <c r="A41" s="63" t="s">
        <v>116</v>
      </c>
      <c r="B41" s="62">
        <f>SUM(B19:B29,B31:B33)</f>
        <v>88426</v>
      </c>
      <c r="C41" s="62">
        <f t="shared" ref="C41:M41" si="4">SUM(C19:C29,C31:C33)</f>
        <v>101098</v>
      </c>
      <c r="D41" s="62">
        <f t="shared" si="4"/>
        <v>116615</v>
      </c>
      <c r="E41" s="62">
        <f t="shared" si="4"/>
        <v>19663</v>
      </c>
      <c r="F41" s="62">
        <f t="shared" si="4"/>
        <v>24373</v>
      </c>
      <c r="G41" s="62">
        <f t="shared" si="4"/>
        <v>20248</v>
      </c>
      <c r="H41" s="62">
        <f t="shared" si="4"/>
        <v>19220</v>
      </c>
      <c r="I41" s="62">
        <f t="shared" si="4"/>
        <v>23707</v>
      </c>
      <c r="J41" s="62">
        <f t="shared" si="4"/>
        <v>29559</v>
      </c>
      <c r="K41" s="62">
        <f t="shared" si="4"/>
        <v>65098</v>
      </c>
      <c r="L41" s="62">
        <f t="shared" si="4"/>
        <v>98209</v>
      </c>
      <c r="M41" s="62">
        <f t="shared" si="4"/>
        <v>127022</v>
      </c>
    </row>
    <row r="42" spans="1:13" x14ac:dyDescent="0.35">
      <c r="A42" s="64" t="s">
        <v>99</v>
      </c>
      <c r="B42" s="65">
        <v>111871</v>
      </c>
      <c r="C42" s="65">
        <v>118102</v>
      </c>
      <c r="D42" s="65">
        <v>130718</v>
      </c>
      <c r="E42" s="65">
        <v>41679</v>
      </c>
      <c r="F42" s="65">
        <v>47611</v>
      </c>
      <c r="G42" s="65">
        <v>56405</v>
      </c>
      <c r="H42" s="65">
        <v>42536</v>
      </c>
      <c r="I42" s="65">
        <v>46875</v>
      </c>
      <c r="J42" s="65">
        <v>51617</v>
      </c>
      <c r="K42" s="65">
        <v>101586</v>
      </c>
      <c r="L42" s="65">
        <v>141278</v>
      </c>
      <c r="M42" s="65">
        <v>160586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E033-523B-4577-A6F7-8D302BA15CDF}">
  <dimension ref="A1:M26"/>
  <sheetViews>
    <sheetView showGridLines="0" topLeftCell="A8" zoomScale="67" workbookViewId="0">
      <selection activeCell="A22" sqref="A22"/>
    </sheetView>
  </sheetViews>
  <sheetFormatPr defaultRowHeight="14.5" x14ac:dyDescent="0.35"/>
  <cols>
    <col min="1" max="1" width="33.81640625" bestFit="1" customWidth="1"/>
  </cols>
  <sheetData>
    <row r="1" spans="1:13" ht="18.5" x14ac:dyDescent="0.45">
      <c r="A1" s="20" t="s">
        <v>117</v>
      </c>
      <c r="B1" s="21"/>
      <c r="C1" s="20"/>
      <c r="D1" s="20"/>
      <c r="E1" s="20"/>
      <c r="F1" s="20"/>
      <c r="G1" s="20"/>
      <c r="H1" s="20"/>
      <c r="I1" s="20"/>
      <c r="J1" s="20"/>
      <c r="K1" s="20"/>
      <c r="L1" s="20"/>
      <c r="M1" s="22"/>
    </row>
    <row r="2" spans="1:13" ht="18.5" x14ac:dyDescent="0.45">
      <c r="A2" s="20" t="s">
        <v>118</v>
      </c>
      <c r="B2" s="23">
        <v>2013</v>
      </c>
      <c r="C2" s="24">
        <v>2014</v>
      </c>
      <c r="D2" s="24">
        <v>2015</v>
      </c>
      <c r="E2" s="24">
        <v>2016</v>
      </c>
      <c r="F2" s="24">
        <v>2017</v>
      </c>
      <c r="G2" s="24">
        <v>2018</v>
      </c>
      <c r="H2" s="25">
        <v>2019</v>
      </c>
      <c r="I2" s="25">
        <v>2020</v>
      </c>
      <c r="J2" s="25">
        <v>2021</v>
      </c>
      <c r="K2" s="25">
        <v>2022</v>
      </c>
      <c r="L2" s="25">
        <v>2023</v>
      </c>
      <c r="M2" s="26">
        <v>2024</v>
      </c>
    </row>
    <row r="3" spans="1:13" ht="18.5" x14ac:dyDescent="0.45">
      <c r="A3" s="20" t="s">
        <v>119</v>
      </c>
      <c r="B3">
        <f>'Balance Sheet'!B4/'Balance Sheet'!B16</f>
        <v>3.2404187698635258</v>
      </c>
      <c r="C3">
        <f>'Balance Sheet'!C4/'Balance Sheet'!C16</f>
        <v>3.0298438355011155</v>
      </c>
      <c r="D3">
        <f>'Balance Sheet'!D4/'Balance Sheet'!D16</f>
        <v>3.2482509328358211</v>
      </c>
      <c r="E3">
        <f>'Balance Sheet'!E4/'Balance Sheet'!E16</f>
        <v>1.4328748691882194</v>
      </c>
      <c r="F3">
        <f>'Balance Sheet'!F4/'Balance Sheet'!F16</f>
        <v>1.4746745897000566</v>
      </c>
      <c r="G3">
        <f>'Balance Sheet'!G4/'Balance Sheet'!G16</f>
        <v>1.1688647359003248</v>
      </c>
      <c r="H3">
        <f>'Balance Sheet'!H4/'Balance Sheet'!H16</f>
        <v>0.76192735158579561</v>
      </c>
      <c r="I3">
        <f>'Balance Sheet'!I4/'Balance Sheet'!I16</f>
        <v>0.73281406738655808</v>
      </c>
      <c r="J3">
        <f>'Balance Sheet'!J4/'Balance Sheet'!J16</f>
        <v>0.94568448044757858</v>
      </c>
      <c r="K3">
        <f>'Balance Sheet'!K4/'Balance Sheet'!K16</f>
        <v>1.8692546165251382</v>
      </c>
      <c r="L3">
        <f>'Balance Sheet'!L4/'Balance Sheet'!L16</f>
        <v>1.6096335965628876</v>
      </c>
      <c r="M3">
        <f>'Balance Sheet'!M4/'Balance Sheet'!M16</f>
        <v>1.6713583785443751</v>
      </c>
    </row>
    <row r="4" spans="1:13" ht="18.5" x14ac:dyDescent="0.45">
      <c r="A4" s="20" t="s">
        <v>120</v>
      </c>
      <c r="B4">
        <f>'Income Statement'!B10/'Income Statement'!B11</f>
        <v>1.5744558991981672</v>
      </c>
      <c r="C4">
        <f>'Income Statement'!C10/'Income Statement'!C11</f>
        <v>1.283008942661757</v>
      </c>
      <c r="D4">
        <f>'Income Statement'!D10/'Income Statement'!D11</f>
        <v>1.3775510204081634</v>
      </c>
      <c r="E4">
        <f>'Income Statement'!E10/'Income Statement'!E11</f>
        <v>1.7789240972733973</v>
      </c>
      <c r="F4">
        <f>'Income Statement'!F10/'Income Statement'!F11</f>
        <v>1.858392999204455</v>
      </c>
      <c r="G4">
        <f>'Income Statement'!G10/'Income Statement'!G11</f>
        <v>1.3895999999999999</v>
      </c>
      <c r="H4">
        <f>'Income Statement'!H10/'Income Statement'!H11</f>
        <v>1.2818461538461539</v>
      </c>
      <c r="I4">
        <f>'Income Statement'!I10/'Income Statement'!I11</f>
        <v>1.7137404580152671</v>
      </c>
      <c r="J4">
        <f>'Income Statement'!J10/'Income Statement'!J11</f>
        <v>1.7886710239651415</v>
      </c>
      <c r="K4">
        <f>'Income Statement'!K10/'Income Statement'!K11</f>
        <v>1.3768804433887569</v>
      </c>
      <c r="L4">
        <f>'Income Statement'!L10/'Income Statement'!L11</f>
        <v>1.81809019904258</v>
      </c>
      <c r="M4">
        <f>'Income Statement'!M10/'Income Statement'!M11</f>
        <v>2.0814489571899011</v>
      </c>
    </row>
    <row r="5" spans="1:13" ht="18.5" x14ac:dyDescent="0.45">
      <c r="A5" s="20" t="s">
        <v>121</v>
      </c>
      <c r="B5" s="27">
        <f>'Income Statement'!B8</f>
        <v>0.16810781671159031</v>
      </c>
      <c r="C5" s="27">
        <f>'Income Statement'!C8</f>
        <v>0.19182120952918266</v>
      </c>
      <c r="D5" s="27">
        <f>'Income Statement'!D8</f>
        <v>0.20541379042891492</v>
      </c>
      <c r="E5" s="27">
        <f>'Income Statement'!E8</f>
        <v>8.021641966596095E-2</v>
      </c>
      <c r="F5" s="27">
        <f>'Income Statement'!F8</f>
        <v>7.2564530698272789E-2</v>
      </c>
      <c r="G5" s="27">
        <f>'Income Statement'!G8</f>
        <v>6.6835541699142631E-2</v>
      </c>
      <c r="H5" s="27">
        <f>'Income Statement'!H8</f>
        <v>6.1244706406795614E-2</v>
      </c>
      <c r="I5" s="27">
        <f>'Income Statement'!I8</f>
        <v>7.2944266525355392E-2</v>
      </c>
      <c r="J5" s="27">
        <f>'Income Statement'!J8</f>
        <v>7.5878291220881702E-2</v>
      </c>
      <c r="K5" s="27">
        <f>'Income Statement'!K8</f>
        <v>6.807836358398156E-2</v>
      </c>
      <c r="L5" s="27">
        <f>'Income Statement'!L8</f>
        <v>7.5678218598086877E-2</v>
      </c>
      <c r="M5" s="27">
        <f>'Income Statement'!M8</f>
        <v>0.12987834600346398</v>
      </c>
    </row>
    <row r="6" spans="1:13" ht="18.5" x14ac:dyDescent="0.45">
      <c r="A6" s="20" t="s">
        <v>122</v>
      </c>
      <c r="B6" s="8">
        <f>'Income Statement'!B10/'Income Statement'!B2</f>
        <v>0.11855525606469003</v>
      </c>
      <c r="C6" s="8">
        <f>'Income Statement'!C10/'Income Statement'!C2</f>
        <v>0.13316468597011666</v>
      </c>
      <c r="D6" s="8">
        <f>'Income Statement'!D10/'Income Statement'!D2</f>
        <v>0.15077949274800279</v>
      </c>
      <c r="E6" s="8">
        <f>'Income Statement'!E10/'Income Statement'!E2</f>
        <v>7.0983298047518226E-2</v>
      </c>
      <c r="F6" s="8">
        <f>'Income Statement'!F10/'Income Statement'!F2</f>
        <v>6.3942189253551579E-2</v>
      </c>
      <c r="G6" s="8">
        <f>'Income Statement'!G10/'Income Statement'!G2</f>
        <v>4.8352076606168581E-2</v>
      </c>
      <c r="H6" s="8">
        <f>'Income Statement'!H10/'Income Statement'!H2</f>
        <v>5.1586220560192179E-2</v>
      </c>
      <c r="I6" s="8">
        <f>'Income Statement'!I10/'Income Statement'!I2</f>
        <v>6.2069442204455913E-2</v>
      </c>
      <c r="J6" s="8">
        <f>'Income Statement'!J10/'Income Statement'!J2</f>
        <v>6.2296077092343881E-2</v>
      </c>
      <c r="K6" s="8">
        <f>'Income Statement'!K10/'Income Statement'!K2</f>
        <v>5.0100835494093922E-2</v>
      </c>
      <c r="L6" s="8">
        <f>'Income Statement'!L10/'Income Statement'!L2</f>
        <v>5.6578328367570957E-2</v>
      </c>
      <c r="M6" s="8">
        <f>'Income Statement'!M10/'Income Statement'!M2</f>
        <v>9.8329202144760999E-2</v>
      </c>
    </row>
    <row r="7" spans="1:13" ht="18.5" x14ac:dyDescent="0.45">
      <c r="A7" s="20" t="s">
        <v>123</v>
      </c>
      <c r="B7">
        <f>'Balance Sheet'!B2/'Income Statement'!B29</f>
        <v>1.0004339739615624</v>
      </c>
      <c r="C7">
        <f>'Balance Sheet'!C2/'Income Statement'!C29</f>
        <v>0.99995497523638011</v>
      </c>
      <c r="D7">
        <f>'Balance Sheet'!D2/'Income Statement'!D29</f>
        <v>1.0000513347022588</v>
      </c>
      <c r="E7">
        <f>'Balance Sheet'!E2/'Income Statement'!E29</f>
        <v>0.99990108803165179</v>
      </c>
      <c r="F7">
        <f>'Balance Sheet'!F2/'Income Statement'!F29</f>
        <v>0.99979757085020249</v>
      </c>
      <c r="G7">
        <f>'Balance Sheet'!G2/'Income Statement'!G29</f>
        <v>1.0011889035667108</v>
      </c>
      <c r="H7">
        <f>'Balance Sheet'!H2/'Income Statement'!H29</f>
        <v>1.000278940027894</v>
      </c>
      <c r="I7">
        <f>'Balance Sheet'!I2/'Income Statement'!I29</f>
        <v>1.0004393673110721</v>
      </c>
      <c r="J7">
        <f>'Balance Sheet'!J2/'Income Statement'!J29</f>
        <v>0.99989165763813659</v>
      </c>
      <c r="K7">
        <f>'Balance Sheet'!K2/'Income Statement'!K29</f>
        <v>0.99948519948519943</v>
      </c>
      <c r="L7">
        <f>'Balance Sheet'!L2/'Income Statement'!L29</f>
        <v>0.99981331168831167</v>
      </c>
      <c r="M7">
        <f>'Balance Sheet'!M2/'Income Statement'!M29</f>
        <v>0.99996296296296294</v>
      </c>
    </row>
    <row r="8" spans="1:13" ht="18.5" x14ac:dyDescent="0.45">
      <c r="A8" s="20" t="s">
        <v>124</v>
      </c>
      <c r="B8">
        <f>'Income Statement'!B2/'Balance Sheet'!B42</f>
        <v>0.41453996120531683</v>
      </c>
      <c r="C8">
        <f>'Income Statement'!C2/'Balance Sheet'!C42</f>
        <v>0.46525037679294168</v>
      </c>
      <c r="D8">
        <f>'Income Statement'!D2/'Balance Sheet'!D42</f>
        <v>0.49316085007420551</v>
      </c>
      <c r="E8">
        <f>'Income Statement'!E2/'Balance Sheet'!E42</f>
        <v>0.81595047865831716</v>
      </c>
      <c r="F8">
        <f>'Income Statement'!F2/'Balance Sheet'!F42</f>
        <v>0.76732267753250294</v>
      </c>
      <c r="G8">
        <f>'Income Statement'!G2/'Balance Sheet'!G42</f>
        <v>0.63689389238542682</v>
      </c>
      <c r="H8">
        <f>'Income Statement'!H2/'Balance Sheet'!H42</f>
        <v>0.9492900131653188</v>
      </c>
      <c r="I8">
        <f>'Income Statement'!I2/'Balance Sheet'!I42</f>
        <v>0.92593066666666668</v>
      </c>
      <c r="J8">
        <f>'Income Statement'!J2/'Balance Sheet'!J42</f>
        <v>0.76596857624426062</v>
      </c>
      <c r="K8">
        <f>'Income Statement'!K2/'Balance Sheet'!K42</f>
        <v>0.68336188057409486</v>
      </c>
      <c r="L8">
        <f>'Income Statement'!L2/'Balance Sheet'!L42</f>
        <v>0.90275909908124408</v>
      </c>
      <c r="M8">
        <f>'Income Statement'!M2/'Balance Sheet'!M42</f>
        <v>0.60043216718767511</v>
      </c>
    </row>
    <row r="9" spans="1:13" ht="18.5" x14ac:dyDescent="0.45">
      <c r="A9" s="20" t="s">
        <v>125</v>
      </c>
      <c r="B9">
        <f>'Balance Sheet'!B40/'Balance Sheet'!B15</f>
        <v>0.80547747747747744</v>
      </c>
      <c r="C9">
        <f>'Balance Sheet'!C40/'Balance Sheet'!C15</f>
        <v>0.75201626415853084</v>
      </c>
      <c r="D9">
        <f>'Balance Sheet'!D40/'Balance Sheet'!D15</f>
        <v>0.79603668390433091</v>
      </c>
      <c r="E9">
        <f>'Balance Sheet'!E40/'Balance Sheet'!E15</f>
        <v>1.0659402592523013</v>
      </c>
      <c r="F9">
        <f>'Balance Sheet'!F40/'Balance Sheet'!F15</f>
        <v>1.0357172249197597</v>
      </c>
      <c r="G9">
        <f>'Balance Sheet'!G40/'Balance Sheet'!G15</f>
        <v>1.0491590853872526</v>
      </c>
      <c r="H9">
        <f>'Balance Sheet'!H40/'Balance Sheet'!H15</f>
        <v>1.0585363885751169</v>
      </c>
      <c r="I9">
        <f>'Balance Sheet'!I40/'Balance Sheet'!I15</f>
        <v>1.026048765712555</v>
      </c>
      <c r="J9">
        <f>'Balance Sheet'!J40/'Balance Sheet'!J15</f>
        <v>1.0684223281363601</v>
      </c>
      <c r="K9">
        <f>'Balance Sheet'!K40/'Balance Sheet'!K15</f>
        <v>0.75287336485693579</v>
      </c>
      <c r="L9">
        <f>'Balance Sheet'!L40/'Balance Sheet'!L15</f>
        <v>0.88980693582632453</v>
      </c>
      <c r="M9">
        <f>'Balance Sheet'!M40/'Balance Sheet'!M15</f>
        <v>0.81025780276650805</v>
      </c>
    </row>
    <row r="10" spans="1:13" ht="18.5" x14ac:dyDescent="0.45">
      <c r="A10" s="20" t="s">
        <v>128</v>
      </c>
      <c r="B10">
        <f>'Income Statement'!B2/'Balance Sheet'!B36</f>
        <v>5.1516329704510113</v>
      </c>
      <c r="C10">
        <f>'Income Statement'!C2/'Balance Sheet'!C36</f>
        <v>5.4333036685454363</v>
      </c>
      <c r="D10">
        <f>'Income Statement'!D2/'Balance Sheet'!D36</f>
        <v>4.2081728572361117</v>
      </c>
      <c r="E10">
        <f>'Income Statement'!E2/'Balance Sheet'!E36</f>
        <v>3.3383724354569551</v>
      </c>
      <c r="F10">
        <f>'Income Statement'!F2/'Balance Sheet'!F36</f>
        <v>2.8671323183173758</v>
      </c>
      <c r="G10">
        <f>'Income Statement'!G2/'Balance Sheet'!G36</f>
        <v>2.9691710058682537</v>
      </c>
      <c r="H10">
        <f>'Income Statement'!H2/'Balance Sheet'!H36</f>
        <v>2.8223247361431465</v>
      </c>
      <c r="I10">
        <f>'Income Statement'!I2/'Balance Sheet'!I36</f>
        <v>3.3013615273446413</v>
      </c>
      <c r="J10">
        <f>'Income Statement'!J2/'Balance Sheet'!J36</f>
        <v>3.2994241842610363</v>
      </c>
      <c r="K10">
        <f>'Income Statement'!K2/'Balance Sheet'!K36</f>
        <v>5.0627187864644103</v>
      </c>
      <c r="L10">
        <f>'Income Statement'!L2/'Balance Sheet'!L36</f>
        <v>10.160121086592847</v>
      </c>
      <c r="M10">
        <f>'Income Statement'!M2/'Balance Sheet'!M36</f>
        <v>9.8459103441233538</v>
      </c>
    </row>
    <row r="11" spans="1:13" ht="18.5" x14ac:dyDescent="0.45">
      <c r="A11" s="20" t="s">
        <v>129</v>
      </c>
      <c r="B11">
        <f>365/B10</f>
        <v>70.85132075471698</v>
      </c>
      <c r="C11">
        <f t="shared" ref="C11:M11" si="0">365/C10</f>
        <v>67.178280888856534</v>
      </c>
      <c r="D11">
        <f t="shared" si="0"/>
        <v>86.735980764756079</v>
      </c>
      <c r="E11">
        <f t="shared" si="0"/>
        <v>109.3347153610915</v>
      </c>
      <c r="F11">
        <f t="shared" si="0"/>
        <v>127.30490241699285</v>
      </c>
      <c r="G11">
        <f t="shared" si="0"/>
        <v>122.92993541921835</v>
      </c>
      <c r="H11">
        <f t="shared" si="0"/>
        <v>129.32601104534535</v>
      </c>
      <c r="I11">
        <f t="shared" si="0"/>
        <v>110.56044513052093</v>
      </c>
      <c r="J11">
        <f t="shared" si="0"/>
        <v>110.62536358347877</v>
      </c>
      <c r="K11">
        <f t="shared" si="0"/>
        <v>72.095649668683379</v>
      </c>
      <c r="L11">
        <f t="shared" si="0"/>
        <v>35.924768700015683</v>
      </c>
      <c r="M11">
        <f t="shared" si="0"/>
        <v>37.071229296522539</v>
      </c>
    </row>
    <row r="12" spans="1:13" ht="18.5" x14ac:dyDescent="0.45">
      <c r="A12" s="20" t="s">
        <v>130</v>
      </c>
      <c r="B12" s="28">
        <f>'Common size'!B10</f>
        <v>2.6264150943396226E-2</v>
      </c>
      <c r="C12" s="28">
        <f>'Common size'!C10</f>
        <v>4.815549529546654E-2</v>
      </c>
      <c r="D12" s="28">
        <f>'Common size'!D10</f>
        <v>3.564725044597844E-2</v>
      </c>
      <c r="E12" s="28">
        <f>'Common size'!E10</f>
        <v>2.9404845918607387E-2</v>
      </c>
      <c r="F12" s="28">
        <f>'Common size'!F10</f>
        <v>2.5319574083705144E-2</v>
      </c>
      <c r="G12" s="28">
        <f>'Common size'!G10</f>
        <v>1.6534907025943658E-2</v>
      </c>
      <c r="H12" s="28">
        <f>'Common size'!H10</f>
        <v>1.2531266252259837E-2</v>
      </c>
      <c r="I12" s="28">
        <f>'Common size'!I10</f>
        <v>2.3961477317236135E-2</v>
      </c>
      <c r="J12" s="28">
        <f>'Common size'!J10</f>
        <v>2.6456230872347421E-2</v>
      </c>
      <c r="K12" s="28">
        <f>'Common size'!K10</f>
        <v>1.1351195620858541E-2</v>
      </c>
      <c r="L12" s="28">
        <f>'Common size'!L10</f>
        <v>1.8990120746432491E-2</v>
      </c>
      <c r="M12" s="28">
        <f>'Common size'!M10</f>
        <v>3.4587900975928482E-2</v>
      </c>
    </row>
    <row r="13" spans="1:13" ht="18.5" x14ac:dyDescent="0.45">
      <c r="A13" s="20" t="s">
        <v>131</v>
      </c>
      <c r="B13" s="8">
        <f>'Income Statement'!B10/'Balance Sheet'!B16</f>
        <v>0.25696391848943728</v>
      </c>
      <c r="C13" s="8">
        <f>'Income Statement'!C10/'Balance Sheet'!C16</f>
        <v>0.30799343351433262</v>
      </c>
      <c r="D13" s="8">
        <f>'Income Statement'!D10/'Balance Sheet'!D16</f>
        <v>0.37779850746268656</v>
      </c>
      <c r="E13" s="8">
        <f>'Income Statement'!E10/'Balance Sheet'!E16</f>
        <v>0.18044550754970848</v>
      </c>
      <c r="F13" s="8">
        <f>'Income Statement'!F10/'Balance Sheet'!F16</f>
        <v>0.16525183927560838</v>
      </c>
      <c r="G13" s="8">
        <f>'Income Statement'!G10/'Balance Sheet'!G16</f>
        <v>0.11511697262906753</v>
      </c>
      <c r="H13" s="8">
        <f>'Income Statement'!H10/'Balance Sheet'!H16</f>
        <v>0.14116291677961507</v>
      </c>
      <c r="I13" s="8">
        <f>'Income Statement'!I10/'Balance Sheet'!I16</f>
        <v>0.15896618870596566</v>
      </c>
      <c r="J13" s="8">
        <f>'Income Statement'!J10/'Balance Sheet'!J16</f>
        <v>0.14353983332362025</v>
      </c>
      <c r="K13" s="8">
        <f>'Income Statement'!K10/'Balance Sheet'!K16</f>
        <v>0.1562654445792335</v>
      </c>
      <c r="L13" s="8">
        <f>'Income Statement'!L10/'Balance Sheet'!L16</f>
        <v>0.21832924873680071</v>
      </c>
      <c r="M13" s="8">
        <f>'Income Statement'!M10/'Balance Sheet'!M16</f>
        <v>0.24262974715938171</v>
      </c>
    </row>
    <row r="14" spans="1:13" ht="18.5" x14ac:dyDescent="0.45">
      <c r="A14" s="20" t="s">
        <v>132</v>
      </c>
      <c r="B14" s="8">
        <f>'Income Statement'!B15/'Balance Sheet'!B16</f>
        <v>5.6926528323051034E-2</v>
      </c>
      <c r="C14" s="8">
        <f>'Income Statement'!C15/'Balance Sheet'!C16</f>
        <v>0.111377699204445</v>
      </c>
      <c r="D14" s="8">
        <f>'Income Statement'!D15/'Balance Sheet'!D16</f>
        <v>8.9319029850746273E-2</v>
      </c>
      <c r="E14" s="8">
        <f>'Income Statement'!E15/'Balance Sheet'!E16</f>
        <v>7.4749588877261172E-2</v>
      </c>
      <c r="F14" s="8">
        <f>'Income Statement'!F15/'Balance Sheet'!F16</f>
        <v>6.543576683644596E-2</v>
      </c>
      <c r="G14" s="8">
        <f>'Income Statement'!G15/'Balance Sheet'!G16</f>
        <v>3.936642587315263E-2</v>
      </c>
      <c r="H14" s="8">
        <f>'Income Statement'!H15/'Balance Sheet'!H16</f>
        <v>3.4291135809162376E-2</v>
      </c>
      <c r="I14" s="8">
        <f>'Income Statement'!I15/'Balance Sheet'!I16</f>
        <v>6.1367793709801145E-2</v>
      </c>
      <c r="J14" s="8">
        <f>'Income Statement'!J15/'Balance Sheet'!J16</f>
        <v>6.0959263360335685E-2</v>
      </c>
      <c r="K14" s="8">
        <f>'Income Statement'!K15/'Balance Sheet'!K16</f>
        <v>3.5404591813811385E-2</v>
      </c>
      <c r="L14" s="8">
        <f>'Income Statement'!L15/'Balance Sheet'!L16</f>
        <v>7.3280687422468307E-2</v>
      </c>
      <c r="M14" s="8">
        <f>'Income Statement'!M15/'Balance Sheet'!M16</f>
        <v>8.5346504248131852E-2</v>
      </c>
    </row>
    <row r="15" spans="1:13" ht="18.5" x14ac:dyDescent="0.45">
      <c r="A15" s="20" t="s">
        <v>133</v>
      </c>
      <c r="B15">
        <f>'Income Statement'!B16</f>
        <v>14.67</v>
      </c>
      <c r="C15">
        <f>'Income Statement'!C16</f>
        <v>20.190000000000001</v>
      </c>
      <c r="D15">
        <f>'Income Statement'!D16</f>
        <v>17.71</v>
      </c>
      <c r="E15">
        <f>'Income Statement'!E16</f>
        <v>9.19</v>
      </c>
      <c r="F15">
        <f>'Income Statement'!F16</f>
        <v>8.98</v>
      </c>
      <c r="G15">
        <f>'Income Statement'!G16</f>
        <v>6.89</v>
      </c>
      <c r="H15">
        <f>'Income Statement'!H16</f>
        <v>6.52</v>
      </c>
      <c r="I15">
        <f>'Income Statement'!I16</f>
        <v>10.35</v>
      </c>
      <c r="J15">
        <f>'Income Statement'!J16</f>
        <v>8.39</v>
      </c>
      <c r="K15">
        <f>'Income Statement'!K16</f>
        <v>7.06</v>
      </c>
      <c r="L15">
        <f>'Income Statement'!L16</f>
        <v>21.61</v>
      </c>
      <c r="M15">
        <f>'Income Statement'!M16</f>
        <v>28.42</v>
      </c>
    </row>
    <row r="16" spans="1:13" ht="18.5" x14ac:dyDescent="0.45">
      <c r="A16" s="20" t="s">
        <v>134</v>
      </c>
      <c r="B16" s="29">
        <f>'Balance Sheet'!B10</f>
        <v>3234</v>
      </c>
      <c r="C16" s="29">
        <f>'Balance Sheet'!C10</f>
        <v>4481</v>
      </c>
      <c r="D16" s="29">
        <f>'Balance Sheet'!D10</f>
        <v>4102</v>
      </c>
      <c r="E16" s="29">
        <f>'Balance Sheet'!E10</f>
        <v>85</v>
      </c>
      <c r="F16" s="29">
        <f>'Balance Sheet'!F10</f>
        <v>562</v>
      </c>
      <c r="G16" s="29">
        <f>'Balance Sheet'!G10</f>
        <v>778</v>
      </c>
      <c r="H16" s="29">
        <f>'Balance Sheet'!H10</f>
        <v>388</v>
      </c>
      <c r="I16" s="29">
        <f>'Balance Sheet'!I10</f>
        <v>1263</v>
      </c>
      <c r="J16" s="29">
        <f>'Balance Sheet'!J10</f>
        <v>1751</v>
      </c>
      <c r="K16" s="29">
        <f>'Balance Sheet'!K10</f>
        <v>4672</v>
      </c>
      <c r="L16" s="29">
        <f>'Balance Sheet'!L10</f>
        <v>4839</v>
      </c>
      <c r="M16" s="29">
        <f>'Balance Sheet'!M10</f>
        <v>5110</v>
      </c>
    </row>
    <row r="17" spans="1:13" ht="18.5" x14ac:dyDescent="0.45">
      <c r="A17" s="20" t="s">
        <v>135</v>
      </c>
      <c r="B17" s="8">
        <f>B16/'Balance Sheet'!B42</f>
        <v>2.890829616254436E-2</v>
      </c>
      <c r="C17" s="8">
        <f>C16/'Balance Sheet'!C42</f>
        <v>3.7941779140065364E-2</v>
      </c>
      <c r="D17" s="8">
        <f>D16/'Balance Sheet'!D42</f>
        <v>3.1380529077862269E-2</v>
      </c>
      <c r="E17" s="8">
        <f>E16/'Balance Sheet'!E42</f>
        <v>2.0393963386837496E-3</v>
      </c>
      <c r="F17" s="8">
        <f>F16/'Balance Sheet'!F42</f>
        <v>1.1803994875133898E-2</v>
      </c>
      <c r="G17" s="8">
        <f>G16/'Balance Sheet'!G42</f>
        <v>1.3793103448275862E-2</v>
      </c>
      <c r="H17" s="8">
        <f>H16/'Balance Sheet'!H42</f>
        <v>9.1216851608049657E-3</v>
      </c>
      <c r="I17" s="8">
        <f>I16/'Balance Sheet'!I42</f>
        <v>2.6943999999999999E-2</v>
      </c>
      <c r="J17" s="8">
        <f>J16/'Balance Sheet'!J42</f>
        <v>3.392293236724335E-2</v>
      </c>
      <c r="K17" s="8">
        <f>K16/'Balance Sheet'!K42</f>
        <v>4.599058925442482E-2</v>
      </c>
      <c r="L17" s="8">
        <f>L16/'Balance Sheet'!L42</f>
        <v>3.4251617378501964E-2</v>
      </c>
      <c r="M17" s="8">
        <f>M16/'Balance Sheet'!M42</f>
        <v>3.1820955749567212E-2</v>
      </c>
    </row>
    <row r="18" spans="1:13" ht="18.5" x14ac:dyDescent="0.45">
      <c r="A18" s="22" t="s">
        <v>136</v>
      </c>
      <c r="B18" s="29">
        <f>'Balance Sheet'!B4-'Balance Sheet'!B37</f>
        <v>62258</v>
      </c>
      <c r="C18" s="29">
        <f>'Balance Sheet'!C4-'Balance Sheet'!C37</f>
        <v>68259</v>
      </c>
      <c r="D18" s="29">
        <f>'Balance Sheet'!D4-'Balance Sheet'!D37</f>
        <v>79920</v>
      </c>
      <c r="E18" s="29">
        <f>'Balance Sheet'!E4-'Balance Sheet'!E37</f>
        <v>17629</v>
      </c>
      <c r="F18" s="29">
        <f>'Balance Sheet'!F4-'Balance Sheet'!F37</f>
        <v>19131</v>
      </c>
      <c r="G18" s="29">
        <f>'Balance Sheet'!G4-'Balance Sheet'!G37</f>
        <v>15753</v>
      </c>
      <c r="H18" s="29">
        <f>'Balance Sheet'!H4-'Balance Sheet'!H37</f>
        <v>9534</v>
      </c>
      <c r="I18" s="29">
        <f>'Balance Sheet'!I4-'Balance Sheet'!I37</f>
        <v>9042</v>
      </c>
      <c r="J18" s="29">
        <f>'Balance Sheet'!J4-'Balance Sheet'!J37</f>
        <v>14416</v>
      </c>
      <c r="K18" s="29">
        <f>'Balance Sheet'!K4-'Balance Sheet'!K37</f>
        <v>37688</v>
      </c>
      <c r="L18" s="29">
        <f>'Balance Sheet'!L4-'Balance Sheet'!L37</f>
        <v>47826</v>
      </c>
      <c r="M18" s="29">
        <f>'Balance Sheet'!M4-'Balance Sheet'!M37</f>
        <v>58242</v>
      </c>
    </row>
    <row r="19" spans="1:13" ht="18.5" x14ac:dyDescent="0.45">
      <c r="A19" s="20" t="s">
        <v>126</v>
      </c>
      <c r="B19">
        <f>A26</f>
        <v>5.9091488277268089</v>
      </c>
      <c r="C19">
        <f t="shared" ref="C19:L19" si="1">B26</f>
        <v>6.8632275793155131</v>
      </c>
      <c r="D19">
        <f t="shared" si="1"/>
        <v>11.977889260497957</v>
      </c>
      <c r="E19">
        <f t="shared" si="1"/>
        <v>11.520325203252032</v>
      </c>
      <c r="F19">
        <f t="shared" si="1"/>
        <v>9.1446808510638302</v>
      </c>
      <c r="G19">
        <f t="shared" si="1"/>
        <v>7.1675977653631282</v>
      </c>
      <c r="H19">
        <f t="shared" si="1"/>
        <v>7.7191741540814371</v>
      </c>
      <c r="I19">
        <f t="shared" si="1"/>
        <v>10.049316971521186</v>
      </c>
      <c r="J19">
        <f t="shared" si="1"/>
        <v>4.6269163253364542</v>
      </c>
      <c r="K19">
        <f t="shared" si="1"/>
        <v>5.0649350649350646</v>
      </c>
      <c r="L19">
        <f t="shared" si="1"/>
        <v>7.7744590064004875</v>
      </c>
      <c r="M19">
        <f>L26</f>
        <v>10.16348687677875</v>
      </c>
    </row>
    <row r="20" spans="1:13" ht="18.5" x14ac:dyDescent="0.45">
      <c r="A20" s="20" t="s">
        <v>127</v>
      </c>
      <c r="B20">
        <f>365/B19</f>
        <v>61.768625336927229</v>
      </c>
      <c r="C20">
        <f t="shared" ref="C20:M20" si="2">365/C19</f>
        <v>53.181975358072329</v>
      </c>
      <c r="D20">
        <f t="shared" si="2"/>
        <v>30.47281470565423</v>
      </c>
      <c r="E20">
        <f t="shared" si="2"/>
        <v>31.68313338038109</v>
      </c>
      <c r="F20">
        <f t="shared" si="2"/>
        <v>39.913913448115402</v>
      </c>
      <c r="G20">
        <f t="shared" si="2"/>
        <v>50.923616523772409</v>
      </c>
      <c r="H20">
        <f t="shared" si="2"/>
        <v>47.284851036429828</v>
      </c>
      <c r="I20">
        <f t="shared" si="2"/>
        <v>36.320876437112638</v>
      </c>
      <c r="J20">
        <f t="shared" si="2"/>
        <v>78.886233148696149</v>
      </c>
      <c r="K20">
        <f t="shared" si="2"/>
        <v>72.064102564102569</v>
      </c>
      <c r="L20">
        <f t="shared" si="2"/>
        <v>46.948604359416656</v>
      </c>
      <c r="M20">
        <f t="shared" si="2"/>
        <v>35.912871677331701</v>
      </c>
    </row>
    <row r="22" spans="1:13" ht="18.5" x14ac:dyDescent="0.45">
      <c r="A22" s="20" t="s">
        <v>126</v>
      </c>
    </row>
    <row r="24" spans="1:13" x14ac:dyDescent="0.35">
      <c r="A24">
        <f>'Income Statement'!B2</f>
        <v>46375</v>
      </c>
      <c r="B24">
        <f>'Income Statement'!C2</f>
        <v>54947</v>
      </c>
      <c r="C24">
        <f>'Income Statement'!D2</f>
        <v>64465</v>
      </c>
      <c r="D24">
        <f>'Income Statement'!E2</f>
        <v>34008</v>
      </c>
      <c r="E24">
        <f>'Income Statement'!F2</f>
        <v>36533</v>
      </c>
      <c r="F24">
        <f>'Income Statement'!G2</f>
        <v>35924</v>
      </c>
      <c r="G24">
        <f>'Income Statement'!H2</f>
        <v>40379</v>
      </c>
      <c r="H24">
        <f>'Income Statement'!I2</f>
        <v>43403</v>
      </c>
      <c r="I24">
        <f>'Income Statement'!J2</f>
        <v>39537</v>
      </c>
      <c r="J24">
        <f>'Income Statement'!K2</f>
        <v>69420</v>
      </c>
      <c r="K24">
        <f>'Income Statement'!L2</f>
        <v>127540</v>
      </c>
      <c r="L24">
        <f>'Income Statement'!M2</f>
        <v>96421</v>
      </c>
    </row>
    <row r="25" spans="1:13" x14ac:dyDescent="0.35">
      <c r="A25" s="29">
        <f>'Balance Sheet'!C35+'Balance Sheet'!C35</f>
        <v>7848</v>
      </c>
      <c r="B25" s="29">
        <f>'Balance Sheet'!C35+'Balance Sheet'!D35</f>
        <v>8006</v>
      </c>
      <c r="C25" s="29">
        <f>'Balance Sheet'!D35+'Balance Sheet'!E35</f>
        <v>5382</v>
      </c>
      <c r="D25" s="29">
        <f>'Balance Sheet'!E35+'Balance Sheet'!F35</f>
        <v>2952</v>
      </c>
      <c r="E25" s="29">
        <f>'Balance Sheet'!F35+'Balance Sheet'!G35</f>
        <v>3995</v>
      </c>
      <c r="F25" s="29">
        <f>'Balance Sheet'!G35+'Balance Sheet'!H35</f>
        <v>5012</v>
      </c>
      <c r="G25" s="29">
        <f>'Balance Sheet'!H35+'Balance Sheet'!I35</f>
        <v>5231</v>
      </c>
      <c r="H25" s="29">
        <f>'Balance Sheet'!I35+'Balance Sheet'!J35</f>
        <v>4319</v>
      </c>
      <c r="I25" s="29">
        <f>'Balance Sheet'!J35+'Balance Sheet'!K35</f>
        <v>8545</v>
      </c>
      <c r="J25" s="29">
        <f>'Balance Sheet'!K35+'Balance Sheet'!L35</f>
        <v>13706</v>
      </c>
      <c r="K25" s="29">
        <f>'Balance Sheet'!L35+'Balance Sheet'!M35</f>
        <v>16405</v>
      </c>
      <c r="L25" s="29">
        <f>'Balance Sheet'!M35+'Balance Sheet'!N35</f>
        <v>9487</v>
      </c>
    </row>
    <row r="26" spans="1:13" x14ac:dyDescent="0.35">
      <c r="A26">
        <f>A24/A25</f>
        <v>5.9091488277268089</v>
      </c>
      <c r="B26">
        <f t="shared" ref="B26:L26" si="3">B24/B25</f>
        <v>6.8632275793155131</v>
      </c>
      <c r="C26">
        <f t="shared" si="3"/>
        <v>11.977889260497957</v>
      </c>
      <c r="D26">
        <f t="shared" si="3"/>
        <v>11.520325203252032</v>
      </c>
      <c r="E26">
        <f t="shared" si="3"/>
        <v>9.1446808510638302</v>
      </c>
      <c r="F26">
        <f t="shared" si="3"/>
        <v>7.1675977653631282</v>
      </c>
      <c r="G26">
        <f t="shared" si="3"/>
        <v>7.7191741540814371</v>
      </c>
      <c r="H26">
        <f t="shared" si="3"/>
        <v>10.049316971521186</v>
      </c>
      <c r="I26">
        <f t="shared" si="3"/>
        <v>4.6269163253364542</v>
      </c>
      <c r="J26">
        <f t="shared" si="3"/>
        <v>5.0649350649350646</v>
      </c>
      <c r="K26">
        <f t="shared" si="3"/>
        <v>7.7744590064004875</v>
      </c>
      <c r="L26">
        <f t="shared" si="3"/>
        <v>10.16348687677875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6B3B-E1AA-439F-8631-D885CBA7A152}">
  <dimension ref="A20:A62"/>
  <sheetViews>
    <sheetView showGridLines="0" workbookViewId="0">
      <selection activeCell="E23" sqref="E23"/>
    </sheetView>
  </sheetViews>
  <sheetFormatPr defaultRowHeight="14.5" x14ac:dyDescent="0.35"/>
  <sheetData>
    <row r="20" spans="1:1" x14ac:dyDescent="0.35">
      <c r="A20" s="30" t="s">
        <v>137</v>
      </c>
    </row>
    <row r="21" spans="1:1" x14ac:dyDescent="0.35">
      <c r="A21" s="31"/>
    </row>
    <row r="22" spans="1:1" x14ac:dyDescent="0.35">
      <c r="A22" s="32" t="s">
        <v>138</v>
      </c>
    </row>
    <row r="23" spans="1:1" x14ac:dyDescent="0.35">
      <c r="A23" s="31"/>
    </row>
    <row r="24" spans="1:1" x14ac:dyDescent="0.35">
      <c r="A24" s="31"/>
    </row>
    <row r="25" spans="1:1" x14ac:dyDescent="0.35">
      <c r="A25" s="33" t="s">
        <v>139</v>
      </c>
    </row>
    <row r="26" spans="1:1" x14ac:dyDescent="0.35">
      <c r="A26" s="33" t="s">
        <v>140</v>
      </c>
    </row>
    <row r="27" spans="1:1" x14ac:dyDescent="0.35">
      <c r="A27" s="33" t="s">
        <v>141</v>
      </c>
    </row>
    <row r="28" spans="1:1" x14ac:dyDescent="0.35">
      <c r="A28" s="33" t="s">
        <v>142</v>
      </c>
    </row>
    <row r="29" spans="1:1" x14ac:dyDescent="0.35">
      <c r="A29" s="31"/>
    </row>
    <row r="30" spans="1:1" x14ac:dyDescent="0.35">
      <c r="A30" s="32" t="s">
        <v>143</v>
      </c>
    </row>
    <row r="31" spans="1:1" x14ac:dyDescent="0.35">
      <c r="A31" s="31"/>
    </row>
    <row r="32" spans="1:1" x14ac:dyDescent="0.35">
      <c r="A32" s="31"/>
    </row>
    <row r="33" spans="1:1" x14ac:dyDescent="0.35">
      <c r="A33" s="33" t="s">
        <v>144</v>
      </c>
    </row>
    <row r="34" spans="1:1" x14ac:dyDescent="0.35">
      <c r="A34" s="33" t="s">
        <v>145</v>
      </c>
    </row>
    <row r="35" spans="1:1" x14ac:dyDescent="0.35">
      <c r="A35" s="31"/>
    </row>
    <row r="36" spans="1:1" x14ac:dyDescent="0.35">
      <c r="A36" s="32" t="s">
        <v>146</v>
      </c>
    </row>
    <row r="37" spans="1:1" x14ac:dyDescent="0.35">
      <c r="A37" s="31"/>
    </row>
    <row r="38" spans="1:1" x14ac:dyDescent="0.35">
      <c r="A38" s="31"/>
    </row>
    <row r="39" spans="1:1" x14ac:dyDescent="0.35">
      <c r="A39" s="33" t="s">
        <v>147</v>
      </c>
    </row>
    <row r="40" spans="1:1" x14ac:dyDescent="0.35">
      <c r="A40" s="33" t="s">
        <v>148</v>
      </c>
    </row>
    <row r="41" spans="1:1" x14ac:dyDescent="0.35">
      <c r="A41" s="33" t="s">
        <v>149</v>
      </c>
    </row>
    <row r="42" spans="1:1" x14ac:dyDescent="0.35">
      <c r="A42" s="33" t="s">
        <v>150</v>
      </c>
    </row>
    <row r="43" spans="1:1" x14ac:dyDescent="0.35">
      <c r="A43" s="31"/>
    </row>
    <row r="44" spans="1:1" x14ac:dyDescent="0.35">
      <c r="A44" s="32" t="s">
        <v>151</v>
      </c>
    </row>
    <row r="45" spans="1:1" x14ac:dyDescent="0.35">
      <c r="A45" s="31"/>
    </row>
    <row r="46" spans="1:1" x14ac:dyDescent="0.35">
      <c r="A46" s="31"/>
    </row>
    <row r="47" spans="1:1" x14ac:dyDescent="0.35">
      <c r="A47" s="33" t="s">
        <v>152</v>
      </c>
    </row>
    <row r="48" spans="1:1" x14ac:dyDescent="0.35">
      <c r="A48" s="33" t="s">
        <v>153</v>
      </c>
    </row>
    <row r="50" spans="1:1" x14ac:dyDescent="0.35">
      <c r="A50" s="30" t="s">
        <v>154</v>
      </c>
    </row>
    <row r="52" spans="1:1" x14ac:dyDescent="0.35">
      <c r="A52" t="s">
        <v>155</v>
      </c>
    </row>
    <row r="53" spans="1:1" x14ac:dyDescent="0.35">
      <c r="A53" s="31"/>
    </row>
    <row r="54" spans="1:1" x14ac:dyDescent="0.35">
      <c r="A54" s="32" t="s">
        <v>156</v>
      </c>
    </row>
    <row r="55" spans="1:1" x14ac:dyDescent="0.35">
      <c r="A55" s="32" t="s">
        <v>157</v>
      </c>
    </row>
    <row r="56" spans="1:1" x14ac:dyDescent="0.35">
      <c r="A56" s="32" t="s">
        <v>158</v>
      </c>
    </row>
    <row r="57" spans="1:1" x14ac:dyDescent="0.35">
      <c r="A57" s="32" t="s">
        <v>159</v>
      </c>
    </row>
    <row r="59" spans="1:1" x14ac:dyDescent="0.35">
      <c r="A59" s="30" t="s">
        <v>160</v>
      </c>
    </row>
    <row r="60" spans="1:1" x14ac:dyDescent="0.35">
      <c r="A60" s="31"/>
    </row>
    <row r="61" spans="1:1" x14ac:dyDescent="0.35">
      <c r="A61" s="32" t="s">
        <v>161</v>
      </c>
    </row>
    <row r="62" spans="1:1" x14ac:dyDescent="0.35">
      <c r="A62" s="32" t="s">
        <v>162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G A A B Q S w M E F A A C A A g A N a B 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W g 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o E x a r L + G N R c D A A B u F g A A E w A c A E Z v c m 1 1 b G F z L 1 N l Y 3 R p b 2 4 x L m 0 g o h g A K K A U A A A A A A A A A A A A A A A A A A A A A A A A A A A A 1 Z d t b 9 o w E M f f I / E d r F T T Y C I G 8 0 w r J l H K V K S V M o g 6 T V V f u I k p 0 Z w 4 s k 1 p V f W 7 z 4 F u r V u 7 a t G i Z U g Q c W f 7 9 7 c d n + 8 E 8 W X I Y j D f P t F B s V A s i C X m J A B 7 j o c v K Q H I A X 1 A i S w W g P r M 2 Y r 7 R F m + k 0 t 4 y N l a E D 5 k s S S x F C V n K W U i 9 q v V 9 X o N h c 8 J i Q m H Y V z 1 W Z T g + L Y 6 O B p M x q O J p w y x Y D Q M s C R B 1 S l X t o P v O a M b y b G v j G A L / 8 J Z B I 5 l R F M R 6 R N u 7 K W t j A q 4 u 3 O G j K 6 i G D k V 4 H i D w 6 8 j q A b F r k y b Q U l u p B u z N c c J F J K H C Q l g h P l P 9 z o U o a L A m L l K J 6 P U 5 e H V U o L P 4 J P 6 e j P 1 s x / L p e s v Q x q U U N m 5 V 6 w H V D 1 L V F 1 D N b J E N T R U M 0 t U U 0 O 1 s k S 1 N F Q 7 S 1 R b Q 3 W y R H U 0 V D d L V F d D 9 b J E 9 T Q U q m V 6 h m s 6 L N u A k U Y M R T u f s f W c U B V d G e / / R Z p z 8 R g y p y p E s j R i H h M c E C 7 S S L k J k v D B 8 2 A v v R Z d l d S H 1 g N K 5 z 6 m m I u + 5 C v y B D R c 4 v g q 7 X u b k E e I x 3 E s F o x H 2 3 V N n S n q h a q K C t V z O G F Q s c a x b D d h 2 n S z I x M c E W W V 6 j 9 I l 2 S 7 T S f T v R J d l M G L z 0 z A 3 6 3 j V X R J + K b 9 t D o y W E 8 w B 0 O c 2 E c a c t N g R + E 1 + E E D S 7 c P h h 6 T K f g m + X s 5 q g t Q K 7 U I J T j D t t 4 m 3 B x T I n Y l b j u / D z g 7 H Y 7 e 2 P y + X C y E s f G t M e U X j f 8 n v 5 i P h t 7 4 d H I e B v 2 P y W b b X M q E + H i h D u X R + A x y I h I F D q + J u 2 R U v f Z w E a q z 6 2 M e u O s w k E v t 9 k 1 P 8 v O I 8 G S E J 8 H h 7 W l J z h Q a s p m c K T Q k Q T l T a M i d c q b Q k H L l T K E h U 8 u Z Q k O C l z O F h r w w Z w p N 6 W T O J B q z 0 L x p 1 O 8 V l M e L B e k 3 C 8 r j 1 Y L 0 u w X l 8 X J B T V O h 8 s 9 F O r u W H a 9 U O F o q 9 6 z W + J N A m e w N i 7 1 p s b c s 9 r b F 3 r H Y u x Z 7 z 2 L f B D y j w z Z j Z J s y s s 0 Z 6 Z O + 3 6 k M 1 X b 0 v Z U n 2 q 3 0 f D G f t D K s 1 x 4 n + q x o V K 6 m 3 d W y u 9 p 2 V 8 f u 6 t p d P a u r X r O 7 k N 1 V t 7 v s q 1 E 3 r Y b n n b y 5 9 k P O w S 9 Q S w E C L Q A U A A I A C A A 1 o E x a N u M / H 6 U A A A D 3 A A A A E g A A A A A A A A A A A A A A A A A A A A A A Q 2 9 u Z m l n L 1 B h Y 2 t h Z 2 U u e G 1 s U E s B A i 0 A F A A C A A g A N a B M W g / K 6 a u k A A A A 6 Q A A A B M A A A A A A A A A A A A A A A A A 8 Q A A A F t D b 2 5 0 Z W 5 0 X 1 R 5 c G V z X S 5 4 b W x Q S w E C L Q A U A A I A C A A 1 o E x a r L + G N R c D A A B u F g A A E w A A A A A A A A A A A A A A A A D i A Q A A R m 9 y b X V s Y X M v U 2 V j d G l v b j E u b V B L B Q Y A A A A A A w A D A M I A A A B 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I Q A A A A A A A B A 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R d W V y e U l E I i B W Y W x 1 Z T 0 i c z I 1 Y z B h M T Z m L T I w M G Y t N D A z Z S 1 i Y z E w L W M 0 N T A 3 O D N h M D R l M 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Z p b G x U Y X J n Z X Q i I F Z h b H V l P S J z V G F i b G V f 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1 L T A y L T E y V D E 0 O j M w O j Q 5 L j M x N z A 1 N z d a I i A v P j x F b n R y e S B U e X B l P S J G a W x s Q 2 9 s d W 1 u V H l w Z X M i I F Z h b H V l P S J z Q X d Z R k J R V U Z C U V V G Q l F V P S I g L z 4 8 R W 5 0 c n k g V H l w Z T 0 i R m l s b E N v b H V t b k 5 h b W V z I i B W Y W x 1 Z T 0 i c 1 s m c X V v d D t T L k 5 v L i Z x d W 9 0 O y w m c X V v d D t O Y W 1 l J n F 1 b 3 Q 7 L C Z x d W 9 0 O 0 N N U F x u I C A g I C A g I C A g I C A g I C A g I C A g U n M u J n F 1 b 3 Q 7 L C Z x d W 9 0 O 1 A v R S Z x d W 9 0 O y w m c X V v d D t N Y X I g Q 2 F w X G 4 g I C A g I C A g I C A g I C A g I C A g I C B S c y 5 D c i 4 m c X V v d D s s J n F 1 b 3 Q 7 R G l 2 I F l s Z F x u I C A g I C A g I C A g I C A g I C A g I C A g J S Z x d W 9 0 O y w m c X V v d D t O U C B R d H J c b i A g I C A g I C A g I C A g I C A g I C A g I F J z L k N y L i Z x d W 9 0 O y w m c X V v d D t R d H I g U H J v Z m l 0 I F Z h c l x u I C A g I C A g I C A g I C A g I C A g I C A g J S Z x d W 9 0 O y w m c X V v d D t T Y W x l c y B R d H J c b i A g I C A g I C A g I C A g I C A g I C A g I F J z L k N y L i Z x d W 9 0 O y w m c X V v d D t R d H I g U 2 F s Z X M g V m F y X G 4 g I C A g I C A g I C A g I C A g I C A g I C A l J n F 1 b 3 Q 7 L C Z x d W 9 0 O 1 J P Q 0 V c b i A g I C A g I C A g I C A g I C A g I C A g I C 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S 9 B d X R v U m V t b 3 Z l Z E N v b H V t b n M x L n t T L k 5 v L i w w f S Z x d W 9 0 O y w m c X V v d D t T Z W N 0 a W 9 u M S 9 U Y W J s Z S A x L 0 F 1 d G 9 S Z W 1 v d m V k Q 2 9 s d W 1 u c z E u e 0 5 h b W U s M X 0 m c X V v d D s s J n F 1 b 3 Q 7 U 2 V j d G l v b j E v V G F i b G U g M S 9 B d X R v U m V t b 3 Z l Z E N v b H V t b n M x L n t D T V B c b i A g I C A g I C A g I C A g I C A g I C A g I F J z L i w y f S Z x d W 9 0 O y w m c X V v d D t T Z W N 0 a W 9 u M S 9 U Y W J s Z S A x L 0 F 1 d G 9 S Z W 1 v d m V k Q 2 9 s d W 1 u c z E u e 1 A v R S w z f S Z x d W 9 0 O y w m c X V v d D t T Z W N 0 a W 9 u M S 9 U Y W J s Z S A x L 0 F 1 d G 9 S Z W 1 v d m V k Q 2 9 s d W 1 u c z E u e 0 1 h c i B D Y X B c b i A g I C A g I C A g I C A g I C A g I C A g I F J z L k N y L i w 0 f S Z x d W 9 0 O y w m c X V v d D t T Z W N 0 a W 9 u M S 9 U Y W J s Z S A x L 0 F 1 d G 9 S Z W 1 v d m V k Q 2 9 s d W 1 u c z E u e 0 R p d i B Z b G R c b i A g I C A g I C A g I C A g I C A g I C A g I C U s N X 0 m c X V v d D s s J n F 1 b 3 Q 7 U 2 V j d G l v b j E v V G F i b G U g M S 9 B d X R v U m V t b 3 Z l Z E N v b H V t b n M x L n t O U C B R d H J c b i A g I C A g I C A g I C A g I C A g I C A g I F J z L k N y L i w 2 f S Z x d W 9 0 O y w m c X V v d D t T Z W N 0 a W 9 u M S 9 U Y W J s Z S A x L 0 F 1 d G 9 S Z W 1 v d m V k Q 2 9 s d W 1 u c z E u e 1 F 0 c i B Q c m 9 m a X Q g V m F y X G 4 g I C A g I C A g I C A g I C A g I C A g I C A l L D d 9 J n F 1 b 3 Q 7 L C Z x d W 9 0 O 1 N l Y 3 R p b 2 4 x L 1 R h Y m x l I D E v Q X V 0 b 1 J l b W 9 2 Z W R D b 2 x 1 b W 5 z M S 5 7 U 2 F s Z X M g U X R y X G 4 g I C A g I C A g I C A g I C A g I C A g I C B S c y 5 D c i 4 s O H 0 m c X V v d D s s J n F 1 b 3 Q 7 U 2 V j d G l v b j E v V G F i b G U g M S 9 B d X R v U m V t b 3 Z l Z E N v b H V t b n M x L n t R d H I g U 2 F s Z X M g V m F y X G 4 g I C A g I C A g I C A g I C A g I C A g I C A l L D l 9 J n F 1 b 3 Q 7 L C Z x d W 9 0 O 1 N l Y 3 R p b 2 4 x L 1 R h Y m x l I D E v Q X V 0 b 1 J l b W 9 2 Z W R D b 2 x 1 b W 5 z M S 5 7 U k 9 D R V x u I C A g I C A g I C A g I C A g I C A g I C A g J S w x M H 0 m c X V v d D t d L C Z x d W 9 0 O 0 N v b H V t b k N v d W 5 0 J n F 1 b 3 Q 7 O j E x L C Z x d W 9 0 O 0 t l e U N v b H V t b k 5 h b W V z J n F 1 b 3 Q 7 O l t d L C Z x d W 9 0 O 0 N v b H V t b k l k Z W 5 0 a X R p Z X M m c X V v d D s 6 W y Z x d W 9 0 O 1 N l Y 3 R p b 2 4 x L 1 R h Y m x l I D E v Q X V 0 b 1 J l b W 9 2 Z W R D b 2 x 1 b W 5 z M S 5 7 U y 5 O b y 4 s M H 0 m c X V v d D s s J n F 1 b 3 Q 7 U 2 V j d G l v b j E v V G F i b G U g M S 9 B d X R v U m V t b 3 Z l Z E N v b H V t b n M x L n t O Y W 1 l L D F 9 J n F 1 b 3 Q 7 L C Z x d W 9 0 O 1 N l Y 3 R p b 2 4 x L 1 R h Y m x l I D E v Q X V 0 b 1 J l b W 9 2 Z W R D b 2 x 1 b W 5 z M S 5 7 Q 0 1 Q X G 4 g I C A g I C A g I C A g I C A g I C A g I C B S c y 4 s M n 0 m c X V v d D s s J n F 1 b 3 Q 7 U 2 V j d G l v b j E v V G F i b G U g M S 9 B d X R v U m V t b 3 Z l Z E N v b H V t b n M x L n t Q L 0 U s M 3 0 m c X V v d D s s J n F 1 b 3 Q 7 U 2 V j d G l v b j E v V G F i b G U g M S 9 B d X R v U m V t b 3 Z l Z E N v b H V t b n M x L n t N Y X I g Q 2 F w X G 4 g I C A g I C A g I C A g I C A g I C A g I C B S c y 5 D c i 4 s N H 0 m c X V v d D s s J n F 1 b 3 Q 7 U 2 V j d G l v b j E v V G F i b G U g M S 9 B d X R v U m V t b 3 Z l Z E N v b H V t b n M x L n t E a X Y g W W x k X G 4 g I C A g I C A g I C A g I C A g I C A g I C A l L D V 9 J n F 1 b 3 Q 7 L C Z x d W 9 0 O 1 N l Y 3 R p b 2 4 x L 1 R h Y m x l I D E v Q X V 0 b 1 J l b W 9 2 Z W R D b 2 x 1 b W 5 z M S 5 7 T l A g U X R y X G 4 g I C A g I C A g I C A g I C A g I C A g I C B S c y 5 D c i 4 s N n 0 m c X V v d D s s J n F 1 b 3 Q 7 U 2 V j d G l v b j E v V G F i b G U g M S 9 B d X R v U m V t b 3 Z l Z E N v b H V t b n M x L n t R d H I g U H J v Z m l 0 I F Z h c l x u I C A g I C A g I C A g I C A g I C A g I C A g J S w 3 f S Z x d W 9 0 O y w m c X V v d D t T Z W N 0 a W 9 u M S 9 U Y W J s Z S A x L 0 F 1 d G 9 S Z W 1 v d m V k Q 2 9 s d W 1 u c z E u e 1 N h b G V z I F F 0 c l x u I C A g I C A g I C A g I C A g I C A g I C A g U n M u Q 3 I u L D h 9 J n F 1 b 3 Q 7 L C Z x d W 9 0 O 1 N l Y 3 R p b 2 4 x L 1 R h Y m x l I D E v Q X V 0 b 1 J l b W 9 2 Z W R D b 2 x 1 b W 5 z M S 5 7 U X R y I F N h b G V z I F Z h c l x u I C A g I C A g I C A g I C A g I C A g I C A g J S w 5 f S Z x d W 9 0 O y w m c X V v d D t T Z W N 0 a W 9 u M S 9 U Y W J s Z S A x L 0 F 1 d G 9 S Z W 1 v d m V k Q 2 9 s d W 1 u c z E u e 1 J P Q 0 V c b i A g I C A g I C A g I C A g I C A g I C A g I C U s M T B 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z P C 9 J d G V t U G F 0 a D 4 8 L 0 l 0 Z W 1 M b 2 N h d G l v b j 4 8 U 3 R h Y m x l R W 5 0 c m l l c z 4 8 R W 5 0 c n k g V H l w Z T 0 i U X V l c n l J R C I g V m F s d W U 9 I n M 1 N j R i N j B k M C 0 1 M G I w L T R l M z U t Y j g x M S 0 1 M G M 4 M m M 2 Z G Q 4 Z W I 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z 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A y L T E y V D E 0 O j M x O j Q z L j g y N D k z N j F a I i A v P j x F b n R y e S B U e X B l P S J G a W x s Q 2 9 s d W 1 u V H l w Z X M i I F Z h b H V l P S J z Q m d V R k J R V U Z C U V V G Q l F V R k J R V T 0 i I C 8 + P E V u d H J 5 I F R 5 c G U 9 I k Z p b G x D b 2 x 1 b W 5 O Y W 1 l c y I g V m F s d W U 9 I n N b J n F 1 b 3 Q 7 Q 2 9 s d W 1 u M S Z x d W 9 0 O y w m c X V v d D t N Y X I g M j A x M y Z x d W 9 0 O y w m c X V v d D t N Y X I g M j A x N C Z x d W 9 0 O y w m c X V v d D t N Y X I g M j A x N S Z x d W 9 0 O y w m c X V v d D t N Y X I g M j A x N i Z x d W 9 0 O y w m c X V v d D t N Y X I g M j A x N y Z x d W 9 0 O y w m c X V v d D t N Y X I g M j A x O C Z x d W 9 0 O y w m c X V v d D t N Y X I g M j A x O S Z x d W 9 0 O y w m c X V v d D t N Y X I g M j A y M C Z x d W 9 0 O y w m c X V v d D t N Y X I g M j A y M S Z x d W 9 0 O y w m c X V v d D t N Y X I g M j A y M i Z x d W 9 0 O y w m c X V v d D t N Y X I g M j A y M y Z x d W 9 0 O y w m c X V v d D t N Y X I g M j A y N C Z x d W 9 0 O y w m c X V v d D t U V E 0 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g M y 9 B d X R v U m V t b 3 Z l Z E N v b H V t b n M x L n t D b 2 x 1 b W 4 x L D B 9 J n F 1 b 3 Q 7 L C Z x d W 9 0 O 1 N l Y 3 R p b 2 4 x L 1 R h Y m x l I D M v Q X V 0 b 1 J l b W 9 2 Z W R D b 2 x 1 b W 5 z M S 5 7 T W F y I D I w M T M s M X 0 m c X V v d D s s J n F 1 b 3 Q 7 U 2 V j d G l v b j E v V G F i b G U g M y 9 B d X R v U m V t b 3 Z l Z E N v b H V t b n M x L n t N Y X I g M j A x N C w y f S Z x d W 9 0 O y w m c X V v d D t T Z W N 0 a W 9 u M S 9 U Y W J s Z S A z L 0 F 1 d G 9 S Z W 1 v d m V k Q 2 9 s d W 1 u c z E u e 0 1 h c i A y M D E 1 L D N 9 J n F 1 b 3 Q 7 L C Z x d W 9 0 O 1 N l Y 3 R p b 2 4 x L 1 R h Y m x l I D M v Q X V 0 b 1 J l b W 9 2 Z W R D b 2 x 1 b W 5 z M S 5 7 T W F y I D I w M T Y s N H 0 m c X V v d D s s J n F 1 b 3 Q 7 U 2 V j d G l v b j E v V G F i b G U g M y 9 B d X R v U m V t b 3 Z l Z E N v b H V t b n M x L n t N Y X I g M j A x N y w 1 f S Z x d W 9 0 O y w m c X V v d D t T Z W N 0 a W 9 u M S 9 U Y W J s Z S A z L 0 F 1 d G 9 S Z W 1 v d m V k Q 2 9 s d W 1 u c z E u e 0 1 h c i A y M D E 4 L D Z 9 J n F 1 b 3 Q 7 L C Z x d W 9 0 O 1 N l Y 3 R p b 2 4 x L 1 R h Y m x l I D M v Q X V 0 b 1 J l b W 9 2 Z W R D b 2 x 1 b W 5 z M S 5 7 T W F y I D I w M T k s N 3 0 m c X V v d D s s J n F 1 b 3 Q 7 U 2 V j d G l v b j E v V G F i b G U g M y 9 B d X R v U m V t b 3 Z l Z E N v b H V t b n M x L n t N Y X I g M j A y M C w 4 f S Z x d W 9 0 O y w m c X V v d D t T Z W N 0 a W 9 u M S 9 U Y W J s Z S A z L 0 F 1 d G 9 S Z W 1 v d m V k Q 2 9 s d W 1 u c z E u e 0 1 h c i A y M D I x L D l 9 J n F 1 b 3 Q 7 L C Z x d W 9 0 O 1 N l Y 3 R p b 2 4 x L 1 R h Y m x l I D M v Q X V 0 b 1 J l b W 9 2 Z W R D b 2 x 1 b W 5 z M S 5 7 T W F y I D I w M j I s M T B 9 J n F 1 b 3 Q 7 L C Z x d W 9 0 O 1 N l Y 3 R p b 2 4 x L 1 R h Y m x l I D M v Q X V 0 b 1 J l b W 9 2 Z W R D b 2 x 1 b W 5 z M S 5 7 T W F y I D I w M j M s M T F 9 J n F 1 b 3 Q 7 L C Z x d W 9 0 O 1 N l Y 3 R p b 2 4 x L 1 R h Y m x l I D M v Q X V 0 b 1 J l b W 9 2 Z W R D b 2 x 1 b W 5 z M S 5 7 T W F y I D I w M j Q s M T J 9 J n F 1 b 3 Q 7 L C Z x d W 9 0 O 1 N l Y 3 R p b 2 4 x L 1 R h Y m x l I D M v Q X V 0 b 1 J l b W 9 2 Z W R D b 2 x 1 b W 5 z M S 5 7 V F R N L D E z f S Z x d W 9 0 O 1 0 s J n F 1 b 3 Q 7 Q 2 9 s d W 1 u Q 2 9 1 b n Q m c X V v d D s 6 M T Q s J n F 1 b 3 Q 7 S 2 V 5 Q 2 9 s d W 1 u T m F t Z X M m c X V v d D s 6 W 1 0 s J n F 1 b 3 Q 7 Q 2 9 s d W 1 u S W R l b n R p d G l l c y Z x d W 9 0 O z p b J n F 1 b 3 Q 7 U 2 V j d G l v b j E v V G F i b G U g M y 9 B d X R v U m V t b 3 Z l Z E N v b H V t b n M x L n t D b 2 x 1 b W 4 x L D B 9 J n F 1 b 3 Q 7 L C Z x d W 9 0 O 1 N l Y 3 R p b 2 4 x L 1 R h Y m x l I D M v Q X V 0 b 1 J l b W 9 2 Z W R D b 2 x 1 b W 5 z M S 5 7 T W F y I D I w M T M s M X 0 m c X V v d D s s J n F 1 b 3 Q 7 U 2 V j d G l v b j E v V G F i b G U g M y 9 B d X R v U m V t b 3 Z l Z E N v b H V t b n M x L n t N Y X I g M j A x N C w y f S Z x d W 9 0 O y w m c X V v d D t T Z W N 0 a W 9 u M S 9 U Y W J s Z S A z L 0 F 1 d G 9 S Z W 1 v d m V k Q 2 9 s d W 1 u c z E u e 0 1 h c i A y M D E 1 L D N 9 J n F 1 b 3 Q 7 L C Z x d W 9 0 O 1 N l Y 3 R p b 2 4 x L 1 R h Y m x l I D M v Q X V 0 b 1 J l b W 9 2 Z W R D b 2 x 1 b W 5 z M S 5 7 T W F y I D I w M T Y s N H 0 m c X V v d D s s J n F 1 b 3 Q 7 U 2 V j d G l v b j E v V G F i b G U g M y 9 B d X R v U m V t b 3 Z l Z E N v b H V t b n M x L n t N Y X I g M j A x N y w 1 f S Z x d W 9 0 O y w m c X V v d D t T Z W N 0 a W 9 u M S 9 U Y W J s Z S A z L 0 F 1 d G 9 S Z W 1 v d m V k Q 2 9 s d W 1 u c z E u e 0 1 h c i A y M D E 4 L D Z 9 J n F 1 b 3 Q 7 L C Z x d W 9 0 O 1 N l Y 3 R p b 2 4 x L 1 R h Y m x l I D M v Q X V 0 b 1 J l b W 9 2 Z W R D b 2 x 1 b W 5 z M S 5 7 T W F y I D I w M T k s N 3 0 m c X V v d D s s J n F 1 b 3 Q 7 U 2 V j d G l v b j E v V G F i b G U g M y 9 B d X R v U m V t b 3 Z l Z E N v b H V t b n M x L n t N Y X I g M j A y M C w 4 f S Z x d W 9 0 O y w m c X V v d D t T Z W N 0 a W 9 u M S 9 U Y W J s Z S A z L 0 F 1 d G 9 S Z W 1 v d m V k Q 2 9 s d W 1 u c z E u e 0 1 h c i A y M D I x L D l 9 J n F 1 b 3 Q 7 L C Z x d W 9 0 O 1 N l Y 3 R p b 2 4 x L 1 R h Y m x l I D M v Q X V 0 b 1 J l b W 9 2 Z W R D b 2 x 1 b W 5 z M S 5 7 T W F y I D I w M j I s M T B 9 J n F 1 b 3 Q 7 L C Z x d W 9 0 O 1 N l Y 3 R p b 2 4 x L 1 R h Y m x l I D M v Q X V 0 b 1 J l b W 9 2 Z W R D b 2 x 1 b W 5 z M S 5 7 T W F y I D I w M j M s M T F 9 J n F 1 b 3 Q 7 L C Z x d W 9 0 O 1 N l Y 3 R p b 2 4 x L 1 R h Y m x l I D M v Q X V 0 b 1 J l b W 9 2 Z W R D b 2 x 1 b W 5 z M S 5 7 T W F y I D I w M j Q s M T J 9 J n F 1 b 3 Q 7 L C Z x d W 9 0 O 1 N l Y 3 R p b 2 4 x L 1 R h Y m x l I D M v Q X V 0 b 1 J l b W 9 2 Z W R D b 2 x 1 b W 5 z M S 5 7 V F R N L D E z f S Z x d W 9 0 O 1 0 s J n F 1 b 3 Q 7 U m V s Y X R p b 2 5 z a G l w S W 5 m b y Z x d W 9 0 O z p b X X 0 i I C 8 + P C 9 T d G F i b G V F b n R y a W V z P j w v S X R l b T 4 8 S X R l b T 4 8 S X R l b U x v Y 2 F 0 a W 9 u P j x J d G V t V H l w Z T 5 G b 3 J t d W x h P C 9 J d G V t V H l w Z T 4 8 S X R l b V B h d G g + U 2 V j d G l v b j E v V G F i b G U l M j A z L 1 N v d X J j Z T w v S X R l b V B h d G g + P C 9 J d G V t T G 9 j Y X R p b 2 4 + P F N 0 Y W J s Z U V u d H J p Z X M g L z 4 8 L 0 l 0 Z W 0 + P E l 0 Z W 0 + P E l 0 Z W 1 M b 2 N h d G l v b j 4 8 S X R l b V R 5 c G U + R m 9 y b X V s Y T w v S X R l b V R 5 c G U + P E l 0 Z W 1 Q Y X R o P l N l Y 3 R p b 2 4 x L 1 R h Y m x l J T I w M y 9 F e H R y Y W N 0 Z W Q l M j B U Y W J s Z S U y M E Z y b 2 0 l M j B I d G 1 s P C 9 J d G V t U G F 0 a D 4 8 L 0 l 0 Z W 1 M b 2 N h d G l v b j 4 8 U 3 R h Y m x l R W 5 0 c m l l c y A v P j w v S X R l b T 4 8 S X R l b T 4 8 S X R l b U x v Y 2 F 0 a W 9 u P j x J d G V t V H l w Z T 5 G b 3 J t d W x h P C 9 J d G V t V H l w Z T 4 8 S X R l b V B h d G g + U 2 V j d G l v b j E v V G F i b G U l M j A z L 0 N o Y W 5 n Z W Q l M j B U e X B l P C 9 J d G V t U G F 0 a D 4 8 L 0 l 0 Z W 1 M b 2 N h d G l v b j 4 8 U 3 R h Y m x l R W 5 0 c m l l c y A v P j w v S X R l b T 4 8 S X R l b T 4 8 S X R l b U x v Y 2 F 0 a W 9 u P j x J d G V t V H l w Z T 5 G b 3 J t d W x h P C 9 J d G V t V H l w Z T 4 8 S X R l b V B h d G g + U 2 V j d G l v b j E v V G F i b G U l M j A z L 1 B y b 2 1 v d G V k J T I w S G V h Z G V y c z w v S X R l b V B h d G g + P C 9 J d G V t T G 9 j Y X R p b 2 4 + P F N 0 Y W J s Z U V u d H J p Z X M g L z 4 8 L 0 l 0 Z W 0 + P E l 0 Z W 0 + P E l 0 Z W 1 M b 2 N h d G l v b j 4 8 S X R l b V R 5 c G U + R m 9 y b X V s Y T w v S X R l b V R 5 c G U + P E l 0 Z W 1 Q Y X R o P l N l Y 3 R p b 2 4 x L 1 R h Y m x l J T I w M y 9 D a G F u Z 2 V k J T I w V H l w Z T E 8 L 0 l 0 Z W 1 Q Y X R o P j w v S X R l b U x v Y 2 F 0 a W 9 u P j x T d G F i b G V F b n R y a W V z I C 8 + P C 9 J d G V t P j w v S X R l b X M + P C 9 M b 2 N h b F B h Y 2 t h Z 2 V N Z X R h Z G F 0 Y U Z p b G U + F g A A A F B L B Q Y A A A A A A A A A A A A A A A A A A A A A A A A m A Q A A A Q A A A N C M n d 8 B F d E R j H o A w E / C l + s B A A A A e E S m 1 Z 1 c 0 U W C w d 4 Y 3 j Q L 6 Q A A A A A C A A A A A A A Q Z g A A A A E A A C A A A A C 5 8 v o a o 0 8 c U 0 K G 7 Y 8 Z t U R g N 9 Y j 4 u 3 w S U u b D 9 q k f k j T + Q A A A A A O g A A A A A I A A C A A A A A 1 M u W f Y o I U I T u B R Z / W 0 o z I H Q a c + 8 V T s s 6 h E d 1 f 7 M k G X 1 A A A A D 1 J n y b G Z T f p h k l B I s 1 f f Z n T a S V c s Y Z 2 c a v 8 X J s v G P T 8 3 R u a U f 8 J u n U L k 7 W R f a V Z D u N 1 x 1 8 3 T e 6 8 W e 8 S k r R + r S g d A I m o e I m O e E q 1 c s 9 J + J v + k A A A A A P k X 0 e W C u h 7 L m B N N K R q L 5 6 f T j C 2 n 9 8 C E 8 E V T 7 J n U W 9 + Q 5 1 K Y v 9 B w y s y B k Q a r 6 i J 4 i r n G y r y V Q U 5 i u j F u r W T y / 8 < / D a t a M a s h u p > 
</file>

<file path=customXml/itemProps1.xml><?xml version="1.0" encoding="utf-8"?>
<ds:datastoreItem xmlns:ds="http://schemas.openxmlformats.org/officeDocument/2006/customXml" ds:itemID="{41582DC2-0011-4485-9AF8-7ADD633BB3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 COMPANY</vt:lpstr>
      <vt:lpstr>Peer Analysis</vt:lpstr>
      <vt:lpstr>Segment Wise Performance</vt:lpstr>
      <vt:lpstr>Geographical Revenue</vt:lpstr>
      <vt:lpstr>Income Statement</vt:lpstr>
      <vt:lpstr>Common size</vt:lpstr>
      <vt:lpstr>Balance Sheet</vt:lpstr>
      <vt:lpstr>Analysis</vt:lpstr>
      <vt:lpstr>ratio analysis</vt:lpstr>
      <vt:lpstr>EPS</vt:lpstr>
      <vt:lpstr>PL</vt:lpstr>
      <vt:lpstr>BS</vt:lpstr>
      <vt:lpstr>CASH FLOW</vt:lpstr>
      <vt:lpstr>CF</vt:lpstr>
      <vt:lpstr>Sales &amp; Profit</vt:lpstr>
      <vt:lpstr>ROE</vt:lpstr>
      <vt:lpstr>ICR</vt:lpstr>
      <vt:lpstr>EPS1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ANAND</dc:creator>
  <cp:lastModifiedBy>UTKARSH ANAND</cp:lastModifiedBy>
  <dcterms:created xsi:type="dcterms:W3CDTF">2025-02-12T14:29:18Z</dcterms:created>
  <dcterms:modified xsi:type="dcterms:W3CDTF">2025-02-12T17:33:41Z</dcterms:modified>
</cp:coreProperties>
</file>