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8_{F241FB08-57CB-451A-AC7F-8AE8CA75EB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&amp;S" sheetId="1" r:id="rId1"/>
    <sheet name="ratios" sheetId="2" r:id="rId2"/>
    <sheet name="cash flow " sheetId="3" r:id="rId3"/>
    <sheet name="24-25 SCENARIO ANALYSIS" sheetId="10" r:id="rId4"/>
    <sheet name="ASSUMPTIONS" sheetId="4" r:id="rId5"/>
    <sheet name="__scenarios" sheetId="5" state="hidden" r:id="rId6"/>
    <sheet name="DUOPOINT" sheetId="6" r:id="rId7"/>
    <sheet name="BS" sheetId="7" r:id="rId8"/>
    <sheet name="Scenario Summary" sheetId="8" r:id="rId9"/>
    <sheet name="Scenario Summary 2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6" l="1"/>
  <c r="E9" i="6"/>
  <c r="D9" i="6"/>
  <c r="C9" i="6"/>
  <c r="B9" i="6"/>
  <c r="F5" i="6"/>
  <c r="E5" i="6"/>
  <c r="D5" i="6"/>
  <c r="C5" i="6"/>
  <c r="B5" i="6"/>
  <c r="F4" i="6"/>
  <c r="E4" i="6"/>
  <c r="D4" i="6"/>
  <c r="C4" i="6"/>
  <c r="B4" i="6"/>
  <c r="B11" i="6" s="1"/>
  <c r="F3" i="6"/>
  <c r="F11" i="6" s="1"/>
  <c r="E3" i="6"/>
  <c r="E11" i="6" s="1"/>
  <c r="D3" i="6"/>
  <c r="D11" i="6" s="1"/>
  <c r="C3" i="6"/>
  <c r="C11" i="6" s="1"/>
  <c r="B3" i="6"/>
  <c r="C134" i="4"/>
  <c r="C133" i="4"/>
  <c r="C132" i="4"/>
  <c r="C114" i="4"/>
  <c r="C113" i="4"/>
  <c r="C112" i="4"/>
  <c r="C96" i="4"/>
  <c r="C95" i="4"/>
  <c r="C97" i="4" s="1"/>
  <c r="C81" i="4"/>
  <c r="C80" i="4"/>
  <c r="C82" i="4" s="1"/>
  <c r="H64" i="4"/>
  <c r="I64" i="4" s="1"/>
  <c r="J64" i="4" s="1"/>
  <c r="G63" i="4"/>
  <c r="G60" i="4"/>
  <c r="H60" i="4" s="1"/>
  <c r="G59" i="4"/>
  <c r="J56" i="4"/>
  <c r="I56" i="4"/>
  <c r="K56" i="4" s="1"/>
  <c r="H56" i="4"/>
  <c r="G56" i="4"/>
  <c r="G55" i="4"/>
  <c r="H55" i="4" s="1"/>
  <c r="I55" i="4" s="1"/>
  <c r="J55" i="4" s="1"/>
  <c r="I52" i="4"/>
  <c r="H52" i="4"/>
  <c r="G52" i="4"/>
  <c r="H51" i="4"/>
  <c r="I51" i="4" s="1"/>
  <c r="G51" i="4"/>
  <c r="H48" i="4"/>
  <c r="I48" i="4" s="1"/>
  <c r="G47" i="4"/>
  <c r="H44" i="4"/>
  <c r="N28" i="3"/>
  <c r="M28" i="3"/>
  <c r="L28" i="3"/>
  <c r="K28" i="3"/>
  <c r="J28" i="3"/>
  <c r="N27" i="3"/>
  <c r="M27" i="3"/>
  <c r="L27" i="3"/>
  <c r="K27" i="3"/>
  <c r="J27" i="3"/>
  <c r="N26" i="3"/>
  <c r="M26" i="3"/>
  <c r="L26" i="3"/>
  <c r="K26" i="3"/>
  <c r="J26" i="3"/>
  <c r="N25" i="3"/>
  <c r="M25" i="3"/>
  <c r="L25" i="3"/>
  <c r="K25" i="3"/>
  <c r="J25" i="3"/>
  <c r="N24" i="3"/>
  <c r="M24" i="3"/>
  <c r="L24" i="3"/>
  <c r="K24" i="3"/>
  <c r="J24" i="3"/>
  <c r="N23" i="3"/>
  <c r="M23" i="3"/>
  <c r="L23" i="3"/>
  <c r="K23" i="3"/>
  <c r="J23" i="3"/>
  <c r="N22" i="3"/>
  <c r="M22" i="3"/>
  <c r="N21" i="3"/>
  <c r="M21" i="3"/>
  <c r="L21" i="3"/>
  <c r="K21" i="3"/>
  <c r="J21" i="3"/>
  <c r="N16" i="3"/>
  <c r="M16" i="3"/>
  <c r="L16" i="3"/>
  <c r="K16" i="3"/>
  <c r="J16" i="3"/>
  <c r="N15" i="3"/>
  <c r="M15" i="3"/>
  <c r="L15" i="3"/>
  <c r="K15" i="3"/>
  <c r="J15" i="3"/>
  <c r="N14" i="3"/>
  <c r="M14" i="3"/>
  <c r="L14" i="3"/>
  <c r="K14" i="3"/>
  <c r="J14" i="3"/>
  <c r="F35" i="2"/>
  <c r="C35" i="2"/>
  <c r="B35" i="2"/>
  <c r="F21" i="2"/>
  <c r="E21" i="2"/>
  <c r="D21" i="2"/>
  <c r="C21" i="2"/>
  <c r="B21" i="2"/>
  <c r="F19" i="2"/>
  <c r="E19" i="2"/>
  <c r="D19" i="2"/>
  <c r="C19" i="2"/>
  <c r="B19" i="2"/>
  <c r="F16" i="2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N41" i="1"/>
  <c r="M41" i="1"/>
  <c r="N40" i="1"/>
  <c r="M40" i="1"/>
  <c r="L40" i="1"/>
  <c r="L41" i="1" s="1"/>
  <c r="K40" i="1"/>
  <c r="K41" i="1" s="1"/>
  <c r="J40" i="1"/>
  <c r="K37" i="1"/>
  <c r="N36" i="1"/>
  <c r="N37" i="1" s="1"/>
  <c r="M36" i="1"/>
  <c r="M37" i="1" s="1"/>
  <c r="L36" i="1"/>
  <c r="L22" i="3" s="1"/>
  <c r="K36" i="1"/>
  <c r="K22" i="3" s="1"/>
  <c r="J36" i="1"/>
  <c r="J22" i="3" s="1"/>
  <c r="M33" i="1"/>
  <c r="N32" i="1"/>
  <c r="N33" i="1" s="1"/>
  <c r="M32" i="1"/>
  <c r="L32" i="1"/>
  <c r="K32" i="1"/>
  <c r="L33" i="1" s="1"/>
  <c r="J32" i="1"/>
  <c r="K33" i="1" s="1"/>
  <c r="N28" i="1"/>
  <c r="M28" i="1"/>
  <c r="N29" i="1" s="1"/>
  <c r="L28" i="1"/>
  <c r="M29" i="1" s="1"/>
  <c r="K28" i="1"/>
  <c r="K29" i="1" s="1"/>
  <c r="J28" i="1"/>
  <c r="N24" i="1"/>
  <c r="F26" i="2" s="1"/>
  <c r="F27" i="2" s="1"/>
  <c r="M24" i="1"/>
  <c r="M25" i="1" s="1"/>
  <c r="L24" i="1"/>
  <c r="L25" i="1" s="1"/>
  <c r="K24" i="1"/>
  <c r="C26" i="2" s="1"/>
  <c r="C27" i="2" s="1"/>
  <c r="J24" i="1"/>
  <c r="B26" i="2" s="1"/>
  <c r="B27" i="2" s="1"/>
  <c r="N23" i="1"/>
  <c r="N22" i="1"/>
  <c r="M22" i="1"/>
  <c r="M23" i="1" s="1"/>
  <c r="L22" i="1"/>
  <c r="L23" i="1" s="1"/>
  <c r="K22" i="1"/>
  <c r="K23" i="1" s="1"/>
  <c r="J22" i="1"/>
  <c r="K21" i="1"/>
  <c r="N20" i="1"/>
  <c r="N21" i="1" s="1"/>
  <c r="M20" i="1"/>
  <c r="M21" i="1" s="1"/>
  <c r="L20" i="1"/>
  <c r="D35" i="2" s="1"/>
  <c r="K20" i="1"/>
  <c r="C34" i="2" s="1"/>
  <c r="J20" i="1"/>
  <c r="B34" i="2" s="1"/>
  <c r="N13" i="1"/>
  <c r="M13" i="1"/>
  <c r="L13" i="1"/>
  <c r="K13" i="1"/>
  <c r="J13" i="1"/>
  <c r="N12" i="1"/>
  <c r="M12" i="1"/>
  <c r="L12" i="1"/>
  <c r="K12" i="1"/>
  <c r="J12" i="1"/>
  <c r="N11" i="1"/>
  <c r="M11" i="1"/>
  <c r="L11" i="1"/>
  <c r="K11" i="1"/>
  <c r="J11" i="1"/>
  <c r="N10" i="1"/>
  <c r="M10" i="1"/>
  <c r="L10" i="1"/>
  <c r="K10" i="1"/>
  <c r="J10" i="1"/>
  <c r="N9" i="1"/>
  <c r="M9" i="1"/>
  <c r="L9" i="1"/>
  <c r="K9" i="1"/>
  <c r="J9" i="1"/>
  <c r="N8" i="1"/>
  <c r="M8" i="1"/>
  <c r="L8" i="1"/>
  <c r="K8" i="1"/>
  <c r="J8" i="1"/>
  <c r="U7" i="1"/>
  <c r="T7" i="1"/>
  <c r="S7" i="1"/>
  <c r="R7" i="1"/>
  <c r="Q7" i="1"/>
  <c r="N7" i="1"/>
  <c r="M7" i="1"/>
  <c r="L7" i="1"/>
  <c r="K7" i="1"/>
  <c r="J7" i="1"/>
  <c r="N6" i="1"/>
  <c r="M6" i="1"/>
  <c r="L6" i="1"/>
  <c r="K6" i="1"/>
  <c r="J6" i="1"/>
  <c r="N5" i="1"/>
  <c r="M5" i="1"/>
  <c r="L5" i="1"/>
  <c r="K5" i="1"/>
  <c r="J5" i="1"/>
  <c r="U4" i="1"/>
  <c r="T4" i="1"/>
  <c r="S4" i="1"/>
  <c r="R4" i="1"/>
  <c r="H47" i="4" l="1"/>
  <c r="H63" i="4"/>
  <c r="I63" i="4" s="1"/>
  <c r="J63" i="4" s="1"/>
  <c r="K64" i="4"/>
  <c r="K63" i="4" s="1"/>
  <c r="J48" i="4"/>
  <c r="K48" i="4" s="1"/>
  <c r="I47" i="4"/>
  <c r="K55" i="4"/>
  <c r="H46" i="4"/>
  <c r="I46" i="4" s="1"/>
  <c r="G45" i="4"/>
  <c r="L56" i="4"/>
  <c r="I44" i="4"/>
  <c r="G43" i="4"/>
  <c r="I60" i="4"/>
  <c r="H59" i="4"/>
  <c r="I59" i="4" s="1"/>
  <c r="J52" i="4"/>
  <c r="L52" i="4" s="1"/>
  <c r="J60" i="4"/>
  <c r="L21" i="1"/>
  <c r="L29" i="1"/>
  <c r="J26" i="1"/>
  <c r="K26" i="1"/>
  <c r="K52" i="4"/>
  <c r="K60" i="4"/>
  <c r="L60" i="4" s="1"/>
  <c r="N25" i="1"/>
  <c r="L26" i="1"/>
  <c r="D34" i="2"/>
  <c r="N26" i="1"/>
  <c r="E34" i="2"/>
  <c r="M26" i="1"/>
  <c r="L37" i="1"/>
  <c r="F34" i="2"/>
  <c r="D26" i="2"/>
  <c r="D27" i="2" s="1"/>
  <c r="E35" i="2"/>
  <c r="E26" i="2"/>
  <c r="E27" i="2" s="1"/>
  <c r="K25" i="1"/>
  <c r="L64" i="4" l="1"/>
  <c r="J47" i="4"/>
  <c r="L48" i="4"/>
  <c r="K47" i="4"/>
  <c r="H45" i="4"/>
  <c r="I45" i="4" s="1"/>
  <c r="G49" i="4"/>
  <c r="H43" i="4"/>
  <c r="R5" i="1"/>
  <c r="K27" i="1"/>
  <c r="K30" i="1"/>
  <c r="L63" i="4"/>
  <c r="J46" i="4"/>
  <c r="U5" i="1"/>
  <c r="N30" i="1"/>
  <c r="N27" i="1"/>
  <c r="L55" i="4"/>
  <c r="T5" i="1"/>
  <c r="M27" i="1"/>
  <c r="M30" i="1"/>
  <c r="J44" i="4"/>
  <c r="J51" i="4"/>
  <c r="K51" i="4" s="1"/>
  <c r="L51" i="4" s="1"/>
  <c r="J59" i="4"/>
  <c r="K59" i="4" s="1"/>
  <c r="L59" i="4" s="1"/>
  <c r="L27" i="1"/>
  <c r="L30" i="1"/>
  <c r="S5" i="1"/>
  <c r="Q5" i="1"/>
  <c r="J30" i="1"/>
  <c r="J34" i="1" s="1"/>
  <c r="L47" i="4" l="1"/>
  <c r="K44" i="4"/>
  <c r="L44" i="4" s="1"/>
  <c r="K31" i="1"/>
  <c r="K34" i="1"/>
  <c r="H49" i="4"/>
  <c r="I43" i="4"/>
  <c r="B8" i="6"/>
  <c r="B20" i="2"/>
  <c r="J38" i="1"/>
  <c r="J17" i="3"/>
  <c r="B22" i="2"/>
  <c r="Q8" i="1"/>
  <c r="G53" i="4"/>
  <c r="G50" i="4"/>
  <c r="J45" i="4"/>
  <c r="N31" i="1"/>
  <c r="N34" i="1"/>
  <c r="K46" i="4"/>
  <c r="L46" i="4" s="1"/>
  <c r="L34" i="1"/>
  <c r="L31" i="1"/>
  <c r="M31" i="1"/>
  <c r="M34" i="1"/>
  <c r="B7" i="6" l="1"/>
  <c r="B6" i="6"/>
  <c r="B10" i="6" s="1"/>
  <c r="J42" i="1"/>
  <c r="Q6" i="1" s="1"/>
  <c r="K45" i="4"/>
  <c r="L45" i="4" s="1"/>
  <c r="N17" i="3"/>
  <c r="F20" i="2"/>
  <c r="N35" i="1"/>
  <c r="N38" i="1"/>
  <c r="F22" i="2"/>
  <c r="U8" i="1"/>
  <c r="F8" i="6"/>
  <c r="G57" i="4"/>
  <c r="G54" i="4"/>
  <c r="I49" i="4"/>
  <c r="J43" i="4"/>
  <c r="H53" i="4"/>
  <c r="H50" i="4"/>
  <c r="C8" i="6"/>
  <c r="C20" i="2"/>
  <c r="K35" i="1"/>
  <c r="K38" i="1"/>
  <c r="C22" i="2"/>
  <c r="K17" i="3"/>
  <c r="R8" i="1"/>
  <c r="E8" i="6"/>
  <c r="M35" i="1"/>
  <c r="E20" i="2"/>
  <c r="M17" i="3"/>
  <c r="T8" i="1"/>
  <c r="M38" i="1"/>
  <c r="E22" i="2"/>
  <c r="D8" i="6"/>
  <c r="D20" i="2"/>
  <c r="L17" i="3"/>
  <c r="L38" i="1"/>
  <c r="S8" i="1"/>
  <c r="D22" i="2"/>
  <c r="L35" i="1"/>
  <c r="M42" i="1" l="1"/>
  <c r="M39" i="1"/>
  <c r="E7" i="6"/>
  <c r="E6" i="6"/>
  <c r="E10" i="6" s="1"/>
  <c r="I53" i="4"/>
  <c r="I50" i="4"/>
  <c r="G61" i="4"/>
  <c r="G58" i="4"/>
  <c r="J49" i="4"/>
  <c r="K43" i="4"/>
  <c r="N39" i="1"/>
  <c r="N42" i="1"/>
  <c r="F7" i="6"/>
  <c r="F6" i="6"/>
  <c r="F10" i="6" s="1"/>
  <c r="H57" i="4"/>
  <c r="H54" i="4"/>
  <c r="K42" i="1"/>
  <c r="C7" i="6"/>
  <c r="K39" i="1"/>
  <c r="C6" i="6"/>
  <c r="C10" i="6" s="1"/>
  <c r="L42" i="1"/>
  <c r="L39" i="1"/>
  <c r="D7" i="6"/>
  <c r="D6" i="6"/>
  <c r="D10" i="6" s="1"/>
  <c r="K49" i="4" l="1"/>
  <c r="L43" i="4"/>
  <c r="L49" i="4" s="1"/>
  <c r="H61" i="4"/>
  <c r="H58" i="4"/>
  <c r="J53" i="4"/>
  <c r="J50" i="4"/>
  <c r="G65" i="4"/>
  <c r="G66" i="4" s="1"/>
  <c r="G62" i="4"/>
  <c r="L43" i="1"/>
  <c r="S6" i="1"/>
  <c r="I57" i="4"/>
  <c r="I54" i="4"/>
  <c r="U6" i="1"/>
  <c r="N43" i="1"/>
  <c r="K43" i="1"/>
  <c r="R6" i="1"/>
  <c r="M43" i="1"/>
  <c r="T6" i="1"/>
  <c r="I61" i="4" l="1"/>
  <c r="I58" i="4"/>
  <c r="J57" i="4"/>
  <c r="J54" i="4"/>
  <c r="H65" i="4"/>
  <c r="H66" i="4" s="1"/>
  <c r="H62" i="4"/>
  <c r="L50" i="4"/>
  <c r="L53" i="4"/>
  <c r="K53" i="4"/>
  <c r="K50" i="4"/>
  <c r="L54" i="4" l="1"/>
  <c r="L57" i="4"/>
  <c r="K57" i="4"/>
  <c r="K54" i="4"/>
  <c r="J61" i="4"/>
  <c r="J58" i="4"/>
  <c r="I65" i="4"/>
  <c r="I66" i="4" s="1"/>
  <c r="I62" i="4"/>
  <c r="K61" i="4" l="1"/>
  <c r="K58" i="4"/>
  <c r="J65" i="4"/>
  <c r="J66" i="4" s="1"/>
  <c r="J62" i="4"/>
  <c r="L61" i="4"/>
  <c r="L58" i="4"/>
  <c r="L62" i="4" l="1"/>
  <c r="L65" i="4"/>
  <c r="K65" i="4"/>
  <c r="K66" i="4" s="1"/>
  <c r="K62" i="4"/>
  <c r="L66" i="4" l="1"/>
</calcChain>
</file>

<file path=xl/sharedStrings.xml><?xml version="1.0" encoding="utf-8"?>
<sst xmlns="http://schemas.openxmlformats.org/spreadsheetml/2006/main" count="347" uniqueCount="212">
  <si>
    <t>Consolidated Profit &amp; Loss account</t>
  </si>
  <si>
    <t xml:space="preserve">VERTICAL ANALYSIS </t>
  </si>
  <si>
    <t xml:space="preserve">TREND ANALYSIS </t>
  </si>
  <si>
    <t>12 mths</t>
  </si>
  <si>
    <t>SALES GROWTH</t>
  </si>
  <si>
    <t>Total Operating Revenues</t>
  </si>
  <si>
    <t>GROSS PROFIT MARGIN</t>
  </si>
  <si>
    <t>INCOME</t>
  </si>
  <si>
    <t>Other Income</t>
  </si>
  <si>
    <t>NET PROFIT MARGIN</t>
  </si>
  <si>
    <t>Revenue From Operations [Gross]</t>
  </si>
  <si>
    <t>Cost Of Materials Consumed</t>
  </si>
  <si>
    <t>EPS</t>
  </si>
  <si>
    <t>Revenue From Operations [Net]</t>
  </si>
  <si>
    <t>Finance Costs</t>
  </si>
  <si>
    <t>INTREST COVERAGE RATIO</t>
  </si>
  <si>
    <t>Other Operating Revenues</t>
  </si>
  <si>
    <t>Depreciation And Amortisation Expenses</t>
  </si>
  <si>
    <t>Total Expenses</t>
  </si>
  <si>
    <t>Profit/Loss Before Tax</t>
  </si>
  <si>
    <t>Total Revenue</t>
  </si>
  <si>
    <t>Current Tax</t>
  </si>
  <si>
    <t>EXPENSES</t>
  </si>
  <si>
    <t>Profit/Loss For The Period</t>
  </si>
  <si>
    <t>Purchase Of Stock-In Trade</t>
  </si>
  <si>
    <t>Changes In Inventories Of FG,WIP And Stock-In Trade</t>
  </si>
  <si>
    <t>Employee Benefit Expenses</t>
  </si>
  <si>
    <t xml:space="preserve">HORIZONTAL ANALYSIS </t>
  </si>
  <si>
    <t>Other Expenses</t>
  </si>
  <si>
    <t>REVENUE FROM OPERATION</t>
  </si>
  <si>
    <t>YOY %</t>
  </si>
  <si>
    <t>Profit/Loss Before Exceptional, ExtraOrdinary Items And Tax</t>
  </si>
  <si>
    <t xml:space="preserve">OTHER INCOME </t>
  </si>
  <si>
    <t>Tax Expenses-Continued Operations</t>
  </si>
  <si>
    <t>COGS</t>
  </si>
  <si>
    <t>Less: MAT Credit Entitlement</t>
  </si>
  <si>
    <t>GROSS PROFIT</t>
  </si>
  <si>
    <t>Deferred Tax</t>
  </si>
  <si>
    <t>Total Tax Expenses</t>
  </si>
  <si>
    <t>SELLING AND ADMIN EXP</t>
  </si>
  <si>
    <t>Profit/Loss After Tax And Before ExtraOrdinary Items</t>
  </si>
  <si>
    <t>Profit/Loss From Continuing Operations</t>
  </si>
  <si>
    <t>EBITDA</t>
  </si>
  <si>
    <t>Minority Interest</t>
  </si>
  <si>
    <t>DEPRECCIATION</t>
  </si>
  <si>
    <t>Share Of Profit/Loss Of Associates</t>
  </si>
  <si>
    <t>Consolidated Profit/Loss After MI And Associates</t>
  </si>
  <si>
    <t>EBIT</t>
  </si>
  <si>
    <t>INTREST</t>
  </si>
  <si>
    <t>YOY%</t>
  </si>
  <si>
    <t>EBT</t>
  </si>
  <si>
    <t>TAX</t>
  </si>
  <si>
    <t>PAT</t>
  </si>
  <si>
    <t>Solveny-Firm's ability to pay long term liability</t>
  </si>
  <si>
    <t>Parameters</t>
  </si>
  <si>
    <t>Total Debt/Total equity</t>
  </si>
  <si>
    <t>Total Debt /Total Asset</t>
  </si>
  <si>
    <t>Long term Debt /Total Asset</t>
  </si>
  <si>
    <t>Short term Debt/Total Asset</t>
  </si>
  <si>
    <t>Total Assets/Total Equity</t>
  </si>
  <si>
    <t>Debt Service Coverage Ratio=EBIT+Principal Payment/Interest+Principal</t>
  </si>
  <si>
    <t>Liquidity</t>
  </si>
  <si>
    <t>Current Assets/Current liabilities</t>
  </si>
  <si>
    <t>Quick ratio(Excludes inventory</t>
  </si>
  <si>
    <t>Cash+Marketable securities/Current liabilities</t>
  </si>
  <si>
    <t>Defensive Interval Ratio =Current Assets less inventories/ daily Cash expenditure</t>
  </si>
  <si>
    <t>Net working Capital</t>
  </si>
  <si>
    <t>Profitability Ratio</t>
  </si>
  <si>
    <t>PAT/Networth</t>
  </si>
  <si>
    <t xml:space="preserve">RETURN ON CAPITAL EMPLOYED </t>
  </si>
  <si>
    <t>RETURN ON ASSETS</t>
  </si>
  <si>
    <t>EBIT/Operating Assets</t>
  </si>
  <si>
    <t>Actitvity Ratios</t>
  </si>
  <si>
    <t>Inventory turnover=COGS/Avg inventory</t>
  </si>
  <si>
    <t>DOH=No. of Days in Period/Inventory Turnover</t>
  </si>
  <si>
    <t>Debtors Turnover=revenue/Average Receivables</t>
  </si>
  <si>
    <t>DSO= No. of Days in Period/Debtors Turnover</t>
  </si>
  <si>
    <t>Creditors Turnover= Purchases .Average Trade payables</t>
  </si>
  <si>
    <t>No. of Days Payable=No. of days in a period.Creditors Turnover</t>
  </si>
  <si>
    <t>Cash Turnover=Sales/ Cash</t>
  </si>
  <si>
    <t>Cash Conversion Period=DOH+DSO-No. of days of Payables</t>
  </si>
  <si>
    <t>Asset turnover= Revenue/Assets</t>
  </si>
  <si>
    <t>Working Capital Turnover=Revenue/Working Capital</t>
  </si>
  <si>
    <t>Cash Flows</t>
  </si>
  <si>
    <t>Cash from Operating Activity -</t>
  </si>
  <si>
    <t>Year</t>
  </si>
  <si>
    <t>Profit from operations</t>
  </si>
  <si>
    <t>Cash Flow Summary</t>
  </si>
  <si>
    <t>Receivables</t>
  </si>
  <si>
    <t>Cash and Cash Equivalents at Beginning of the year</t>
  </si>
  <si>
    <t>Inventory</t>
  </si>
  <si>
    <t>Net Cash from Operating Activities</t>
  </si>
  <si>
    <t>Payables</t>
  </si>
  <si>
    <t>Net Cash Used in Investing Activities</t>
  </si>
  <si>
    <t>Other WC items</t>
  </si>
  <si>
    <t>Net Cash Used in Financing Activities</t>
  </si>
  <si>
    <t>Working capital changes</t>
  </si>
  <si>
    <t>Net Inc/(Dec) in Cash and Cash Equivalent</t>
  </si>
  <si>
    <t>Direct taxes</t>
  </si>
  <si>
    <t>Cash and Cash Equivalents at End of the year</t>
  </si>
  <si>
    <t>Cash from Investing Activity -</t>
  </si>
  <si>
    <t>Fixed assets purchased</t>
  </si>
  <si>
    <t>Investments purchased</t>
  </si>
  <si>
    <t>CFO/net revenue</t>
  </si>
  <si>
    <t>Investments sold</t>
  </si>
  <si>
    <t>CFO/ average total asset.</t>
  </si>
  <si>
    <t>Interest received</t>
  </si>
  <si>
    <t>CFO/avg shareholder equity</t>
  </si>
  <si>
    <t>Dividends received</t>
  </si>
  <si>
    <t>CFO/operating income</t>
  </si>
  <si>
    <t>Redemp n Canc of Shares</t>
  </si>
  <si>
    <t>Other investing items</t>
  </si>
  <si>
    <t>Cash from Financing Activity -</t>
  </si>
  <si>
    <t>Proceeds from shares</t>
  </si>
  <si>
    <t>CFO/total debt</t>
  </si>
  <si>
    <t>Proceeds from borrowings</t>
  </si>
  <si>
    <t>(cfo+intrest paid+taxes paid)/intrest paid</t>
  </si>
  <si>
    <t>Repayment of borrowings</t>
  </si>
  <si>
    <t>cfo/cash paid for long-term assets</t>
  </si>
  <si>
    <t>Interest paid fin</t>
  </si>
  <si>
    <t>cfo/cash paid for long term debt payment</t>
  </si>
  <si>
    <t>Dividends paid</t>
  </si>
  <si>
    <t>cfo/dividend paid</t>
  </si>
  <si>
    <t>Financial liabilities</t>
  </si>
  <si>
    <t>CFO/cash outflow for investing and financing activities</t>
  </si>
  <si>
    <t>Other financing items</t>
  </si>
  <si>
    <t>avg total assets</t>
  </si>
  <si>
    <t>Net Cash Flow</t>
  </si>
  <si>
    <t>avg shareholder equity</t>
  </si>
  <si>
    <t>YEAR</t>
  </si>
  <si>
    <t>AVERAGE %</t>
  </si>
  <si>
    <t>HIGH GROWTH</t>
  </si>
  <si>
    <t>2020-2022</t>
  </si>
  <si>
    <t>DECLINE</t>
  </si>
  <si>
    <t>2022-24</t>
  </si>
  <si>
    <t>STABILITY</t>
  </si>
  <si>
    <t>ASSUMING</t>
  </si>
  <si>
    <t>OTHER INCOME</t>
  </si>
  <si>
    <t>21-22</t>
  </si>
  <si>
    <t>23-24</t>
  </si>
  <si>
    <t>COGS GROWTH</t>
  </si>
  <si>
    <t>STABILTY</t>
  </si>
  <si>
    <t>22-23</t>
  </si>
  <si>
    <t>HIGH</t>
  </si>
  <si>
    <t>STABLE</t>
  </si>
  <si>
    <t xml:space="preserve"> Assets Turnover Ratio: SALES/Avg. Total Assets</t>
  </si>
  <si>
    <t>Equity Multiplier or Leverage: Avg. Total Assets/Avg. Equity</t>
  </si>
  <si>
    <t>NPM: NI/Revenue</t>
  </si>
  <si>
    <t>Tax Burden: NI/EBT</t>
  </si>
  <si>
    <t>Interest Burden: EBT/EBIT</t>
  </si>
  <si>
    <t>EBIT Margin: EBIT/Revenue</t>
  </si>
  <si>
    <t>Total Assets Turnover: Revnue/Avg. Total Assets</t>
  </si>
  <si>
    <t>Du-Pont Achieved by 5 Level Breakdown</t>
  </si>
  <si>
    <t>DU-Pont Achieved by 3 Level Breakdown</t>
  </si>
  <si>
    <t>Balance Sheet</t>
  </si>
  <si>
    <t>Equity Capital</t>
  </si>
  <si>
    <t>Reserves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</si>
  <si>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</si>
  <si>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</si>
  <si>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</si>
  <si>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</si>
  <si>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</si>
  <si>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</si>
  <si>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</si>
  <si>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</si>
  <si>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</si>
  <si>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</si>
  <si>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</si>
  <si>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</si>
  <si>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</si>
  <si>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</si>
  <si>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</si>
  <si>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</si>
  <si>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</si>
  <si>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</si>
  <si>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</si>
  <si>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</si>
  <si>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</si>
  <si>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</si>
  <si>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</si>
  <si>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</si>
  <si>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 -</t>
  </si>
  <si>
    <t>Inventories</t>
  </si>
  <si>
    <t>Trade receivables -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</si>
  <si>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</si>
  <si>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</si>
  <si>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</si>
  <si>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</si>
  <si>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</si>
  <si>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</si>
  <si>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Total Assets</t>
  </si>
  <si>
    <t>$G$44</t>
  </si>
  <si>
    <t>$G$46</t>
  </si>
  <si>
    <t>$G$65</t>
  </si>
  <si>
    <t>OPTIMISTIC</t>
  </si>
  <si>
    <t>Created by Gaurav Jain on 3/19/2025</t>
  </si>
  <si>
    <t>PESSESMSESTIC</t>
  </si>
  <si>
    <t>BASE</t>
  </si>
  <si>
    <t>OPTIMISTI OTHER I</t>
  </si>
  <si>
    <t>PESSEMESTIC</t>
  </si>
  <si>
    <t>BASE OTHER I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</si>
  <si>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</si>
  <si>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</si>
  <si>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</si>
  <si>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</si>
  <si>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</si>
  <si>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</si>
  <si>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</si>
  <si>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Gaurav Jain on 3/19/2025
Modified by Gaurav Jain on 3/19/2025</t>
  </si>
  <si>
    <t>PESSMESTIC</t>
  </si>
  <si>
    <t>$G$48</t>
  </si>
  <si>
    <t>$G$64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</si>
</sst>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mmm\ yyyy"/>
  </numFmts>
  <fonts count="19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4"/>
      <color rgb="FF000000"/>
      <name val="&quot;Times New Roman&quot;"/>
    </font>
    <font>
      <sz val="14"/>
      <color rgb="FF000000"/>
      <name val="&quot;Times New Roman&quot;"/>
    </font>
    <font>
      <b/>
      <sz val="10"/>
      <color rgb="FF22222F"/>
      <name val="&quot;Inter var&quot;"/>
    </font>
    <font>
      <b/>
      <sz val="10"/>
      <color theme="1"/>
      <name val="&quot;Inter var&quot;"/>
    </font>
    <font>
      <sz val="10"/>
      <color rgb="FF22222F"/>
      <name val="&quot;Inter var&quot;"/>
    </font>
    <font>
      <b/>
      <sz val="16"/>
      <color rgb="FF000000"/>
      <name val="&quot;Times New Roman&quot;"/>
    </font>
    <font>
      <sz val="16"/>
      <color rgb="FF000000"/>
      <name val="&quot;Times New Roman&quot;"/>
    </font>
    <font>
      <b/>
      <sz val="11"/>
      <color rgb="FF000000"/>
      <name val="&quot;Times New Roman&quot;"/>
    </font>
    <font>
      <sz val="10"/>
      <color rgb="FF22222F"/>
      <name val="Inherit"/>
    </font>
    <font>
      <b/>
      <sz val="11"/>
      <color indexed="9"/>
      <name val="Arial"/>
      <family val="2"/>
      <scheme val="minor"/>
    </font>
    <font>
      <b/>
      <sz val="10"/>
      <color indexed="8"/>
      <name val="Arial"/>
      <family val="2"/>
      <scheme val="minor"/>
    </font>
    <font>
      <b/>
      <sz val="10"/>
      <color indexed="18"/>
      <name val="Arial"/>
      <family val="2"/>
      <scheme val="minor"/>
    </font>
    <font>
      <sz val="9"/>
      <color indexed="9"/>
      <name val="Arial"/>
      <family val="2"/>
      <scheme val="minor"/>
    </font>
    <font>
      <sz val="8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164" fontId="3" fillId="2" borderId="0" xfId="0" applyNumberFormat="1" applyFont="1" applyFill="1"/>
    <xf numFmtId="164" fontId="2" fillId="2" borderId="0" xfId="0" applyNumberFormat="1" applyFont="1" applyFill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5" fillId="2" borderId="0" xfId="0" applyFont="1" applyFill="1"/>
    <xf numFmtId="0" fontId="5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5" fillId="2" borderId="2" xfId="0" applyFont="1" applyFill="1" applyBorder="1"/>
    <xf numFmtId="3" fontId="3" fillId="0" borderId="0" xfId="0" applyNumberFormat="1" applyFont="1"/>
    <xf numFmtId="0" fontId="5" fillId="2" borderId="4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165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/>
    <xf numFmtId="0" fontId="10" fillId="0" borderId="2" xfId="0" applyFont="1" applyBorder="1"/>
    <xf numFmtId="0" fontId="11" fillId="0" borderId="0" xfId="0" applyFont="1"/>
    <xf numFmtId="0" fontId="11" fillId="0" borderId="1" xfId="0" applyFont="1" applyBorder="1"/>
    <xf numFmtId="0" fontId="10" fillId="3" borderId="2" xfId="0" applyFont="1" applyFill="1" applyBorder="1"/>
    <xf numFmtId="0" fontId="10" fillId="0" borderId="0" xfId="0" applyFont="1"/>
    <xf numFmtId="0" fontId="10" fillId="4" borderId="1" xfId="0" applyFont="1" applyFill="1" applyBorder="1"/>
    <xf numFmtId="0" fontId="4" fillId="2" borderId="0" xfId="0" applyFont="1" applyFill="1"/>
    <xf numFmtId="0" fontId="3" fillId="2" borderId="0" xfId="0" applyFont="1" applyFill="1"/>
    <xf numFmtId="10" fontId="2" fillId="3" borderId="0" xfId="0" applyNumberFormat="1" applyFont="1" applyFill="1"/>
    <xf numFmtId="0" fontId="2" fillId="3" borderId="0" xfId="0" applyFont="1" applyFill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2" borderId="2" xfId="0" applyFont="1" applyFill="1" applyBorder="1"/>
    <xf numFmtId="0" fontId="9" fillId="0" borderId="0" xfId="0" applyFont="1"/>
    <xf numFmtId="0" fontId="13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0" fillId="0" borderId="0" xfId="0" applyFill="1" applyBorder="1" applyAlignment="1"/>
    <xf numFmtId="0" fontId="0" fillId="0" borderId="6" xfId="0" applyFill="1" applyBorder="1" applyAlignment="1"/>
    <xf numFmtId="0" fontId="14" fillId="5" borderId="7" xfId="0" applyFont="1" applyFill="1" applyBorder="1" applyAlignment="1">
      <alignment horizontal="left"/>
    </xf>
    <xf numFmtId="0" fontId="14" fillId="5" borderId="5" xfId="0" applyFont="1" applyFill="1" applyBorder="1" applyAlignment="1">
      <alignment horizontal="left"/>
    </xf>
    <xf numFmtId="0" fontId="0" fillId="0" borderId="8" xfId="0" applyFill="1" applyBorder="1" applyAlignment="1"/>
    <xf numFmtId="0" fontId="15" fillId="6" borderId="0" xfId="0" applyFont="1" applyFill="1" applyBorder="1" applyAlignment="1">
      <alignment horizontal="left"/>
    </xf>
    <xf numFmtId="0" fontId="16" fillId="6" borderId="8" xfId="0" applyFont="1" applyFill="1" applyBorder="1" applyAlignment="1">
      <alignment horizontal="left"/>
    </xf>
    <xf numFmtId="0" fontId="15" fillId="6" borderId="6" xfId="0" applyFont="1" applyFill="1" applyBorder="1" applyAlignment="1">
      <alignment horizontal="left"/>
    </xf>
    <xf numFmtId="0" fontId="17" fillId="5" borderId="5" xfId="0" applyFont="1" applyFill="1" applyBorder="1" applyAlignment="1">
      <alignment horizontal="right"/>
    </xf>
    <xf numFmtId="0" fontId="17" fillId="5" borderId="7" xfId="0" applyFont="1" applyFill="1" applyBorder="1" applyAlignment="1">
      <alignment horizontal="right"/>
    </xf>
    <xf numFmtId="0" fontId="0" fillId="7" borderId="0" xfId="0" applyFill="1" applyBorder="1" applyAlignment="1"/>
    <xf numFmtId="0" fontId="18" fillId="0" borderId="0" xfId="0" applyFont="1" applyFill="1" applyBorder="1" applyAlignment="1">
      <alignment vertical="top" wrapText="1"/>
    </xf>
    <xf numFmtId="10" fontId="0" fillId="0" borderId="0" xfId="0" applyNumberFormat="1" applyFill="1" applyBorder="1" applyAlignment="1"/>
    <xf numFmtId="10" fontId="0" fillId="7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YOY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ASSUMPTIONS!$C$42:$F$42</c:f>
              <c:numCache>
                <c:formatCode>d\ mmmm</c:formatCode>
                <c:ptCount val="4"/>
                <c:pt idx="0">
                  <c:v>45737</c:v>
                </c:pt>
                <c:pt idx="1">
                  <c:v>45738</c:v>
                </c:pt>
                <c:pt idx="2">
                  <c:v>45739</c:v>
                </c:pt>
                <c:pt idx="3">
                  <c:v>45740</c:v>
                </c:pt>
              </c:numCache>
            </c:numRef>
          </c:cat>
          <c:val>
            <c:numRef>
              <c:f>ASSUMPTIONS!$C$44:$F$44</c:f>
              <c:numCache>
                <c:formatCode>0.00%</c:formatCode>
                <c:ptCount val="4"/>
                <c:pt idx="0">
                  <c:v>0.43888628651730305</c:v>
                </c:pt>
                <c:pt idx="1">
                  <c:v>0.65060258183567909</c:v>
                </c:pt>
                <c:pt idx="2">
                  <c:v>0.21322190964752619</c:v>
                </c:pt>
                <c:pt idx="3">
                  <c:v>4.6394262413383396E-2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8-4A78-96F9-57B680421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113461"/>
        <c:axId val="1770161906"/>
      </c:lineChart>
      <c:dateAx>
        <c:axId val="1279113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d\ mmmm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0161906"/>
        <c:crosses val="autoZero"/>
        <c:auto val="1"/>
        <c:lblOffset val="100"/>
        <c:baseTimeUnit val="days"/>
      </c:dateAx>
      <c:valAx>
        <c:axId val="1770161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YOY %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911346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ASSUMPTIONS!$C$46</c:f>
              <c:numCache>
                <c:formatCode>0.00%</c:formatCode>
                <c:ptCount val="1"/>
                <c:pt idx="0">
                  <c:v>1.0050718512256973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872-4919-A371-4FCDCB22BDC9}"/>
            </c:ext>
          </c:extLst>
        </c:ser>
        <c:ser>
          <c:idx val="1"/>
          <c:order val="1"/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ASSUMPTIONS!$D$46</c:f>
              <c:numCache>
                <c:formatCode>0.00%</c:formatCode>
                <c:ptCount val="1"/>
                <c:pt idx="0">
                  <c:v>1.5299325463743676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872-4919-A371-4FCDCB22BDC9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ASSUMPTIONS!$E$46</c:f>
              <c:numCache>
                <c:formatCode>0.00%</c:formatCode>
                <c:ptCount val="1"/>
                <c:pt idx="0">
                  <c:v>0.8665222462922848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872-4919-A371-4FCDCB22BDC9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ASSUMPTIONS!$F$46</c:f>
              <c:numCache>
                <c:formatCode>0.00%</c:formatCode>
                <c:ptCount val="1"/>
                <c:pt idx="0">
                  <c:v>0.41933755914650461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872-4919-A371-4FCDCB22B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6430803"/>
        <c:axId val="698001018"/>
      </c:barChart>
      <c:catAx>
        <c:axId val="2026430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8001018"/>
        <c:crosses val="autoZero"/>
        <c:auto val="1"/>
        <c:lblAlgn val="ctr"/>
        <c:lblOffset val="100"/>
        <c:noMultiLvlLbl val="1"/>
      </c:catAx>
      <c:valAx>
        <c:axId val="698001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64308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YOY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ASSUMPTIONS!$C$42:$F$42</c:f>
              <c:numCache>
                <c:formatCode>d\ mmmm</c:formatCode>
                <c:ptCount val="4"/>
                <c:pt idx="0">
                  <c:v>45737</c:v>
                </c:pt>
                <c:pt idx="1">
                  <c:v>45738</c:v>
                </c:pt>
                <c:pt idx="2">
                  <c:v>45739</c:v>
                </c:pt>
                <c:pt idx="3">
                  <c:v>45740</c:v>
                </c:pt>
              </c:numCache>
            </c:numRef>
          </c:cat>
          <c:val>
            <c:numRef>
              <c:f>ASSUMPTIONS!$C$48:$F$48</c:f>
              <c:numCache>
                <c:formatCode>0.00%</c:formatCode>
                <c:ptCount val="4"/>
                <c:pt idx="0">
                  <c:v>0.43141845719534855</c:v>
                </c:pt>
                <c:pt idx="1">
                  <c:v>0.64675958897141139</c:v>
                </c:pt>
                <c:pt idx="2">
                  <c:v>0.42038703913163322</c:v>
                </c:pt>
                <c:pt idx="3">
                  <c:v>5.7150982852362857E-2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D-4BDD-888E-6792428E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6892333"/>
        <c:axId val="1620240702"/>
      </c:lineChart>
      <c:dateAx>
        <c:axId val="1586892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d\ mmmm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0240702"/>
        <c:crosses val="autoZero"/>
        <c:auto val="1"/>
        <c:lblOffset val="100"/>
        <c:baseTimeUnit val="days"/>
      </c:dateAx>
      <c:valAx>
        <c:axId val="16202407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YOY %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68923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YOY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ASSUMPTIONS!$C$42:$F$42</c:f>
              <c:numCache>
                <c:formatCode>d\ mmmm</c:formatCode>
                <c:ptCount val="4"/>
                <c:pt idx="0">
                  <c:v>45737</c:v>
                </c:pt>
                <c:pt idx="1">
                  <c:v>45738</c:v>
                </c:pt>
                <c:pt idx="2">
                  <c:v>45739</c:v>
                </c:pt>
                <c:pt idx="3">
                  <c:v>45740</c:v>
                </c:pt>
              </c:numCache>
            </c:numRef>
          </c:cat>
          <c:val>
            <c:numRef>
              <c:f>ASSUMPTIONS!$C$64:$F$64</c:f>
              <c:numCache>
                <c:formatCode>0.00%</c:formatCode>
                <c:ptCount val="4"/>
                <c:pt idx="0">
                  <c:v>-5.7124386981720905</c:v>
                </c:pt>
                <c:pt idx="1">
                  <c:v>2.0281456953642385</c:v>
                </c:pt>
                <c:pt idx="2">
                  <c:v>-0.69785206592204962</c:v>
                </c:pt>
                <c:pt idx="3">
                  <c:v>-1.4611725778099474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4-4AC0-8BD8-EF96DE27F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984497"/>
        <c:axId val="2024668561"/>
      </c:lineChart>
      <c:dateAx>
        <c:axId val="2136984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d\ mmmm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4668561"/>
        <c:crosses val="autoZero"/>
        <c:auto val="1"/>
        <c:lblOffset val="100"/>
        <c:baseTimeUnit val="days"/>
      </c:dateAx>
      <c:valAx>
        <c:axId val="2024668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YOY %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698449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69</xdr:row>
      <xdr:rowOff>19050</xdr:rowOff>
    </xdr:from>
    <xdr:ext cx="3124200" cy="14478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66675</xdr:colOff>
      <xdr:row>83</xdr:row>
      <xdr:rowOff>76200</xdr:rowOff>
    </xdr:from>
    <xdr:ext cx="4924425" cy="17240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66675</xdr:colOff>
      <xdr:row>98</xdr:row>
      <xdr:rowOff>161925</xdr:rowOff>
    </xdr:from>
    <xdr:ext cx="4533900" cy="20383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142875</xdr:colOff>
      <xdr:row>115</xdr:row>
      <xdr:rowOff>161925</xdr:rowOff>
    </xdr:from>
    <xdr:ext cx="4124325" cy="25431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3"/>
  <sheetViews>
    <sheetView tabSelected="1" workbookViewId="0"/>
  </sheetViews>
  <sheetFormatPr defaultColWidth="12.6640625" defaultRowHeight="15.75" customHeight="1"/>
  <cols>
    <col min="1" max="1" width="44.6640625" customWidth="1"/>
    <col min="9" max="9" width="31.88671875" customWidth="1"/>
    <col min="16" max="16" width="24" customWidth="1"/>
    <col min="22" max="22" width="22.6640625" customWidth="1"/>
  </cols>
  <sheetData>
    <row r="1" spans="1:22" ht="15.75" customHeight="1">
      <c r="A1" s="1" t="s">
        <v>0</v>
      </c>
      <c r="I1" s="2" t="s">
        <v>1</v>
      </c>
      <c r="P1" s="2" t="s">
        <v>2</v>
      </c>
    </row>
    <row r="2" spans="1:22" ht="15.75" customHeight="1">
      <c r="A2" s="3"/>
    </row>
    <row r="3" spans="1:22" ht="15.75" customHeight="1">
      <c r="A3" s="4"/>
      <c r="B3" s="5">
        <v>45736</v>
      </c>
      <c r="C3" s="5">
        <v>45737</v>
      </c>
      <c r="D3" s="5">
        <v>45738</v>
      </c>
      <c r="E3" s="5">
        <v>45739</v>
      </c>
      <c r="F3" s="5">
        <v>45740</v>
      </c>
      <c r="J3" s="6">
        <v>45736</v>
      </c>
      <c r="K3" s="6">
        <v>45737</v>
      </c>
      <c r="L3" s="6">
        <v>45738</v>
      </c>
      <c r="M3" s="6">
        <v>45739</v>
      </c>
      <c r="N3" s="6">
        <v>45740</v>
      </c>
      <c r="Q3" s="6">
        <v>45736</v>
      </c>
      <c r="R3" s="6">
        <v>45737</v>
      </c>
      <c r="S3" s="6">
        <v>45738</v>
      </c>
      <c r="T3" s="6">
        <v>45739</v>
      </c>
      <c r="U3" s="6">
        <v>45740</v>
      </c>
    </row>
    <row r="4" spans="1:22" ht="15.75" customHeight="1">
      <c r="A4" s="3"/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P4" s="7" t="s">
        <v>4</v>
      </c>
      <c r="R4" s="8">
        <f t="shared" ref="R4:U4" si="0">((C8-B8)/B8)</f>
        <v>0.43918824448931787</v>
      </c>
      <c r="S4" s="8">
        <f t="shared" si="0"/>
        <v>0.65062700867332779</v>
      </c>
      <c r="T4" s="8">
        <f t="shared" si="0"/>
        <v>0.21525387097272189</v>
      </c>
      <c r="U4" s="8">
        <f t="shared" si="0"/>
        <v>4.3352748013541505E-2</v>
      </c>
      <c r="V4" s="7"/>
    </row>
    <row r="5" spans="1:22" ht="15.75" customHeight="1">
      <c r="A5" s="4"/>
      <c r="I5" s="9" t="s">
        <v>5</v>
      </c>
      <c r="J5" s="7">
        <f t="shared" ref="J5:N5" si="1">B10/B12</f>
        <v>0.9973041215264643</v>
      </c>
      <c r="K5" s="7">
        <f t="shared" si="1"/>
        <v>0.99624730452997168</v>
      </c>
      <c r="L5" s="7">
        <f t="shared" si="1"/>
        <v>0.9942595970717345</v>
      </c>
      <c r="M5" s="7">
        <f t="shared" si="1"/>
        <v>0.99119569822491249</v>
      </c>
      <c r="N5" s="7">
        <f t="shared" si="1"/>
        <v>0.98809513111979741</v>
      </c>
      <c r="P5" s="7" t="s">
        <v>6</v>
      </c>
      <c r="Q5" s="8">
        <f t="shared" ref="Q5:U5" si="2">J26/J20</f>
        <v>0.38807910701840581</v>
      </c>
      <c r="R5" s="8">
        <f t="shared" si="2"/>
        <v>0.39502181173148793</v>
      </c>
      <c r="S5" s="8">
        <f t="shared" si="2"/>
        <v>0.39844582815404328</v>
      </c>
      <c r="T5" s="8">
        <f t="shared" si="2"/>
        <v>0.29784983243696761</v>
      </c>
      <c r="U5" s="8">
        <f t="shared" si="2"/>
        <v>0.29370635730211397</v>
      </c>
      <c r="V5" s="7"/>
    </row>
    <row r="6" spans="1:22" ht="15.75" customHeight="1">
      <c r="A6" s="9" t="s">
        <v>7</v>
      </c>
      <c r="I6" s="9" t="s">
        <v>8</v>
      </c>
      <c r="J6" s="7">
        <f t="shared" ref="J6:N6" si="3">B11/B12</f>
        <v>2.6958784735357255E-3</v>
      </c>
      <c r="K6" s="7">
        <f t="shared" si="3"/>
        <v>3.7526954700282714E-3</v>
      </c>
      <c r="L6" s="7">
        <f t="shared" si="3"/>
        <v>5.7404029282655299E-3</v>
      </c>
      <c r="M6" s="7">
        <f t="shared" si="3"/>
        <v>8.8043017750874652E-3</v>
      </c>
      <c r="N6" s="7">
        <f t="shared" si="3"/>
        <v>1.1904868880202481E-2</v>
      </c>
      <c r="P6" s="7" t="s">
        <v>9</v>
      </c>
      <c r="Q6" s="8">
        <f t="shared" ref="Q6:U6" si="4">J42/J20</f>
        <v>7.77382978966491E-2</v>
      </c>
      <c r="R6" s="8">
        <f t="shared" si="4"/>
        <v>0.13391783797861553</v>
      </c>
      <c r="S6" s="8">
        <f t="shared" si="4"/>
        <v>0.16586940877201756</v>
      </c>
      <c r="T6" s="8">
        <f t="shared" si="4"/>
        <v>6.7268667061057066E-2</v>
      </c>
      <c r="U6" s="8">
        <f t="shared" si="4"/>
        <v>7.7973690472762147E-2</v>
      </c>
      <c r="V6" s="7"/>
    </row>
    <row r="7" spans="1:22" ht="15.75" customHeight="1">
      <c r="A7" s="9" t="s">
        <v>10</v>
      </c>
      <c r="B7" s="10">
        <v>4362.8900000000003</v>
      </c>
      <c r="C7" s="10">
        <v>6279.02</v>
      </c>
      <c r="D7" s="10">
        <v>10364.32</v>
      </c>
      <c r="E7" s="10">
        <v>12595.28</v>
      </c>
      <c r="F7" s="10">
        <v>13141.32</v>
      </c>
      <c r="I7" s="9" t="s">
        <v>11</v>
      </c>
      <c r="J7" s="7">
        <f t="shared" ref="J7:N7" si="5">B14/B12</f>
        <v>0.61944359620617195</v>
      </c>
      <c r="K7" s="7">
        <f t="shared" si="5"/>
        <v>0.58801826986816519</v>
      </c>
      <c r="L7" s="7">
        <f t="shared" si="5"/>
        <v>0.61803027940581423</v>
      </c>
      <c r="M7" s="7">
        <f t="shared" si="5"/>
        <v>0.70084867463856459</v>
      </c>
      <c r="N7" s="7">
        <f t="shared" si="5"/>
        <v>0.71839870602507072</v>
      </c>
      <c r="P7" s="7" t="s">
        <v>12</v>
      </c>
      <c r="Q7" s="7">
        <f>15</f>
        <v>15</v>
      </c>
      <c r="R7" s="7">
        <f>36</f>
        <v>36</v>
      </c>
      <c r="S7" s="7">
        <f>69</f>
        <v>69</v>
      </c>
      <c r="T7" s="7">
        <f>33</f>
        <v>33</v>
      </c>
      <c r="U7" s="7">
        <f>40</f>
        <v>40</v>
      </c>
      <c r="V7" s="7"/>
    </row>
    <row r="8" spans="1:22" ht="15.75" customHeight="1">
      <c r="A8" s="9" t="s">
        <v>13</v>
      </c>
      <c r="B8" s="10">
        <v>4362.8900000000003</v>
      </c>
      <c r="C8" s="10">
        <v>6279.02</v>
      </c>
      <c r="D8" s="10">
        <v>10364.32</v>
      </c>
      <c r="E8" s="10">
        <v>12595.28</v>
      </c>
      <c r="F8" s="10">
        <v>13141.32</v>
      </c>
      <c r="I8" s="9" t="s">
        <v>14</v>
      </c>
      <c r="J8" s="7">
        <f t="shared" ref="J8:N8" si="6">B18/B12</f>
        <v>1.9573034834487191E-2</v>
      </c>
      <c r="K8" s="7">
        <f t="shared" si="6"/>
        <v>9.8816761828822031E-3</v>
      </c>
      <c r="L8" s="7">
        <f t="shared" si="6"/>
        <v>2.2154262925950623E-3</v>
      </c>
      <c r="M8" s="7">
        <f t="shared" si="6"/>
        <v>7.3202805491821765E-3</v>
      </c>
      <c r="N8" s="7">
        <f t="shared" si="6"/>
        <v>9.9803807041979296E-3</v>
      </c>
      <c r="P8" s="7" t="s">
        <v>15</v>
      </c>
      <c r="Q8" s="8">
        <f t="shared" ref="Q8:U8" si="7">J34/J36</f>
        <v>4.4387006636395423</v>
      </c>
      <c r="R8" s="8">
        <f t="shared" si="7"/>
        <v>17.885846942042917</v>
      </c>
      <c r="S8" s="8">
        <f t="shared" si="7"/>
        <v>103.08074265975819</v>
      </c>
      <c r="T8" s="8">
        <f t="shared" si="7"/>
        <v>12.185332331150013</v>
      </c>
      <c r="U8" s="8">
        <f t="shared" si="7"/>
        <v>8.0504201680672303</v>
      </c>
      <c r="V8" s="7"/>
    </row>
    <row r="9" spans="1:22" ht="15.75" customHeight="1">
      <c r="A9" s="9" t="s">
        <v>16</v>
      </c>
      <c r="B9" s="10">
        <v>13.46</v>
      </c>
      <c r="C9" s="10">
        <v>18.05</v>
      </c>
      <c r="D9" s="10">
        <v>29.64</v>
      </c>
      <c r="E9" s="10">
        <v>14.9</v>
      </c>
      <c r="F9" s="10">
        <v>53.9</v>
      </c>
      <c r="I9" s="9" t="s">
        <v>17</v>
      </c>
      <c r="J9" s="7">
        <f t="shared" ref="J9:N9" si="8">B19/B12</f>
        <v>6.7608894803768305E-2</v>
      </c>
      <c r="K9" s="7">
        <f t="shared" si="8"/>
        <v>4.7519376533629504E-2</v>
      </c>
      <c r="L9" s="7">
        <f t="shared" si="8"/>
        <v>2.6057086446584408E-2</v>
      </c>
      <c r="M9" s="7">
        <f t="shared" si="8"/>
        <v>3.639939350064729E-2</v>
      </c>
      <c r="N9" s="7">
        <f t="shared" si="8"/>
        <v>4.9126117625915434E-2</v>
      </c>
    </row>
    <row r="10" spans="1:22" ht="15.75" customHeight="1">
      <c r="A10" s="9" t="s">
        <v>5</v>
      </c>
      <c r="B10" s="10">
        <v>4376.3500000000004</v>
      </c>
      <c r="C10" s="10">
        <v>6297.07</v>
      </c>
      <c r="D10" s="10">
        <v>10393.959999999999</v>
      </c>
      <c r="E10" s="10">
        <v>12610.18</v>
      </c>
      <c r="F10" s="10">
        <v>13195.22</v>
      </c>
      <c r="I10" s="9" t="s">
        <v>18</v>
      </c>
      <c r="J10" s="7">
        <f t="shared" ref="J10:N10" si="9">B21/B12</f>
        <v>0.93269419212520899</v>
      </c>
      <c r="K10" s="7">
        <f t="shared" si="9"/>
        <v>0.83313952844502037</v>
      </c>
      <c r="L10" s="7">
        <f t="shared" si="9"/>
        <v>0.77384763874394136</v>
      </c>
      <c r="M10" s="7">
        <f t="shared" si="9"/>
        <v>0.91812022930014403</v>
      </c>
      <c r="N10" s="7">
        <f t="shared" si="9"/>
        <v>0.92963412259813394</v>
      </c>
    </row>
    <row r="11" spans="1:22" ht="15.75" customHeight="1">
      <c r="A11" s="9" t="s">
        <v>8</v>
      </c>
      <c r="B11" s="10">
        <v>11.83</v>
      </c>
      <c r="C11" s="10">
        <v>23.72</v>
      </c>
      <c r="D11" s="10">
        <v>60.01</v>
      </c>
      <c r="E11" s="10">
        <v>112.01</v>
      </c>
      <c r="F11" s="10">
        <v>158.97999999999999</v>
      </c>
      <c r="I11" s="9" t="s">
        <v>19</v>
      </c>
      <c r="J11" s="7">
        <f t="shared" ref="J11:N11" si="10">B23/B12</f>
        <v>6.7305807874790916E-2</v>
      </c>
      <c r="K11" s="7">
        <f t="shared" si="10"/>
        <v>0.16686047155497968</v>
      </c>
      <c r="L11" s="7">
        <f t="shared" si="10"/>
        <v>0.22615236125605873</v>
      </c>
      <c r="M11" s="7">
        <f t="shared" si="10"/>
        <v>8.1879770699855928E-2</v>
      </c>
      <c r="N11" s="7">
        <f t="shared" si="10"/>
        <v>7.0365877401866075E-2</v>
      </c>
    </row>
    <row r="12" spans="1:22" ht="15.75" customHeight="1">
      <c r="A12" s="9" t="s">
        <v>20</v>
      </c>
      <c r="B12" s="10">
        <v>4388.18</v>
      </c>
      <c r="C12" s="10">
        <v>6320.79</v>
      </c>
      <c r="D12" s="10">
        <v>10453.969999999999</v>
      </c>
      <c r="E12" s="10">
        <v>12722.19</v>
      </c>
      <c r="F12" s="10">
        <v>13354.2</v>
      </c>
      <c r="I12" s="9" t="s">
        <v>21</v>
      </c>
      <c r="J12" s="7">
        <f t="shared" ref="J12:N12" si="11">B25/B12</f>
        <v>1.3091988022369182E-2</v>
      </c>
      <c r="K12" s="7">
        <f t="shared" si="11"/>
        <v>4.2171943696911303E-2</v>
      </c>
      <c r="L12" s="7">
        <f t="shared" si="11"/>
        <v>5.1603362167674104E-2</v>
      </c>
      <c r="M12" s="7">
        <f t="shared" si="11"/>
        <v>1.8439435348788218E-2</v>
      </c>
      <c r="N12" s="7">
        <f t="shared" si="11"/>
        <v>-7.5070015425858531E-3</v>
      </c>
    </row>
    <row r="13" spans="1:22" ht="15.75" customHeight="1">
      <c r="A13" s="9" t="s">
        <v>22</v>
      </c>
      <c r="B13" s="3"/>
      <c r="C13" s="3"/>
      <c r="D13" s="3"/>
      <c r="E13" s="3"/>
      <c r="F13" s="3"/>
      <c r="I13" s="9" t="s">
        <v>23</v>
      </c>
      <c r="J13" s="7">
        <f t="shared" ref="J13:N13" si="12">B31/B12</f>
        <v>7.7528724892780135E-2</v>
      </c>
      <c r="K13" s="7">
        <f t="shared" si="12"/>
        <v>0.13341528511467712</v>
      </c>
      <c r="L13" s="7">
        <f t="shared" si="12"/>
        <v>0.16491725153219303</v>
      </c>
      <c r="M13" s="7">
        <f t="shared" si="12"/>
        <v>6.6676413416243585E-2</v>
      </c>
      <c r="N13" s="7">
        <f t="shared" si="12"/>
        <v>7.7045423911578384E-2</v>
      </c>
    </row>
    <row r="14" spans="1:22" ht="15.75" customHeight="1">
      <c r="A14" s="9" t="s">
        <v>11</v>
      </c>
      <c r="B14" s="10">
        <v>2718.23</v>
      </c>
      <c r="C14" s="10">
        <v>3716.74</v>
      </c>
      <c r="D14" s="10">
        <v>6460.87</v>
      </c>
      <c r="E14" s="10">
        <v>8916.33</v>
      </c>
      <c r="F14" s="10">
        <v>9593.64</v>
      </c>
    </row>
    <row r="15" spans="1:22" ht="15.75" customHeight="1">
      <c r="A15" s="9" t="s">
        <v>24</v>
      </c>
      <c r="B15" s="10">
        <v>63.25</v>
      </c>
      <c r="C15" s="10">
        <v>67.58</v>
      </c>
      <c r="D15" s="10">
        <v>32.54</v>
      </c>
      <c r="E15" s="10">
        <v>292.56</v>
      </c>
      <c r="F15" s="10">
        <v>31.23</v>
      </c>
    </row>
    <row r="16" spans="1:22" ht="15.75" customHeight="1">
      <c r="A16" s="9" t="s">
        <v>25</v>
      </c>
      <c r="B16" s="10">
        <v>-103.5</v>
      </c>
      <c r="C16" s="10">
        <v>48.99</v>
      </c>
      <c r="D16" s="10">
        <v>-180.87</v>
      </c>
      <c r="E16" s="10">
        <v>-242.64</v>
      </c>
      <c r="F16" s="10">
        <v>-146.19</v>
      </c>
    </row>
    <row r="17" spans="1:14" ht="15.75" customHeight="1">
      <c r="A17" s="9" t="s">
        <v>26</v>
      </c>
      <c r="B17" s="10">
        <v>168.36</v>
      </c>
      <c r="C17" s="10">
        <v>188.14</v>
      </c>
      <c r="D17" s="10">
        <v>246.56</v>
      </c>
      <c r="E17" s="10">
        <v>345.15</v>
      </c>
      <c r="F17" s="10">
        <v>368.52</v>
      </c>
      <c r="I17" s="2" t="s">
        <v>27</v>
      </c>
    </row>
    <row r="18" spans="1:14" ht="15.75" customHeight="1">
      <c r="A18" s="9" t="s">
        <v>14</v>
      </c>
      <c r="B18" s="10">
        <v>85.89</v>
      </c>
      <c r="C18" s="10">
        <v>62.46</v>
      </c>
      <c r="D18" s="10">
        <v>23.16</v>
      </c>
      <c r="E18" s="10">
        <v>93.13</v>
      </c>
      <c r="F18" s="10">
        <v>133.28</v>
      </c>
    </row>
    <row r="19" spans="1:14" ht="15.75" customHeight="1">
      <c r="A19" s="9" t="s">
        <v>17</v>
      </c>
      <c r="B19" s="10">
        <v>296.68</v>
      </c>
      <c r="C19" s="10">
        <v>300.36</v>
      </c>
      <c r="D19" s="10">
        <v>272.39999999999998</v>
      </c>
      <c r="E19" s="10">
        <v>463.08</v>
      </c>
      <c r="F19" s="10">
        <v>656.04</v>
      </c>
      <c r="J19" s="6">
        <v>45736</v>
      </c>
      <c r="K19" s="6">
        <v>45737</v>
      </c>
      <c r="L19" s="6">
        <v>45738</v>
      </c>
      <c r="M19" s="6">
        <v>45739</v>
      </c>
      <c r="N19" s="6">
        <v>45740</v>
      </c>
    </row>
    <row r="20" spans="1:14" ht="15.75" customHeight="1">
      <c r="A20" s="9" t="s">
        <v>28</v>
      </c>
      <c r="B20" s="10">
        <v>863.92</v>
      </c>
      <c r="C20" s="10">
        <v>881.83</v>
      </c>
      <c r="D20" s="10">
        <v>1235.1199999999999</v>
      </c>
      <c r="E20" s="10">
        <v>1812.89</v>
      </c>
      <c r="F20" s="10">
        <v>1778</v>
      </c>
      <c r="I20" s="11" t="s">
        <v>29</v>
      </c>
      <c r="J20" s="7">
        <f t="shared" ref="J20:N20" si="13">B10</f>
        <v>4376.3500000000004</v>
      </c>
      <c r="K20" s="7">
        <f t="shared" si="13"/>
        <v>6297.07</v>
      </c>
      <c r="L20" s="7">
        <f t="shared" si="13"/>
        <v>10393.959999999999</v>
      </c>
      <c r="M20" s="7">
        <f t="shared" si="13"/>
        <v>12610.18</v>
      </c>
      <c r="N20" s="7">
        <f t="shared" si="13"/>
        <v>13195.22</v>
      </c>
    </row>
    <row r="21" spans="1:14" ht="15.75" customHeight="1">
      <c r="A21" s="9" t="s">
        <v>18</v>
      </c>
      <c r="B21" s="10">
        <v>4092.83</v>
      </c>
      <c r="C21" s="10">
        <v>5266.1</v>
      </c>
      <c r="D21" s="10">
        <v>8089.78</v>
      </c>
      <c r="E21" s="10">
        <v>11680.5</v>
      </c>
      <c r="F21" s="10">
        <v>12414.52</v>
      </c>
      <c r="I21" s="2" t="s">
        <v>30</v>
      </c>
      <c r="K21" s="8">
        <f t="shared" ref="K21:N21" si="14">((K20-J20)/J20)</f>
        <v>0.43888628651730305</v>
      </c>
      <c r="L21" s="8">
        <f t="shared" si="14"/>
        <v>0.65060258183567909</v>
      </c>
      <c r="M21" s="8">
        <f t="shared" si="14"/>
        <v>0.21322190964752619</v>
      </c>
      <c r="N21" s="8">
        <f t="shared" si="14"/>
        <v>4.6394262413383396E-2</v>
      </c>
    </row>
    <row r="22" spans="1:14" ht="15.75" customHeight="1">
      <c r="A22" s="9" t="s">
        <v>31</v>
      </c>
      <c r="B22" s="10">
        <v>295.35000000000002</v>
      </c>
      <c r="C22" s="10">
        <v>1054.69</v>
      </c>
      <c r="D22" s="10">
        <v>2364.19</v>
      </c>
      <c r="E22" s="10">
        <v>1041.69</v>
      </c>
      <c r="F22" s="10">
        <v>939.68</v>
      </c>
      <c r="I22" s="11" t="s">
        <v>32</v>
      </c>
      <c r="J22" s="7">
        <f t="shared" ref="J22:N22" si="15">B11</f>
        <v>11.83</v>
      </c>
      <c r="K22" s="7">
        <f t="shared" si="15"/>
        <v>23.72</v>
      </c>
      <c r="L22" s="7">
        <f t="shared" si="15"/>
        <v>60.01</v>
      </c>
      <c r="M22" s="7">
        <f t="shared" si="15"/>
        <v>112.01</v>
      </c>
      <c r="N22" s="7">
        <f t="shared" si="15"/>
        <v>158.97999999999999</v>
      </c>
    </row>
    <row r="23" spans="1:14" ht="15.75" customHeight="1">
      <c r="A23" s="9" t="s">
        <v>19</v>
      </c>
      <c r="B23" s="10">
        <v>295.35000000000002</v>
      </c>
      <c r="C23" s="10">
        <v>1054.69</v>
      </c>
      <c r="D23" s="10">
        <v>2364.19</v>
      </c>
      <c r="E23" s="10">
        <v>1041.69</v>
      </c>
      <c r="F23" s="10">
        <v>939.68</v>
      </c>
      <c r="I23" s="2" t="s">
        <v>30</v>
      </c>
      <c r="K23" s="8">
        <f t="shared" ref="K23:N23" si="16">((K22-J22)/J22)</f>
        <v>1.0050718512256973</v>
      </c>
      <c r="L23" s="8">
        <f t="shared" si="16"/>
        <v>1.5299325463743676</v>
      </c>
      <c r="M23" s="8">
        <f t="shared" si="16"/>
        <v>0.8665222462922848</v>
      </c>
      <c r="N23" s="8">
        <f t="shared" si="16"/>
        <v>0.41933755914650461</v>
      </c>
    </row>
    <row r="24" spans="1:14" ht="15.75" customHeight="1">
      <c r="A24" s="9" t="s">
        <v>33</v>
      </c>
      <c r="B24" s="3"/>
      <c r="C24" s="3"/>
      <c r="D24" s="3"/>
      <c r="E24" s="3"/>
      <c r="F24" s="3"/>
      <c r="I24" s="11" t="s">
        <v>34</v>
      </c>
      <c r="J24" s="7">
        <f t="shared" ref="J24:N24" si="17">B14+B15+B16</f>
        <v>2677.98</v>
      </c>
      <c r="K24" s="7">
        <f t="shared" si="17"/>
        <v>3833.3099999999995</v>
      </c>
      <c r="L24" s="7">
        <f t="shared" si="17"/>
        <v>6312.54</v>
      </c>
      <c r="M24" s="7">
        <f t="shared" si="17"/>
        <v>8966.25</v>
      </c>
      <c r="N24" s="7">
        <f t="shared" si="17"/>
        <v>9478.6799999999985</v>
      </c>
    </row>
    <row r="25" spans="1:14" ht="15.75" customHeight="1">
      <c r="A25" s="9" t="s">
        <v>21</v>
      </c>
      <c r="B25" s="10">
        <v>57.45</v>
      </c>
      <c r="C25" s="10">
        <v>266.56</v>
      </c>
      <c r="D25" s="10">
        <v>539.46</v>
      </c>
      <c r="E25" s="10">
        <v>234.59</v>
      </c>
      <c r="F25" s="10">
        <v>-100.25</v>
      </c>
      <c r="I25" s="2" t="s">
        <v>30</v>
      </c>
      <c r="K25" s="8">
        <f t="shared" ref="K25:N25" si="18">((K24-J24)/J24)</f>
        <v>0.43141845719534855</v>
      </c>
      <c r="L25" s="8">
        <f t="shared" si="18"/>
        <v>0.64675958897141139</v>
      </c>
      <c r="M25" s="8">
        <f t="shared" si="18"/>
        <v>0.42038703913163322</v>
      </c>
      <c r="N25" s="8">
        <f t="shared" si="18"/>
        <v>5.7150982852362857E-2</v>
      </c>
    </row>
    <row r="26" spans="1:14" ht="15.75" customHeight="1">
      <c r="A26" s="9" t="s">
        <v>35</v>
      </c>
      <c r="B26" s="10">
        <v>0</v>
      </c>
      <c r="C26" s="10">
        <v>0</v>
      </c>
      <c r="D26" s="10">
        <v>-100.79</v>
      </c>
      <c r="E26" s="10">
        <v>0</v>
      </c>
      <c r="F26" s="10">
        <v>0</v>
      </c>
      <c r="I26" s="11" t="s">
        <v>36</v>
      </c>
      <c r="J26" s="7">
        <f>J20-J24</f>
        <v>1698.3700000000003</v>
      </c>
      <c r="K26" s="7">
        <f t="shared" ref="K26:N26" si="19">K20+K22-K24</f>
        <v>2487.4800000000005</v>
      </c>
      <c r="L26" s="7">
        <f t="shared" si="19"/>
        <v>4141.4299999999994</v>
      </c>
      <c r="M26" s="7">
        <f t="shared" si="19"/>
        <v>3755.9400000000005</v>
      </c>
      <c r="N26" s="7">
        <f t="shared" si="19"/>
        <v>3875.5200000000004</v>
      </c>
    </row>
    <row r="27" spans="1:14" ht="14.4">
      <c r="A27" s="9" t="s">
        <v>37</v>
      </c>
      <c r="B27" s="10">
        <v>-102.31</v>
      </c>
      <c r="C27" s="10">
        <v>-55.16</v>
      </c>
      <c r="D27" s="10">
        <v>-0.1</v>
      </c>
      <c r="E27" s="10">
        <v>-41.17</v>
      </c>
      <c r="F27" s="10">
        <v>11.05</v>
      </c>
      <c r="I27" s="2" t="s">
        <v>30</v>
      </c>
      <c r="K27" s="8">
        <f t="shared" ref="K27:N27" si="20">((K26-J26)/J26)</f>
        <v>0.4646278490552706</v>
      </c>
      <c r="L27" s="8">
        <f t="shared" si="20"/>
        <v>0.6649098686220587</v>
      </c>
      <c r="M27" s="8">
        <f t="shared" si="20"/>
        <v>-9.3081375273757844E-2</v>
      </c>
      <c r="N27" s="8">
        <f t="shared" si="20"/>
        <v>3.1837569290244228E-2</v>
      </c>
    </row>
    <row r="28" spans="1:14" ht="14.4">
      <c r="A28" s="9" t="s">
        <v>38</v>
      </c>
      <c r="B28" s="10">
        <v>-44.86</v>
      </c>
      <c r="C28" s="10">
        <v>211.4</v>
      </c>
      <c r="D28" s="10">
        <v>640.15</v>
      </c>
      <c r="E28" s="10">
        <v>193.42</v>
      </c>
      <c r="F28" s="10">
        <v>-89.2</v>
      </c>
      <c r="I28" s="11" t="s">
        <v>39</v>
      </c>
      <c r="J28" s="7">
        <f t="shared" ref="J28:N28" si="21">B17+B20</f>
        <v>1032.28</v>
      </c>
      <c r="K28" s="7">
        <f t="shared" si="21"/>
        <v>1069.97</v>
      </c>
      <c r="L28" s="7">
        <f t="shared" si="21"/>
        <v>1481.6799999999998</v>
      </c>
      <c r="M28" s="7">
        <f t="shared" si="21"/>
        <v>2158.04</v>
      </c>
      <c r="N28" s="7">
        <f t="shared" si="21"/>
        <v>2146.52</v>
      </c>
    </row>
    <row r="29" spans="1:14" ht="14.4">
      <c r="A29" s="9" t="s">
        <v>40</v>
      </c>
      <c r="B29" s="10">
        <v>340.21</v>
      </c>
      <c r="C29" s="10">
        <v>843.29</v>
      </c>
      <c r="D29" s="10">
        <v>1724.04</v>
      </c>
      <c r="E29" s="10">
        <v>848.27</v>
      </c>
      <c r="F29" s="10">
        <v>1028.8800000000001</v>
      </c>
      <c r="I29" s="2" t="s">
        <v>30</v>
      </c>
      <c r="K29" s="8">
        <f t="shared" ref="K29:N29" si="22">((K28-J28)/J28)</f>
        <v>3.6511411632502863E-2</v>
      </c>
      <c r="L29" s="8">
        <f t="shared" si="22"/>
        <v>0.38478648934082244</v>
      </c>
      <c r="M29" s="8">
        <f t="shared" si="22"/>
        <v>0.45648183143458793</v>
      </c>
      <c r="N29" s="8">
        <f t="shared" si="22"/>
        <v>-5.3381772348983251E-3</v>
      </c>
    </row>
    <row r="30" spans="1:14" ht="14.4">
      <c r="A30" s="9" t="s">
        <v>41</v>
      </c>
      <c r="B30" s="10">
        <v>340.21</v>
      </c>
      <c r="C30" s="10">
        <v>843.29</v>
      </c>
      <c r="D30" s="10">
        <v>1724.04</v>
      </c>
      <c r="E30" s="10">
        <v>848.27</v>
      </c>
      <c r="F30" s="10">
        <v>1028.8800000000001</v>
      </c>
      <c r="I30" s="11" t="s">
        <v>42</v>
      </c>
      <c r="J30" s="7">
        <f>J26+J22-J28</f>
        <v>677.9200000000003</v>
      </c>
      <c r="K30" s="7">
        <f t="shared" ref="K30:N30" si="23">K26-K28</f>
        <v>1417.5100000000004</v>
      </c>
      <c r="L30" s="7">
        <f t="shared" si="23"/>
        <v>2659.7499999999995</v>
      </c>
      <c r="M30" s="7">
        <f t="shared" si="23"/>
        <v>1597.9000000000005</v>
      </c>
      <c r="N30" s="7">
        <f t="shared" si="23"/>
        <v>1729.0000000000005</v>
      </c>
    </row>
    <row r="31" spans="1:14" ht="14.4">
      <c r="A31" s="9" t="s">
        <v>23</v>
      </c>
      <c r="B31" s="10">
        <v>340.21</v>
      </c>
      <c r="C31" s="10">
        <v>843.29</v>
      </c>
      <c r="D31" s="10">
        <v>1724.04</v>
      </c>
      <c r="E31" s="10">
        <v>848.27</v>
      </c>
      <c r="F31" s="10">
        <v>1028.8800000000001</v>
      </c>
      <c r="I31" s="2" t="s">
        <v>30</v>
      </c>
      <c r="K31" s="8">
        <f t="shared" ref="K31:N31" si="24">((K30-J30)/J30)</f>
        <v>1.0909694359216424</v>
      </c>
      <c r="L31" s="8">
        <f t="shared" si="24"/>
        <v>0.87635360597103285</v>
      </c>
      <c r="M31" s="8">
        <f t="shared" si="24"/>
        <v>-0.39922925086944233</v>
      </c>
      <c r="N31" s="8">
        <f t="shared" si="24"/>
        <v>8.2045184304399443E-2</v>
      </c>
    </row>
    <row r="32" spans="1:14" ht="14.4">
      <c r="A32" s="9" t="s">
        <v>43</v>
      </c>
      <c r="B32" s="10">
        <v>0.01</v>
      </c>
      <c r="C32" s="10">
        <v>-0.2</v>
      </c>
      <c r="D32" s="10">
        <v>0.36</v>
      </c>
      <c r="E32" s="10">
        <v>9.19</v>
      </c>
      <c r="F32" s="10">
        <v>5.79</v>
      </c>
      <c r="I32" s="11" t="s">
        <v>44</v>
      </c>
      <c r="J32" s="7">
        <f t="shared" ref="J32:N32" si="25">B19</f>
        <v>296.68</v>
      </c>
      <c r="K32" s="7">
        <f t="shared" si="25"/>
        <v>300.36</v>
      </c>
      <c r="L32" s="7">
        <f t="shared" si="25"/>
        <v>272.39999999999998</v>
      </c>
      <c r="M32" s="7">
        <f t="shared" si="25"/>
        <v>463.08</v>
      </c>
      <c r="N32" s="7">
        <f t="shared" si="25"/>
        <v>656.04</v>
      </c>
    </row>
    <row r="33" spans="1:14" ht="14.4">
      <c r="A33" s="9" t="s">
        <v>45</v>
      </c>
      <c r="B33" s="10">
        <v>0.02</v>
      </c>
      <c r="C33" s="10">
        <v>0.27</v>
      </c>
      <c r="D33" s="10">
        <v>0.14000000000000001</v>
      </c>
      <c r="E33" s="10">
        <v>0.14000000000000001</v>
      </c>
      <c r="F33" s="10">
        <v>0.12</v>
      </c>
      <c r="I33" s="2" t="s">
        <v>30</v>
      </c>
      <c r="K33" s="8">
        <f t="shared" ref="K33:N33" si="26">((K32-J32)/J32)</f>
        <v>1.2403936901712305E-2</v>
      </c>
      <c r="L33" s="8">
        <f t="shared" si="26"/>
        <v>-9.3088294047143541E-2</v>
      </c>
      <c r="M33" s="8">
        <f t="shared" si="26"/>
        <v>0.70000000000000007</v>
      </c>
      <c r="N33" s="8">
        <f t="shared" si="26"/>
        <v>0.41668826120756669</v>
      </c>
    </row>
    <row r="34" spans="1:14" ht="14.4">
      <c r="A34" s="9" t="s">
        <v>46</v>
      </c>
      <c r="B34" s="10">
        <v>340.24</v>
      </c>
      <c r="C34" s="10">
        <v>843.36</v>
      </c>
      <c r="D34" s="10">
        <v>1724.54</v>
      </c>
      <c r="E34" s="10">
        <v>857.6</v>
      </c>
      <c r="F34" s="10">
        <v>1034.79</v>
      </c>
      <c r="I34" s="11" t="s">
        <v>47</v>
      </c>
      <c r="J34" s="7">
        <f t="shared" ref="J34:N34" si="27">J30-J32</f>
        <v>381.24000000000029</v>
      </c>
      <c r="K34" s="7">
        <f t="shared" si="27"/>
        <v>1117.1500000000005</v>
      </c>
      <c r="L34" s="7">
        <f t="shared" si="27"/>
        <v>2387.3499999999995</v>
      </c>
      <c r="M34" s="7">
        <f t="shared" si="27"/>
        <v>1134.8200000000006</v>
      </c>
      <c r="N34" s="7">
        <f t="shared" si="27"/>
        <v>1072.9600000000005</v>
      </c>
    </row>
    <row r="35" spans="1:14" ht="13.2">
      <c r="I35" s="2" t="s">
        <v>30</v>
      </c>
      <c r="K35" s="8">
        <f t="shared" ref="K35:N35" si="28">((K34-J34)/J34)</f>
        <v>1.9303063686916371</v>
      </c>
      <c r="L35" s="8">
        <f t="shared" si="28"/>
        <v>1.1370004028107221</v>
      </c>
      <c r="M35" s="8">
        <f t="shared" si="28"/>
        <v>-0.52465285777116855</v>
      </c>
      <c r="N35" s="8">
        <f t="shared" si="28"/>
        <v>-5.451084753529202E-2</v>
      </c>
    </row>
    <row r="36" spans="1:14" ht="13.2">
      <c r="I36" s="11" t="s">
        <v>48</v>
      </c>
      <c r="J36" s="7">
        <f t="shared" ref="J36:N36" si="29">B18</f>
        <v>85.89</v>
      </c>
      <c r="K36" s="7">
        <f t="shared" si="29"/>
        <v>62.46</v>
      </c>
      <c r="L36" s="7">
        <f t="shared" si="29"/>
        <v>23.16</v>
      </c>
      <c r="M36" s="7">
        <f t="shared" si="29"/>
        <v>93.13</v>
      </c>
      <c r="N36" s="7">
        <f t="shared" si="29"/>
        <v>133.28</v>
      </c>
    </row>
    <row r="37" spans="1:14" ht="13.2">
      <c r="I37" s="2" t="s">
        <v>49</v>
      </c>
      <c r="K37" s="8">
        <f t="shared" ref="K37:N37" si="30">((K36-J36)/J36)</f>
        <v>-0.27279077890324832</v>
      </c>
      <c r="L37" s="8">
        <f t="shared" si="30"/>
        <v>-0.62920268972142168</v>
      </c>
      <c r="M37" s="8">
        <f t="shared" si="30"/>
        <v>3.0211571675302245</v>
      </c>
      <c r="N37" s="8">
        <f t="shared" si="30"/>
        <v>0.43111779233329761</v>
      </c>
    </row>
    <row r="38" spans="1:14" ht="13.2">
      <c r="I38" s="11" t="s">
        <v>50</v>
      </c>
      <c r="J38" s="7">
        <f t="shared" ref="J38:N38" si="31">J34-J36</f>
        <v>295.35000000000031</v>
      </c>
      <c r="K38" s="7">
        <f t="shared" si="31"/>
        <v>1054.6900000000005</v>
      </c>
      <c r="L38" s="7">
        <f t="shared" si="31"/>
        <v>2364.1899999999996</v>
      </c>
      <c r="M38" s="7">
        <f t="shared" si="31"/>
        <v>1041.6900000000005</v>
      </c>
      <c r="N38" s="7">
        <f t="shared" si="31"/>
        <v>939.68000000000052</v>
      </c>
    </row>
    <row r="39" spans="1:14" ht="13.2">
      <c r="I39" s="2" t="s">
        <v>30</v>
      </c>
      <c r="K39" s="8">
        <f t="shared" ref="K39:N39" si="32">((K38-J38)/J38)</f>
        <v>2.5709835788048059</v>
      </c>
      <c r="L39" s="8">
        <f t="shared" si="32"/>
        <v>1.2415970569551229</v>
      </c>
      <c r="M39" s="8">
        <f t="shared" si="32"/>
        <v>-0.5593882048397123</v>
      </c>
      <c r="N39" s="8">
        <f t="shared" si="32"/>
        <v>-9.7927406426096E-2</v>
      </c>
    </row>
    <row r="40" spans="1:14" ht="13.2">
      <c r="I40" s="11" t="s">
        <v>51</v>
      </c>
      <c r="J40" s="7">
        <f t="shared" ref="J40:N40" si="33">B28</f>
        <v>-44.86</v>
      </c>
      <c r="K40" s="7">
        <f t="shared" si="33"/>
        <v>211.4</v>
      </c>
      <c r="L40" s="7">
        <f t="shared" si="33"/>
        <v>640.15</v>
      </c>
      <c r="M40" s="7">
        <f t="shared" si="33"/>
        <v>193.42</v>
      </c>
      <c r="N40" s="7">
        <f t="shared" si="33"/>
        <v>-89.2</v>
      </c>
    </row>
    <row r="41" spans="1:14" ht="13.2">
      <c r="I41" s="2" t="s">
        <v>30</v>
      </c>
      <c r="K41" s="8">
        <f t="shared" ref="K41:N41" si="34">((K40-J40)/J40)</f>
        <v>-5.7124386981720905</v>
      </c>
      <c r="L41" s="8">
        <f t="shared" si="34"/>
        <v>2.0281456953642385</v>
      </c>
      <c r="M41" s="8">
        <f t="shared" si="34"/>
        <v>-0.69785206592204962</v>
      </c>
      <c r="N41" s="8">
        <f t="shared" si="34"/>
        <v>-1.4611725778099474</v>
      </c>
    </row>
    <row r="42" spans="1:14" ht="13.2">
      <c r="I42" s="11" t="s">
        <v>52</v>
      </c>
      <c r="J42" s="7">
        <f t="shared" ref="J42:N42" si="35">J38-J40</f>
        <v>340.21000000000032</v>
      </c>
      <c r="K42" s="7">
        <f t="shared" si="35"/>
        <v>843.29000000000053</v>
      </c>
      <c r="L42" s="7">
        <f t="shared" si="35"/>
        <v>1724.0399999999995</v>
      </c>
      <c r="M42" s="7">
        <f t="shared" si="35"/>
        <v>848.27000000000055</v>
      </c>
      <c r="N42" s="7">
        <f t="shared" si="35"/>
        <v>1028.8800000000006</v>
      </c>
    </row>
    <row r="43" spans="1:14" ht="13.2">
      <c r="I43" s="2" t="s">
        <v>30</v>
      </c>
      <c r="K43" s="8">
        <f t="shared" ref="K43:N43" si="36">((K42-J42)/J42)</f>
        <v>1.4787337232885562</v>
      </c>
      <c r="L43" s="8">
        <f t="shared" si="36"/>
        <v>1.044421254847085</v>
      </c>
      <c r="M43" s="8">
        <f t="shared" si="36"/>
        <v>-0.50797545300573022</v>
      </c>
      <c r="N43" s="8">
        <f t="shared" si="36"/>
        <v>0.21291569901092799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4000000}">
          <x14:colorSeries rgb="FF000000"/>
          <x14:sparklines>
            <x14:sparkline>
              <xm:f>'I&amp;S'!Q8:U8</xm:f>
              <xm:sqref>V8</xm:sqref>
            </x14:sparkline>
          </x14:sparklines>
        </x14:sparklineGroup>
        <x14:sparklineGroup displayEmptyCellsAs="gap" xr2:uid="{00000000-0003-0000-0000-000003000000}">
          <x14:colorSeries rgb="FF000000"/>
          <x14:sparklines>
            <x14:sparkline>
              <xm:f>'I&amp;S'!Q7:U7</xm:f>
              <xm:sqref>V7</xm:sqref>
            </x14:sparkline>
          </x14:sparklines>
        </x14:sparklineGroup>
        <x14:sparklineGroup displayEmptyCellsAs="gap" xr2:uid="{00000000-0003-0000-0000-000002000000}">
          <x14:colorSeries rgb="FF000000"/>
          <x14:sparklines>
            <x14:sparkline>
              <xm:f>'I&amp;S'!Q6:U6</xm:f>
              <xm:sqref>V6</xm:sqref>
            </x14:sparkline>
          </x14:sparklines>
        </x14:sparklineGroup>
        <x14:sparklineGroup displayEmptyCellsAs="gap" xr2:uid="{00000000-0003-0000-0000-000001000000}">
          <x14:colorSeries rgb="FF000000"/>
          <x14:sparklines>
            <x14:sparkline>
              <xm:f>'I&amp;S'!Q5:U5</xm:f>
              <xm:sqref>V5</xm:sqref>
            </x14:sparkline>
          </x14:sparklines>
        </x14:sparklineGroup>
        <x14:sparklineGroup displayEmptyCellsAs="gap" xr2:uid="{00000000-0003-0000-0000-000000000000}">
          <x14:colorSeries rgb="FF000000"/>
          <x14:sparklines>
            <x14:sparkline>
              <xm:f>'I&amp;S'!Q4:U4</xm:f>
              <xm:sqref>V4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G35"/>
  <sheetViews>
    <sheetView workbookViewId="0"/>
  </sheetViews>
  <sheetFormatPr defaultColWidth="12.6640625" defaultRowHeight="15.75" customHeight="1"/>
  <cols>
    <col min="1" max="1" width="81.88671875" customWidth="1"/>
  </cols>
  <sheetData>
    <row r="2" spans="1:7" ht="15.75" customHeight="1">
      <c r="A2" s="12" t="s">
        <v>53</v>
      </c>
      <c r="B2" s="6">
        <v>45736</v>
      </c>
      <c r="C2" s="6">
        <v>45737</v>
      </c>
      <c r="D2" s="6">
        <v>45738</v>
      </c>
      <c r="E2" s="6">
        <v>45739</v>
      </c>
      <c r="F2" s="6">
        <v>45740</v>
      </c>
    </row>
    <row r="3" spans="1:7" ht="15.75" customHeight="1">
      <c r="A3" s="13" t="s">
        <v>54</v>
      </c>
    </row>
    <row r="4" spans="1:7" ht="15.75" customHeight="1">
      <c r="A4" s="14" t="s">
        <v>55</v>
      </c>
      <c r="B4" s="7">
        <f>BS!B17/(BS!B5+BS!B6)</f>
        <v>1.7905907322249734</v>
      </c>
      <c r="C4" s="7">
        <f>BS!C17/(BS!C5+BS!C6)</f>
        <v>1.4914694551458447</v>
      </c>
      <c r="D4" s="7">
        <f>BS!D17/(BS!D5+BS!D6)</f>
        <v>1.4438731790916881</v>
      </c>
      <c r="E4" s="7">
        <f>BS!E17/(BS!E5+BS!E6)</f>
        <v>1.5935953820780648</v>
      </c>
      <c r="F4" s="7">
        <f>BS!F17/(BS!F5+BS!F6)</f>
        <v>1.4919664144293563</v>
      </c>
      <c r="G4" s="7"/>
    </row>
    <row r="5" spans="1:7" ht="15.75" customHeight="1">
      <c r="A5" s="14" t="s">
        <v>56</v>
      </c>
      <c r="B5" s="7">
        <f>BS!B7/BS!B40</f>
        <v>0.22007111813512445</v>
      </c>
      <c r="C5" s="7">
        <f>BS!C7/BS!C40</f>
        <v>0.14686346863468636</v>
      </c>
      <c r="D5" s="7">
        <f>BS!D7/BS!D40</f>
        <v>6.4451038575667655E-2</v>
      </c>
      <c r="E5" s="7">
        <f>BS!E7/BS!E40</f>
        <v>0.10107805088400172</v>
      </c>
      <c r="F5" s="7">
        <f>BS!F7/BS!F40</f>
        <v>4.1478496491349964E-2</v>
      </c>
      <c r="G5" s="7"/>
    </row>
    <row r="6" spans="1:7" ht="15.75" customHeight="1">
      <c r="A6" s="14" t="s">
        <v>57</v>
      </c>
      <c r="B6" s="7">
        <f>BS!B8/BS!B40</f>
        <v>6.934018174634532E-2</v>
      </c>
      <c r="C6" s="7">
        <f>BS!C8/BS!C40</f>
        <v>2.2140221402214021E-2</v>
      </c>
      <c r="D6" s="7">
        <f>BS!D8/BS!D40</f>
        <v>1.4955489614243324E-2</v>
      </c>
      <c r="E6" s="7">
        <f>BS!E8/BS!E40</f>
        <v>2.8633031479085812E-2</v>
      </c>
      <c r="F6" s="7">
        <f>BS!F8/BS!F40</f>
        <v>1.8689640797609951E-2</v>
      </c>
      <c r="G6" s="7"/>
    </row>
    <row r="7" spans="1:7" ht="15.75" customHeight="1">
      <c r="A7" s="14" t="s">
        <v>58</v>
      </c>
      <c r="B7" s="7">
        <f>BS!B9/BS!B40</f>
        <v>0.13808771236665349</v>
      </c>
      <c r="C7" s="7">
        <f>BS!C9/BS!C40</f>
        <v>0.12343173431734317</v>
      </c>
      <c r="D7" s="7">
        <f>BS!D9/BS!D40</f>
        <v>4.8427299703264093E-2</v>
      </c>
      <c r="E7" s="7">
        <f>BS!E9/BS!E40</f>
        <v>7.1582578697714533E-2</v>
      </c>
      <c r="F7" s="7">
        <f>BS!F9/BS!F40</f>
        <v>2.2163551726533733E-2</v>
      </c>
      <c r="G7" s="7"/>
    </row>
    <row r="8" spans="1:7" ht="15.75" customHeight="1">
      <c r="A8" s="14" t="s">
        <v>59</v>
      </c>
      <c r="B8" s="7">
        <f>BS!B40/(BS!B5+BS!B6)</f>
        <v>1.7905907322249734</v>
      </c>
      <c r="C8" s="7">
        <f>BS!C40/(BS!C5+BS!C6)</f>
        <v>1.4914694551458447</v>
      </c>
      <c r="D8" s="7">
        <f>BS!D40/(BS!D5+BS!D6)</f>
        <v>1.4438731790916881</v>
      </c>
      <c r="E8" s="7">
        <f>BS!E40/(BS!E5+BS!E6)</f>
        <v>1.5935953820780648</v>
      </c>
      <c r="F8" s="7">
        <f>BS!F40/(BS!F5+BS!F6)</f>
        <v>1.4919664144293563</v>
      </c>
      <c r="G8" s="7"/>
    </row>
    <row r="9" spans="1:7" ht="15.75" customHeight="1">
      <c r="A9" s="14" t="s">
        <v>60</v>
      </c>
    </row>
    <row r="10" spans="1:7" ht="15.75" customHeight="1">
      <c r="A10" s="15"/>
    </row>
    <row r="11" spans="1:7" ht="15.75" customHeight="1">
      <c r="A11" s="16" t="s">
        <v>61</v>
      </c>
    </row>
    <row r="12" spans="1:7" ht="15.75" customHeight="1">
      <c r="A12" s="14" t="s">
        <v>62</v>
      </c>
      <c r="B12" s="7">
        <f>BS!B31/BS!B12</f>
        <v>2.3818019625334523</v>
      </c>
      <c r="C12" s="7">
        <f>BS!C31/BS!C12</f>
        <v>2.8575757575757574</v>
      </c>
      <c r="D12" s="7">
        <f>BS!D31/BS!D12</f>
        <v>2.0351734245236934</v>
      </c>
      <c r="E12" s="7">
        <f>BS!E31/BS!E12</f>
        <v>1.2840800762631077</v>
      </c>
      <c r="F12" s="7">
        <f>BS!F31/BS!F12</f>
        <v>1.0534939759036144</v>
      </c>
      <c r="G12" s="7"/>
    </row>
    <row r="13" spans="1:7" ht="15.75" customHeight="1">
      <c r="A13" s="14" t="s">
        <v>63</v>
      </c>
      <c r="B13" s="7">
        <f>(BS!B31-BS!B32)/BS!B12</f>
        <v>1.055307760927743</v>
      </c>
      <c r="C13" s="7">
        <f>(BS!C31-BS!C32)/BS!C12</f>
        <v>1.8171717171717172</v>
      </c>
      <c r="D13" s="7">
        <f>(BS!D31-BS!D32)/BS!D12</f>
        <v>1.0302882266731803</v>
      </c>
      <c r="E13" s="7">
        <f>(BS!E31-BS!E32)/BS!E12</f>
        <v>0.58055290753098188</v>
      </c>
      <c r="F13" s="7">
        <f>(BS!F31-BS!F32)/BS!F12</f>
        <v>0.53060240963855421</v>
      </c>
      <c r="G13" s="7"/>
    </row>
    <row r="14" spans="1:7" ht="15.75" customHeight="1">
      <c r="A14" s="14" t="s">
        <v>64</v>
      </c>
      <c r="B14" s="7">
        <f>BS!B37/BS!B12</f>
        <v>0.10793933987511151</v>
      </c>
      <c r="C14" s="7">
        <f>BS!C37/BS!C12</f>
        <v>0.32727272727272727</v>
      </c>
      <c r="D14" s="7">
        <f>BS!D37/BS!D12</f>
        <v>0.15925744992672203</v>
      </c>
      <c r="E14" s="7">
        <f>BS!E37/BS!E12</f>
        <v>6.0374960279631393E-2</v>
      </c>
      <c r="F14" s="7">
        <f>BS!F37/BS!F12</f>
        <v>1.2048192771084338E-2</v>
      </c>
      <c r="G14" s="7"/>
    </row>
    <row r="15" spans="1:7" ht="15.75" customHeight="1">
      <c r="A15" s="14" t="s">
        <v>65</v>
      </c>
      <c r="B15" s="7">
        <f>(BS!B37+BS!B33)/('I&amp;S'!B14+'I&amp;S'!B15+'I&amp;S'!B16+'I&amp;S'!B17+'I&amp;S'!B20)</f>
        <v>7.5466409362147116E-2</v>
      </c>
      <c r="C15" s="7">
        <f>(BS!C37+BS!C33)/('I&amp;S'!C14+'I&amp;S'!C15+'I&amp;S'!C16+'I&amp;S'!C17+'I&amp;S'!C20)</f>
        <v>0.17498490806154249</v>
      </c>
      <c r="D15" s="7">
        <f>(BS!D37+BS!D33)/('I&amp;S'!D14+'I&amp;S'!D15+'I&amp;S'!D16+'I&amp;S'!D17+'I&amp;S'!D20)</f>
        <v>9.0066741765051542E-2</v>
      </c>
      <c r="E15" s="7">
        <f>(BS!E37+BS!E33)/('I&amp;S'!E14+'I&amp;S'!E15+'I&amp;S'!E16+'I&amp;S'!E17+'I&amp;S'!E20)</f>
        <v>7.1824808594526043E-2</v>
      </c>
      <c r="F15" s="7">
        <f>(BS!F37+BS!F33)/('I&amp;S'!F14+'I&amp;S'!F15+'I&amp;S'!F16+'I&amp;S'!F17+'I&amp;S'!F20)</f>
        <v>6.5203179300141079E-2</v>
      </c>
      <c r="G15" s="7"/>
    </row>
    <row r="16" spans="1:7" ht="15.75" customHeight="1">
      <c r="A16" s="14" t="s">
        <v>66</v>
      </c>
      <c r="B16" s="17">
        <f>BS!B31-BS!B12</f>
        <v>1549</v>
      </c>
      <c r="C16" s="17">
        <f>BS!C31-BS!C12</f>
        <v>1839</v>
      </c>
      <c r="D16" s="17">
        <f>BS!D31-BS!D12</f>
        <v>2119</v>
      </c>
      <c r="E16" s="17">
        <f>BS!E31-BS!E12</f>
        <v>894</v>
      </c>
      <c r="F16" s="17">
        <f>BS!F31-BS!F12</f>
        <v>222</v>
      </c>
      <c r="G16" s="7"/>
    </row>
    <row r="17" spans="1:7" ht="15.75" customHeight="1">
      <c r="A17" s="14"/>
    </row>
    <row r="18" spans="1:7" ht="15.75" customHeight="1">
      <c r="A18" s="16" t="s">
        <v>67</v>
      </c>
    </row>
    <row r="19" spans="1:7" ht="15.75" customHeight="1">
      <c r="A19" s="14" t="s">
        <v>68</v>
      </c>
      <c r="B19" s="7">
        <f>'I&amp;S'!B34/((234+2256+BS!B5+BS!B6)/2)</f>
        <v>0.1279819447056611</v>
      </c>
      <c r="C19" s="7">
        <f>'I&amp;S'!C34/((BS!B5+BS!B6+BS!C5+BS!C6)/2)</f>
        <v>0.26106175514626218</v>
      </c>
      <c r="D19" s="7">
        <f>'I&amp;S'!D34/((BS!C5+BS!C6+BS!D5+BS!D6)/2)</f>
        <v>0.36424965677473864</v>
      </c>
      <c r="E19" s="7">
        <f>'I&amp;S'!E34/((BS!D5+BS!D6+BS!E5+BS!E6)/2)</f>
        <v>0.13082144763938677</v>
      </c>
      <c r="F19" s="7">
        <f>'I&amp;S'!F34/((BS!E5+BS!E6+BS!F5+BS!F6)/2)</f>
        <v>0.12229391951781599</v>
      </c>
      <c r="G19" s="7"/>
    </row>
    <row r="20" spans="1:7" ht="15.75" customHeight="1">
      <c r="A20" s="14" t="s">
        <v>69</v>
      </c>
      <c r="B20" s="7">
        <f>'I&amp;S'!J34/(BS!B40-BS!B12)</f>
        <v>9.6736868815021637E-2</v>
      </c>
      <c r="C20" s="7">
        <f>'I&amp;S'!K34/(BS!C40-BS!C12)</f>
        <v>0.2521783295711062</v>
      </c>
      <c r="D20" s="7">
        <f>'I&amp;S'!L34/(BS!D40-BS!D12)</f>
        <v>0.37431012856694879</v>
      </c>
      <c r="E20" s="7">
        <f>'I&amp;S'!M34/(BS!E40-BS!E12)</f>
        <v>0.134330018939394</v>
      </c>
      <c r="F20" s="7">
        <f>'I&amp;S'!N34/(BS!F40-BS!F12)</f>
        <v>0.10475056135897691</v>
      </c>
      <c r="G20" s="7"/>
    </row>
    <row r="21" spans="1:7" ht="15.75" customHeight="1">
      <c r="A21" s="14" t="s">
        <v>70</v>
      </c>
      <c r="B21" s="7">
        <f>'I&amp;S'!B34/BS!B40</f>
        <v>6.7214539707625448E-2</v>
      </c>
      <c r="C21" s="7">
        <f>'I&amp;S'!C34/BS!C40</f>
        <v>0.15560147601476015</v>
      </c>
      <c r="D21" s="7">
        <f>'I&amp;S'!D34/BS!D40</f>
        <v>0.20469317507418397</v>
      </c>
      <c r="E21" s="7">
        <f>'I&amp;S'!E34/BS!E40</f>
        <v>7.3962915049590336E-2</v>
      </c>
      <c r="F21" s="7">
        <f>'I&amp;S'!F34/BS!F40</f>
        <v>7.1895365802820813E-2</v>
      </c>
      <c r="G21" s="7"/>
    </row>
    <row r="22" spans="1:7" ht="15.75" customHeight="1">
      <c r="A22" s="14" t="s">
        <v>71</v>
      </c>
      <c r="B22" s="7">
        <f>'I&amp;S'!J34/(BS!B33+BS!B21+BS!B22+BS!B20)</f>
        <v>0.12611313264968585</v>
      </c>
      <c r="C22" s="7">
        <f>'I&amp;S'!K34/(BS!C33+BS!C21+BS!C22+BS!C20)</f>
        <v>0.32037568110123332</v>
      </c>
      <c r="D22" s="7">
        <f>'I&amp;S'!L34/(BS!D33+BS!D21+BS!D22+BS!D20)</f>
        <v>0.5655887230514095</v>
      </c>
      <c r="E22" s="7">
        <f>'I&amp;S'!M34/(BS!E33+BS!E21+BS!E22+BS!E20)</f>
        <v>0.1862192320315065</v>
      </c>
      <c r="F22" s="7">
        <f>'I&amp;S'!N34/(BS!F33+BS!F21+BS!F22+BS!F20)</f>
        <v>0.14382841823056308</v>
      </c>
      <c r="G22" s="7"/>
    </row>
    <row r="23" spans="1:7" ht="15.75" customHeight="1">
      <c r="A23" s="14"/>
    </row>
    <row r="24" spans="1:7" ht="15.75" customHeight="1">
      <c r="A24" s="14"/>
    </row>
    <row r="25" spans="1:7" ht="15.75" customHeight="1">
      <c r="A25" s="18" t="s">
        <v>72</v>
      </c>
    </row>
    <row r="26" spans="1:7" ht="15.75" customHeight="1">
      <c r="A26" s="19" t="s">
        <v>73</v>
      </c>
      <c r="B26" s="7">
        <f>'I&amp;S'!J24/((732+BS!B32)/2)</f>
        <v>2.4136818386660659</v>
      </c>
      <c r="C26" s="7">
        <f>'I&amp;S'!K24/((BS!B32+BS!C32)/2)</f>
        <v>3.0459356376638853</v>
      </c>
      <c r="D26" s="7">
        <f>'I&amp;S'!L24/((BS!C32+BS!D32)/2)</f>
        <v>4.0897570456754133</v>
      </c>
      <c r="E26" s="7">
        <f>'I&amp;S'!M24/((BS!D32+BS!E32)/2)</f>
        <v>4.1986654179349099</v>
      </c>
      <c r="F26" s="7">
        <f>'I&amp;S'!N24/((BS!E32+BS!F32)/2)</f>
        <v>4.3242153284671527</v>
      </c>
      <c r="G26" s="7"/>
    </row>
    <row r="27" spans="1:7" ht="17.399999999999999">
      <c r="A27" s="20" t="s">
        <v>74</v>
      </c>
      <c r="B27" s="7">
        <f t="shared" ref="B27:F27" si="0">365/B26</f>
        <v>151.22125632006214</v>
      </c>
      <c r="C27" s="7">
        <f t="shared" si="0"/>
        <v>119.8318163675779</v>
      </c>
      <c r="D27" s="7">
        <f t="shared" si="0"/>
        <v>89.24735526428347</v>
      </c>
      <c r="E27" s="7">
        <f t="shared" si="0"/>
        <v>86.932385333890977</v>
      </c>
      <c r="F27" s="7">
        <f t="shared" si="0"/>
        <v>84.408377537800632</v>
      </c>
      <c r="G27" s="7"/>
    </row>
    <row r="28" spans="1:7" ht="17.399999999999999">
      <c r="A28" s="14" t="s">
        <v>75</v>
      </c>
    </row>
    <row r="29" spans="1:7" ht="17.399999999999999">
      <c r="A29" s="14" t="s">
        <v>76</v>
      </c>
    </row>
    <row r="30" spans="1:7" ht="17.399999999999999">
      <c r="A30" s="14" t="s">
        <v>77</v>
      </c>
    </row>
    <row r="31" spans="1:7" ht="17.399999999999999">
      <c r="A31" s="14" t="s">
        <v>78</v>
      </c>
    </row>
    <row r="32" spans="1:7" ht="17.399999999999999">
      <c r="A32" s="14" t="s">
        <v>79</v>
      </c>
    </row>
    <row r="33" spans="1:7" ht="17.399999999999999">
      <c r="A33" s="14" t="s">
        <v>80</v>
      </c>
    </row>
    <row r="34" spans="1:7" ht="17.399999999999999">
      <c r="A34" s="14" t="s">
        <v>81</v>
      </c>
      <c r="B34" s="7">
        <f>'I&amp;S'!J20/((4052+BS!B40)/2)</f>
        <v>0.96035769146368233</v>
      </c>
      <c r="C34" s="7">
        <f>'I&amp;S'!K20/((BS!B40+BS!C40)/2)</f>
        <v>1.2015016218278953</v>
      </c>
      <c r="D34" s="7">
        <f>'I&amp;S'!L20/((BS!C40+BS!D40)/2)</f>
        <v>1.5014749006861681</v>
      </c>
      <c r="E34" s="7">
        <f>'I&amp;S'!M20/((BS!D40+BS!E40)/2)</f>
        <v>1.2597582417582418</v>
      </c>
      <c r="F34" s="7">
        <f>'I&amp;S'!N20/((BS!E40+BS!F40)/2)</f>
        <v>1.0154856087424964</v>
      </c>
      <c r="G34" s="7"/>
    </row>
    <row r="35" spans="1:7" ht="17.399999999999999">
      <c r="A35" s="14" t="s">
        <v>82</v>
      </c>
      <c r="B35" s="7">
        <f>'I&amp;S'!J20/(((1647-834)+((2670-1121))/2))</f>
        <v>2.7567559055118114</v>
      </c>
      <c r="C35" s="7">
        <f>'I&amp;S'!K20/((BS!B31-BS!B12)+(BS!C31-BS!C12)/2)</f>
        <v>2.5509702248328945</v>
      </c>
      <c r="D35" s="7">
        <f>'I&amp;S'!L20/((BS!C31-BS!C12)+(BS!D31-BS!D12)/2)</f>
        <v>3.5859789546317056</v>
      </c>
      <c r="E35" s="7">
        <f>'I&amp;S'!M20/((BS!D31-BS!D12)+(BS!E31-BS!E12)/2)</f>
        <v>4.9143335931410759</v>
      </c>
      <c r="F35" s="7">
        <f>'I&amp;S'!N20/((BS!E31-BS!E12)+(BS!F31-BS!F12)/2)</f>
        <v>13.129572139303482</v>
      </c>
      <c r="G35" s="7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100-000016000000}">
          <x14:colorSeries rgb="FF000000"/>
          <x14:sparklines>
            <x14:sparkline>
              <xm:f>ratios!B35:F35</xm:f>
              <xm:sqref>G35</xm:sqref>
            </x14:sparkline>
          </x14:sparklines>
        </x14:sparklineGroup>
        <x14:sparklineGroup type="column" displayEmptyCellsAs="gap" xr2:uid="{00000000-0003-0000-0100-000015000000}">
          <x14:colorSeries rgb="FF000000"/>
          <x14:sparklines>
            <x14:sparkline>
              <xm:f>ratios!B34:F34</xm:f>
              <xm:sqref>G34</xm:sqref>
            </x14:sparkline>
          </x14:sparklines>
        </x14:sparklineGroup>
        <x14:sparklineGroup type="column" displayEmptyCellsAs="gap" xr2:uid="{00000000-0003-0000-0100-000014000000}">
          <x14:colorSeries rgb="FF000000"/>
          <x14:sparklines>
            <x14:sparkline>
              <xm:f>ratios!B27:F27</xm:f>
              <xm:sqref>G27</xm:sqref>
            </x14:sparkline>
          </x14:sparklines>
        </x14:sparklineGroup>
        <x14:sparklineGroup type="column" displayEmptyCellsAs="gap" xr2:uid="{00000000-0003-0000-0100-000013000000}">
          <x14:colorSeries rgb="FF000000"/>
          <x14:sparklines>
            <x14:sparkline>
              <xm:f>ratios!B26:F26</xm:f>
              <xm:sqref>G26</xm:sqref>
            </x14:sparkline>
          </x14:sparklines>
        </x14:sparklineGroup>
        <x14:sparklineGroup type="column" displayEmptyCellsAs="gap" xr2:uid="{00000000-0003-0000-0100-000012000000}">
          <x14:colorSeries rgb="FF000000"/>
          <x14:sparklines>
            <x14:sparkline>
              <xm:f>ratios!B22:F22</xm:f>
              <xm:sqref>G22</xm:sqref>
            </x14:sparkline>
          </x14:sparklines>
        </x14:sparklineGroup>
        <x14:sparklineGroup type="column" displayEmptyCellsAs="gap" xr2:uid="{00000000-0003-0000-0100-000011000000}">
          <x14:colorSeries rgb="FF000000"/>
          <x14:sparklines>
            <x14:sparkline>
              <xm:f>ratios!B21:F21</xm:f>
              <xm:sqref>G21</xm:sqref>
            </x14:sparkline>
          </x14:sparklines>
        </x14:sparklineGroup>
        <x14:sparklineGroup type="column" displayEmptyCellsAs="gap" xr2:uid="{00000000-0003-0000-0100-000010000000}">
          <x14:colorSeries rgb="FF000000"/>
          <x14:sparklines>
            <x14:sparkline>
              <xm:f>ratios!B20:F20</xm:f>
              <xm:sqref>G20</xm:sqref>
            </x14:sparkline>
          </x14:sparklines>
        </x14:sparklineGroup>
        <x14:sparklineGroup type="column" displayEmptyCellsAs="gap" xr2:uid="{00000000-0003-0000-0100-00000F000000}">
          <x14:colorSeries rgb="FF000000"/>
          <x14:sparklines>
            <x14:sparkline>
              <xm:f>ratios!B19:F19</xm:f>
              <xm:sqref>G19</xm:sqref>
            </x14:sparkline>
          </x14:sparklines>
        </x14:sparklineGroup>
        <x14:sparklineGroup type="column" displayEmptyCellsAs="gap" xr2:uid="{00000000-0003-0000-0100-00000E000000}">
          <x14:colorSeries rgb="FF000000"/>
          <x14:sparklines>
            <x14:sparkline>
              <xm:f>ratios!B16:F16</xm:f>
              <xm:sqref>G16</xm:sqref>
            </x14:sparkline>
          </x14:sparklines>
        </x14:sparklineGroup>
        <x14:sparklineGroup type="column" displayEmptyCellsAs="gap" xr2:uid="{00000000-0003-0000-0100-00000D000000}">
          <x14:colorSeries rgb="FF000000"/>
          <x14:sparklines>
            <x14:sparkline>
              <xm:f>ratios!B15:F15</xm:f>
              <xm:sqref>G15</xm:sqref>
            </x14:sparkline>
          </x14:sparklines>
        </x14:sparklineGroup>
        <x14:sparklineGroup type="column" displayEmptyCellsAs="gap" xr2:uid="{00000000-0003-0000-0100-00000C000000}">
          <x14:colorSeries rgb="FF000000"/>
          <x14:sparklines>
            <x14:sparkline>
              <xm:f>ratios!B14:F14</xm:f>
              <xm:sqref>G14</xm:sqref>
            </x14:sparkline>
          </x14:sparklines>
        </x14:sparklineGroup>
        <x14:sparklineGroup type="column" displayEmptyCellsAs="gap" xr2:uid="{00000000-0003-0000-0100-00000B000000}">
          <x14:colorSeries rgb="FF000000"/>
          <x14:sparklines>
            <x14:sparkline>
              <xm:f>ratios!B13:F13</xm:f>
              <xm:sqref>G13</xm:sqref>
            </x14:sparkline>
          </x14:sparklines>
        </x14:sparklineGroup>
        <x14:sparklineGroup type="column" displayEmptyCellsAs="gap" xr2:uid="{00000000-0003-0000-0100-00000A000000}">
          <x14:colorSeries rgb="FF000000"/>
          <x14:sparklines>
            <x14:sparkline>
              <xm:f>ratios!B12:F12</xm:f>
              <xm:sqref>G12</xm:sqref>
            </x14:sparkline>
          </x14:sparklines>
        </x14:sparklineGroup>
        <x14:sparklineGroup type="column" displayEmptyCellsAs="gap" xr2:uid="{00000000-0003-0000-0100-000009000000}">
          <x14:colorSeries rgb="FF000000"/>
          <x14:sparklines>
            <x14:sparkline>
              <xm:f>ratios!B8:F8</xm:f>
              <xm:sqref>G8</xm:sqref>
            </x14:sparkline>
          </x14:sparklines>
        </x14:sparklineGroup>
        <x14:sparklineGroup type="column" displayEmptyCellsAs="gap" xr2:uid="{00000000-0003-0000-0100-000008000000}">
          <x14:colorSeries rgb="FF000000"/>
          <x14:sparklines>
            <x14:sparkline>
              <xm:f>ratios!B7:F7</xm:f>
              <xm:sqref>G7</xm:sqref>
            </x14:sparkline>
          </x14:sparklines>
        </x14:sparklineGroup>
        <x14:sparklineGroup type="column" displayEmptyCellsAs="gap" xr2:uid="{00000000-0003-0000-0100-000007000000}">
          <x14:colorSeries rgb="FF000000"/>
          <x14:sparklines>
            <x14:sparkline>
              <xm:f>ratios!B6:F6</xm:f>
              <xm:sqref>G6</xm:sqref>
            </x14:sparkline>
          </x14:sparklines>
        </x14:sparklineGroup>
        <x14:sparklineGroup type="column" displayEmptyCellsAs="gap" xr2:uid="{00000000-0003-0000-0100-000006000000}">
          <x14:colorSeries rgb="FF000000"/>
          <x14:sparklines>
            <x14:sparkline>
              <xm:f>ratios!B5:F5</xm:f>
              <xm:sqref>G5</xm:sqref>
            </x14:sparkline>
          </x14:sparklines>
        </x14:sparklineGroup>
        <x14:sparklineGroup type="column" displayEmptyCellsAs="gap" xr2:uid="{00000000-0003-0000-0100-000005000000}">
          <x14:colorSeries rgb="FF000000"/>
          <x14:sparklines>
            <x14:sparkline>
              <xm:f>ratios!B4:F4</xm:f>
              <xm:sqref>G4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8"/>
  <sheetViews>
    <sheetView workbookViewId="0"/>
  </sheetViews>
  <sheetFormatPr defaultColWidth="12.6640625" defaultRowHeight="15.75" customHeight="1"/>
  <cols>
    <col min="1" max="1" width="37.109375" customWidth="1"/>
    <col min="9" max="9" width="61.109375" customWidth="1"/>
  </cols>
  <sheetData>
    <row r="1" spans="1:14">
      <c r="A1" s="21" t="s">
        <v>83</v>
      </c>
      <c r="B1" s="11"/>
      <c r="C1" s="11"/>
      <c r="D1" s="11"/>
      <c r="E1" s="11"/>
      <c r="F1" s="11"/>
    </row>
    <row r="2" spans="1:14">
      <c r="A2" s="22"/>
      <c r="B2" s="11"/>
      <c r="C2" s="11"/>
      <c r="D2" s="11"/>
      <c r="E2" s="11"/>
      <c r="F2" s="11"/>
    </row>
    <row r="3" spans="1:14">
      <c r="A3" s="23"/>
      <c r="B3" s="24">
        <v>43891</v>
      </c>
      <c r="C3" s="24">
        <v>44256</v>
      </c>
      <c r="D3" s="24">
        <v>44621</v>
      </c>
      <c r="E3" s="24">
        <v>44986</v>
      </c>
      <c r="F3" s="24">
        <v>45352</v>
      </c>
    </row>
    <row r="4" spans="1:14" ht="15.75" customHeight="1">
      <c r="A4" s="25" t="s">
        <v>84</v>
      </c>
      <c r="B4" s="26">
        <v>-91</v>
      </c>
      <c r="C4" s="27">
        <v>1056</v>
      </c>
      <c r="D4" s="27">
        <v>1561</v>
      </c>
      <c r="E4" s="27">
        <v>1518</v>
      </c>
      <c r="F4" s="27">
        <v>1794</v>
      </c>
      <c r="I4" s="28" t="s">
        <v>85</v>
      </c>
      <c r="J4" s="24">
        <v>43891</v>
      </c>
      <c r="K4" s="24">
        <v>44256</v>
      </c>
      <c r="L4" s="24">
        <v>44621</v>
      </c>
      <c r="M4" s="24">
        <v>44986</v>
      </c>
      <c r="N4" s="24">
        <v>45352</v>
      </c>
    </row>
    <row r="5" spans="1:14" ht="15.75" customHeight="1">
      <c r="A5" s="23" t="s">
        <v>86</v>
      </c>
      <c r="B5" s="26">
        <v>665</v>
      </c>
      <c r="C5" s="27">
        <v>1373</v>
      </c>
      <c r="D5" s="27">
        <v>2589</v>
      </c>
      <c r="E5" s="27">
        <v>1515</v>
      </c>
      <c r="F5" s="27">
        <v>1636</v>
      </c>
      <c r="I5" s="29" t="s">
        <v>87</v>
      </c>
    </row>
    <row r="6" spans="1:14" ht="15.75" customHeight="1">
      <c r="A6" s="23" t="s">
        <v>88</v>
      </c>
      <c r="B6" s="26">
        <v>-41</v>
      </c>
      <c r="C6" s="26">
        <v>-365</v>
      </c>
      <c r="D6" s="26">
        <v>160</v>
      </c>
      <c r="E6" s="26">
        <v>-230</v>
      </c>
      <c r="F6" s="26">
        <v>-115</v>
      </c>
      <c r="I6" s="30" t="s">
        <v>89</v>
      </c>
    </row>
    <row r="7" spans="1:14" ht="15.75" customHeight="1">
      <c r="A7" s="23" t="s">
        <v>90</v>
      </c>
      <c r="B7" s="26">
        <v>-755</v>
      </c>
      <c r="C7" s="26">
        <v>456</v>
      </c>
      <c r="D7" s="27">
        <v>-1027</v>
      </c>
      <c r="E7" s="26">
        <v>-157</v>
      </c>
      <c r="F7" s="26">
        <v>44</v>
      </c>
      <c r="I7" s="30" t="s">
        <v>91</v>
      </c>
    </row>
    <row r="8" spans="1:14" ht="15.75" customHeight="1">
      <c r="A8" s="23" t="s">
        <v>92</v>
      </c>
      <c r="B8" s="26">
        <v>-81</v>
      </c>
      <c r="C8" s="26">
        <v>-213</v>
      </c>
      <c r="D8" s="26">
        <v>828</v>
      </c>
      <c r="E8" s="26">
        <v>346</v>
      </c>
      <c r="F8" s="26">
        <v>834</v>
      </c>
      <c r="I8" s="30" t="s">
        <v>93</v>
      </c>
    </row>
    <row r="9" spans="1:14" ht="15.75" customHeight="1">
      <c r="A9" s="23" t="s">
        <v>94</v>
      </c>
      <c r="B9" s="26">
        <v>175</v>
      </c>
      <c r="C9" s="26">
        <v>-6</v>
      </c>
      <c r="D9" s="26">
        <v>-415</v>
      </c>
      <c r="E9" s="26">
        <v>284</v>
      </c>
      <c r="F9" s="26">
        <v>-428</v>
      </c>
      <c r="I9" s="30" t="s">
        <v>95</v>
      </c>
    </row>
    <row r="10" spans="1:14" ht="15.75" customHeight="1">
      <c r="A10" s="23" t="s">
        <v>96</v>
      </c>
      <c r="B10" s="26">
        <v>-702</v>
      </c>
      <c r="C10" s="26">
        <v>-128</v>
      </c>
      <c r="D10" s="26">
        <v>-454</v>
      </c>
      <c r="E10" s="26">
        <v>242</v>
      </c>
      <c r="F10" s="26">
        <v>336</v>
      </c>
      <c r="I10" s="30" t="s">
        <v>97</v>
      </c>
    </row>
    <row r="11" spans="1:14" ht="15.75" customHeight="1">
      <c r="A11" s="23" t="s">
        <v>98</v>
      </c>
      <c r="B11" s="26">
        <v>-54</v>
      </c>
      <c r="C11" s="26">
        <v>-189</v>
      </c>
      <c r="D11" s="26">
        <v>-573</v>
      </c>
      <c r="E11" s="26">
        <v>-239</v>
      </c>
      <c r="F11" s="26">
        <v>-177</v>
      </c>
      <c r="I11" s="30" t="s">
        <v>99</v>
      </c>
    </row>
    <row r="12" spans="1:14" ht="15.75" customHeight="1">
      <c r="A12" s="25" t="s">
        <v>100</v>
      </c>
      <c r="B12" s="26">
        <v>-420</v>
      </c>
      <c r="C12" s="26">
        <v>-499</v>
      </c>
      <c r="D12" s="27">
        <v>-1800</v>
      </c>
      <c r="E12" s="27">
        <v>-1944</v>
      </c>
      <c r="F12" s="27">
        <v>-2762</v>
      </c>
      <c r="I12" s="31"/>
    </row>
    <row r="13" spans="1:14" ht="15.75" customHeight="1">
      <c r="A13" s="23" t="s">
        <v>101</v>
      </c>
      <c r="B13" s="26">
        <v>-564</v>
      </c>
      <c r="C13" s="26">
        <v>-361</v>
      </c>
      <c r="D13" s="26">
        <v>-940</v>
      </c>
      <c r="E13" s="27">
        <v>-1905</v>
      </c>
      <c r="F13" s="27">
        <v>-1888</v>
      </c>
      <c r="I13" s="32"/>
    </row>
    <row r="14" spans="1:14" ht="15.75" customHeight="1">
      <c r="A14" s="23" t="s">
        <v>102</v>
      </c>
      <c r="B14" s="26">
        <v>0</v>
      </c>
      <c r="C14" s="26">
        <v>-127</v>
      </c>
      <c r="D14" s="26">
        <v>-677</v>
      </c>
      <c r="E14" s="26">
        <v>-370</v>
      </c>
      <c r="F14" s="26">
        <v>-633</v>
      </c>
      <c r="I14" s="33" t="s">
        <v>103</v>
      </c>
      <c r="J14" s="7">
        <f>B4/'I&amp;S'!B12</f>
        <v>-2.0737526719505579E-2</v>
      </c>
      <c r="K14" s="7">
        <f>C4/'I&amp;S'!C12</f>
        <v>0.16706772412942053</v>
      </c>
      <c r="L14" s="7">
        <f>D4/'I&amp;S'!D12</f>
        <v>0.14932126263993489</v>
      </c>
      <c r="M14" s="7">
        <f>E4/'I&amp;S'!E12</f>
        <v>0.11931907949810527</v>
      </c>
      <c r="N14" s="7">
        <f>F4/'I&amp;S'!F12</f>
        <v>0.13433975827829447</v>
      </c>
    </row>
    <row r="15" spans="1:14" ht="15.75" customHeight="1">
      <c r="A15" s="23" t="s">
        <v>104</v>
      </c>
      <c r="B15" s="26">
        <v>133</v>
      </c>
      <c r="C15" s="26">
        <v>0</v>
      </c>
      <c r="D15" s="26">
        <v>0</v>
      </c>
      <c r="E15" s="26">
        <v>0</v>
      </c>
      <c r="F15" s="26">
        <v>0</v>
      </c>
      <c r="I15" s="33" t="s">
        <v>105</v>
      </c>
      <c r="J15" s="7">
        <f>B4/((4052+5062)/2)</f>
        <v>-1.9969278033794162E-2</v>
      </c>
      <c r="K15" s="7">
        <f>C4/((BS!B40+BS!C40)/2)</f>
        <v>0.20148826559816829</v>
      </c>
      <c r="L15" s="7">
        <f>D4/((BS!C40+BS!D40)/2)</f>
        <v>0.22549656915854099</v>
      </c>
      <c r="M15" s="7">
        <f>E4/((BS!D40+BS!E40)/2)</f>
        <v>0.15164835164835164</v>
      </c>
      <c r="N15" s="7">
        <f>F4/((BS!E40+BS!F40)/2)</f>
        <v>0.13806372171771586</v>
      </c>
    </row>
    <row r="16" spans="1:14" ht="15.75" customHeight="1">
      <c r="A16" s="23" t="s">
        <v>106</v>
      </c>
      <c r="B16" s="26">
        <v>7</v>
      </c>
      <c r="C16" s="26">
        <v>5</v>
      </c>
      <c r="D16" s="26">
        <v>25</v>
      </c>
      <c r="E16" s="26">
        <v>49</v>
      </c>
      <c r="F16" s="26">
        <v>84</v>
      </c>
      <c r="I16" s="33" t="s">
        <v>107</v>
      </c>
      <c r="J16" s="7">
        <f>B4/((2490+2827)/2)</f>
        <v>-3.4229828850855744E-2</v>
      </c>
      <c r="K16" s="7">
        <f>C4/((BS!B5+BS!B6+BS!C5+BS!C6)/2)</f>
        <v>0.32688438322241137</v>
      </c>
      <c r="L16" s="7">
        <f>D4/((BS!C5+BS!C6+BS!D5+BS!D6)/2)</f>
        <v>0.32970746646953214</v>
      </c>
      <c r="M16" s="7">
        <f>E4/((BS!D5+BS!D6+BS!E5+BS!E6)/2)</f>
        <v>0.23156128441766455</v>
      </c>
      <c r="N16" s="7">
        <f>F4/((BS!E5+BS!E6+BS!F5+BS!F6)/2)</f>
        <v>0.21201914554157064</v>
      </c>
    </row>
    <row r="17" spans="1:14" ht="15.75" customHeight="1">
      <c r="A17" s="23" t="s">
        <v>108</v>
      </c>
      <c r="B17" s="26">
        <v>1</v>
      </c>
      <c r="C17" s="26">
        <v>0</v>
      </c>
      <c r="D17" s="26">
        <v>0</v>
      </c>
      <c r="E17" s="26">
        <v>1</v>
      </c>
      <c r="F17" s="26">
        <v>1</v>
      </c>
      <c r="I17" s="33" t="s">
        <v>109</v>
      </c>
      <c r="J17" s="7">
        <f>B4/'I&amp;S'!J34</f>
        <v>-0.23869478543699488</v>
      </c>
      <c r="K17" s="7">
        <f>C4/'I&amp;S'!K34</f>
        <v>0.94526249832162157</v>
      </c>
      <c r="L17" s="7">
        <f>D4/'I&amp;S'!L34</f>
        <v>0.65386306993109533</v>
      </c>
      <c r="M17" s="7">
        <f>E4/'I&amp;S'!M34</f>
        <v>1.337657073368463</v>
      </c>
      <c r="N17" s="7">
        <f>F4/'I&amp;S'!N34</f>
        <v>1.6720101401729786</v>
      </c>
    </row>
    <row r="18" spans="1:14" ht="15.75" customHeight="1">
      <c r="A18" s="23" t="s">
        <v>110</v>
      </c>
      <c r="B18" s="26">
        <v>0</v>
      </c>
      <c r="C18" s="26">
        <v>0</v>
      </c>
      <c r="D18" s="26">
        <v>10</v>
      </c>
      <c r="E18" s="26">
        <v>0</v>
      </c>
      <c r="F18" s="26">
        <v>0</v>
      </c>
      <c r="I18" s="34"/>
    </row>
    <row r="19" spans="1:14" ht="15.75" customHeight="1">
      <c r="A19" s="23" t="s">
        <v>111</v>
      </c>
      <c r="B19" s="26">
        <v>3</v>
      </c>
      <c r="C19" s="26">
        <v>-16</v>
      </c>
      <c r="D19" s="26">
        <v>-218</v>
      </c>
      <c r="E19" s="26">
        <v>281</v>
      </c>
      <c r="F19" s="26">
        <v>-326</v>
      </c>
      <c r="I19" s="31"/>
    </row>
    <row r="20" spans="1:14" ht="15.75" customHeight="1">
      <c r="A20" s="25" t="s">
        <v>112</v>
      </c>
      <c r="B20" s="26">
        <v>531</v>
      </c>
      <c r="C20" s="26">
        <v>-423</v>
      </c>
      <c r="D20" s="26">
        <v>167</v>
      </c>
      <c r="E20" s="26">
        <v>424</v>
      </c>
      <c r="F20" s="26">
        <v>916</v>
      </c>
      <c r="I20" s="35"/>
    </row>
    <row r="21" spans="1:14" ht="15.75" customHeight="1">
      <c r="A21" s="23" t="s">
        <v>113</v>
      </c>
      <c r="B21" s="26">
        <v>0</v>
      </c>
      <c r="C21" s="26">
        <v>0</v>
      </c>
      <c r="D21" s="26">
        <v>626</v>
      </c>
      <c r="E21" s="26">
        <v>0</v>
      </c>
      <c r="F21" s="27">
        <v>1379</v>
      </c>
      <c r="I21" s="33" t="s">
        <v>114</v>
      </c>
      <c r="J21" s="7">
        <f>B4/BS!B7</f>
        <v>-8.1687612208258528E-2</v>
      </c>
      <c r="K21" s="7">
        <f>C4/BS!C7</f>
        <v>1.3266331658291457</v>
      </c>
      <c r="L21" s="7">
        <f>D4/BS!D7</f>
        <v>2.874769797421731</v>
      </c>
      <c r="M21" s="7">
        <f>E4/BS!E7</f>
        <v>1.295221843003413</v>
      </c>
      <c r="N21" s="7">
        <f>F4/BS!F7</f>
        <v>3.0050251256281406</v>
      </c>
    </row>
    <row r="22" spans="1:14" ht="15.75" customHeight="1">
      <c r="A22" s="23" t="s">
        <v>115</v>
      </c>
      <c r="B22" s="26">
        <v>617</v>
      </c>
      <c r="C22" s="26">
        <v>0</v>
      </c>
      <c r="D22" s="26">
        <v>8</v>
      </c>
      <c r="E22" s="26">
        <v>614</v>
      </c>
      <c r="F22" s="26">
        <v>252</v>
      </c>
      <c r="I22" s="33" t="s">
        <v>116</v>
      </c>
      <c r="J22" s="7">
        <f>(B4+'I&amp;S'!J36+'I&amp;S'!J40)/'I&amp;S'!J36</f>
        <v>-0.58179066247525901</v>
      </c>
      <c r="K22" s="7">
        <f>(C4+'I&amp;S'!K36+'I&amp;S'!K40)/'I&amp;S'!K36</f>
        <v>21.291386487351907</v>
      </c>
      <c r="L22" s="7">
        <f>(D4+'I&amp;S'!L36+'I&amp;S'!L40)/'I&amp;S'!L36</f>
        <v>96.041018998272875</v>
      </c>
      <c r="M22" s="7">
        <f>(E4+'I&amp;S'!M36+'I&amp;S'!M40)/'I&amp;S'!M36</f>
        <v>19.3766777622678</v>
      </c>
      <c r="N22" s="7">
        <f>(F4+'I&amp;S'!N36+'I&amp;S'!N40)/'I&amp;S'!N36</f>
        <v>13.791116446578631</v>
      </c>
    </row>
    <row r="23" spans="1:14" ht="15.75" customHeight="1">
      <c r="A23" s="23" t="s">
        <v>117</v>
      </c>
      <c r="B23" s="26">
        <v>0</v>
      </c>
      <c r="C23" s="26">
        <v>-318</v>
      </c>
      <c r="D23" s="26">
        <v>-261</v>
      </c>
      <c r="E23" s="26">
        <v>-3</v>
      </c>
      <c r="F23" s="26">
        <v>-827</v>
      </c>
      <c r="I23" s="33" t="s">
        <v>118</v>
      </c>
      <c r="J23" s="7">
        <f>B4/564</f>
        <v>-0.16134751773049646</v>
      </c>
      <c r="K23" s="7">
        <f>C4/(361+127)</f>
        <v>2.1639344262295084</v>
      </c>
      <c r="L23" s="7">
        <f>D4/(940+677)</f>
        <v>0.96536796536796532</v>
      </c>
      <c r="M23" s="7">
        <f>E4/1905+370</f>
        <v>370.79685039370077</v>
      </c>
      <c r="N23" s="7">
        <f>F4/1888+633</f>
        <v>633.95021186440681</v>
      </c>
    </row>
    <row r="24" spans="1:14" ht="15.75" customHeight="1">
      <c r="A24" s="23" t="s">
        <v>119</v>
      </c>
      <c r="B24" s="26">
        <v>-86</v>
      </c>
      <c r="C24" s="26">
        <v>-62</v>
      </c>
      <c r="D24" s="26">
        <v>-22</v>
      </c>
      <c r="E24" s="26">
        <v>-72</v>
      </c>
      <c r="F24" s="26">
        <v>-133</v>
      </c>
      <c r="I24" s="33" t="s">
        <v>120</v>
      </c>
      <c r="J24" s="7" t="e">
        <f>B4/B23</f>
        <v>#DIV/0!</v>
      </c>
      <c r="K24" s="7">
        <f>C4/318</f>
        <v>3.3207547169811322</v>
      </c>
      <c r="L24" s="7">
        <f>D4/261</f>
        <v>5.9808429118773949</v>
      </c>
      <c r="M24" s="7">
        <f>E4/3</f>
        <v>506</v>
      </c>
      <c r="N24" s="7">
        <f>F4/827</f>
        <v>2.1692865779927448</v>
      </c>
    </row>
    <row r="25" spans="1:14" ht="15.75" customHeight="1">
      <c r="A25" s="23" t="s">
        <v>121</v>
      </c>
      <c r="B25" s="26">
        <v>0</v>
      </c>
      <c r="C25" s="26">
        <v>-43</v>
      </c>
      <c r="D25" s="26">
        <v>-184</v>
      </c>
      <c r="E25" s="26">
        <v>-114</v>
      </c>
      <c r="F25" s="26">
        <v>-46</v>
      </c>
      <c r="I25" s="33" t="s">
        <v>122</v>
      </c>
      <c r="J25" s="7" t="e">
        <f>B4/B25</f>
        <v>#DIV/0!</v>
      </c>
      <c r="K25" s="7">
        <f>C4/43</f>
        <v>24.558139534883722</v>
      </c>
      <c r="L25" s="7">
        <f>D4/184</f>
        <v>8.4836956521739122</v>
      </c>
      <c r="M25" s="7">
        <f>E4/114</f>
        <v>13.315789473684211</v>
      </c>
      <c r="N25" s="7">
        <f>F4/46</f>
        <v>39</v>
      </c>
    </row>
    <row r="26" spans="1:14" ht="15.75" customHeight="1">
      <c r="A26" s="23" t="s">
        <v>123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I26" s="33" t="s">
        <v>124</v>
      </c>
      <c r="J26" s="7">
        <f t="shared" ref="J26:N26" si="0">B4/B12+B20</f>
        <v>531.2166666666667</v>
      </c>
      <c r="K26" s="7">
        <f t="shared" si="0"/>
        <v>-425.11623246492985</v>
      </c>
      <c r="L26" s="7">
        <f t="shared" si="0"/>
        <v>166.13277777777779</v>
      </c>
      <c r="M26" s="7">
        <f t="shared" si="0"/>
        <v>423.21913580246911</v>
      </c>
      <c r="N26" s="7">
        <f t="shared" si="0"/>
        <v>915.35047067342509</v>
      </c>
    </row>
    <row r="27" spans="1:14" ht="21">
      <c r="A27" s="23" t="s">
        <v>125</v>
      </c>
      <c r="B27" s="26">
        <v>0</v>
      </c>
      <c r="C27" s="26">
        <v>0</v>
      </c>
      <c r="D27" s="26">
        <v>0</v>
      </c>
      <c r="E27" s="26">
        <v>0</v>
      </c>
      <c r="F27" s="26">
        <v>292</v>
      </c>
      <c r="I27" s="33" t="s">
        <v>126</v>
      </c>
      <c r="J27" s="7">
        <f>(4052+5062)/2</f>
        <v>4557</v>
      </c>
      <c r="K27" s="17">
        <f>(BS!B40+BS!C40)</f>
        <v>10482</v>
      </c>
      <c r="L27" s="17">
        <f>(BS!C40+BS!D40)</f>
        <v>13845</v>
      </c>
      <c r="M27" s="17">
        <f>(BS!D40+BS!E40)</f>
        <v>20020</v>
      </c>
      <c r="N27" s="17">
        <f>(BS!E40+BS!F40)</f>
        <v>25988</v>
      </c>
    </row>
    <row r="28" spans="1:14" ht="21">
      <c r="A28" s="23" t="s">
        <v>127</v>
      </c>
      <c r="B28" s="26">
        <v>20</v>
      </c>
      <c r="C28" s="26">
        <v>134</v>
      </c>
      <c r="D28" s="26">
        <v>-72</v>
      </c>
      <c r="E28" s="26">
        <v>-1</v>
      </c>
      <c r="F28" s="26">
        <v>-51</v>
      </c>
      <c r="I28" s="33" t="s">
        <v>128</v>
      </c>
      <c r="J28" s="7">
        <f>(2256+234+BS!B5+BS!B6)/2</f>
        <v>2658.5</v>
      </c>
      <c r="K28" s="7">
        <f>(BS!B5+BS!B6+BS!C5+BS!C6)/2</f>
        <v>3230.5</v>
      </c>
      <c r="L28" s="7">
        <f>(BS!C5+BS!C6+BS!D5+BS!D6)/2</f>
        <v>4734.5</v>
      </c>
      <c r="M28" s="7">
        <f>(BS!D5+BS!D6+BS!E5+BS!E6)/2</f>
        <v>6555.5</v>
      </c>
      <c r="N28" s="7">
        <f>(BS!E5+BS!E6+BS!F5+BS!F6)/2</f>
        <v>8461.5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1810-0C96-4A8A-B27F-4F4659AA6304}">
  <sheetPr>
    <outlinePr summaryBelow="0"/>
  </sheetPr>
  <dimension ref="B1:G14"/>
  <sheetViews>
    <sheetView showGridLines="0" workbookViewId="0">
      <selection activeCell="J17" sqref="J17"/>
    </sheetView>
  </sheetViews>
  <sheetFormatPr defaultRowHeight="13.2" outlineLevelRow="1" outlineLevelCol="1"/>
  <cols>
    <col min="3" max="3" width="6.44140625" bestFit="1" customWidth="1"/>
    <col min="4" max="7" width="12.6640625" bestFit="1" customWidth="1" outlineLevel="1"/>
  </cols>
  <sheetData>
    <row r="1" spans="2:7" ht="13.8" thickBot="1"/>
    <row r="2" spans="2:7" ht="13.8">
      <c r="B2" s="51" t="s">
        <v>201</v>
      </c>
      <c r="C2" s="51"/>
      <c r="D2" s="56"/>
      <c r="E2" s="56"/>
      <c r="F2" s="56"/>
      <c r="G2" s="56"/>
    </row>
    <row r="3" spans="2:7" ht="13.8" collapsed="1">
      <c r="B3" s="50"/>
      <c r="C3" s="50"/>
      <c r="D3" s="57" t="s">
        <v>203</v>
      </c>
      <c r="E3" s="57" t="s">
        <v>194</v>
      </c>
      <c r="F3" s="57" t="s">
        <v>197</v>
      </c>
      <c r="G3" s="57" t="s">
        <v>209</v>
      </c>
    </row>
    <row r="4" spans="2:7" ht="51" hidden="1" outlineLevel="1">
      <c r="B4" s="53"/>
      <c r="C4" s="53"/>
      <c r="D4" s="48"/>
      <c r="E4" s="59" t="s">
        <v>208</v>
      </c>
      <c r="F4" s="59" t="s">
        <v>208</v>
      </c>
      <c r="G4" s="59" t="s">
        <v>208</v>
      </c>
    </row>
    <row r="5" spans="2:7">
      <c r="B5" s="54" t="s">
        <v>202</v>
      </c>
      <c r="C5" s="54"/>
      <c r="D5" s="52"/>
      <c r="E5" s="52"/>
      <c r="F5" s="52"/>
      <c r="G5" s="52"/>
    </row>
    <row r="6" spans="2:7" outlineLevel="1">
      <c r="B6" s="53"/>
      <c r="C6" s="53" t="s">
        <v>191</v>
      </c>
      <c r="D6" s="60">
        <v>0.337276260103473</v>
      </c>
      <c r="E6" s="61">
        <v>0.54469999999999996</v>
      </c>
      <c r="F6" s="61">
        <v>0.337276260103473</v>
      </c>
      <c r="G6" s="61">
        <v>0.1298</v>
      </c>
    </row>
    <row r="7" spans="2:7" outlineLevel="1">
      <c r="B7" s="53"/>
      <c r="C7" s="53" t="s">
        <v>192</v>
      </c>
      <c r="D7" s="60">
        <v>0.95521605075971305</v>
      </c>
      <c r="E7" s="61">
        <v>1.2675000000000001</v>
      </c>
      <c r="F7" s="61">
        <v>0.95521605075971305</v>
      </c>
      <c r="G7" s="61">
        <v>0.64290000000000003</v>
      </c>
    </row>
    <row r="8" spans="2:7" outlineLevel="1">
      <c r="B8" s="53"/>
      <c r="C8" s="53" t="s">
        <v>210</v>
      </c>
      <c r="D8" s="48">
        <v>0.38892901703768901</v>
      </c>
      <c r="E8" s="58">
        <v>0.53910000000000002</v>
      </c>
      <c r="F8" s="58">
        <v>0.38892901703768901</v>
      </c>
      <c r="G8" s="58">
        <v>0.23880000000000001</v>
      </c>
    </row>
    <row r="9" spans="2:7" outlineLevel="1">
      <c r="B9" s="53"/>
      <c r="C9" s="53" t="s">
        <v>211</v>
      </c>
      <c r="D9" s="48">
        <v>-1.0795123218660001</v>
      </c>
      <c r="E9" s="58">
        <v>-1.8421000000000001</v>
      </c>
      <c r="F9" s="58">
        <v>-1.0795123218660001</v>
      </c>
      <c r="G9" s="58">
        <v>0.66510000000000002</v>
      </c>
    </row>
    <row r="10" spans="2:7">
      <c r="B10" s="54" t="s">
        <v>204</v>
      </c>
      <c r="C10" s="54"/>
      <c r="D10" s="52"/>
      <c r="E10" s="52"/>
      <c r="F10" s="52"/>
      <c r="G10" s="52"/>
    </row>
    <row r="11" spans="2:7" ht="13.8" outlineLevel="1" thickBot="1">
      <c r="B11" s="55"/>
      <c r="C11" s="55" t="s">
        <v>193</v>
      </c>
      <c r="D11" s="49">
        <v>1125.2798149212799</v>
      </c>
      <c r="E11" s="49">
        <v>2420.4830846542</v>
      </c>
      <c r="F11" s="49">
        <v>1125.2798149212799</v>
      </c>
      <c r="G11" s="49">
        <v>-83.422757345802594</v>
      </c>
    </row>
    <row r="12" spans="2:7">
      <c r="B12" t="s">
        <v>205</v>
      </c>
    </row>
    <row r="13" spans="2:7">
      <c r="B13" t="s">
        <v>206</v>
      </c>
    </row>
    <row r="14" spans="2:7">
      <c r="B1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34"/>
  <sheetViews>
    <sheetView topLeftCell="A39" workbookViewId="0">
      <selection activeCell="H39" sqref="H39"/>
    </sheetView>
  </sheetViews>
  <sheetFormatPr defaultColWidth="12.6640625" defaultRowHeight="15.75" customHeight="1"/>
  <cols>
    <col min="1" max="1" width="30.77734375" customWidth="1"/>
  </cols>
  <sheetData>
    <row r="1" spans="1:6" ht="15.75" customHeight="1">
      <c r="A1" s="1" t="s">
        <v>0</v>
      </c>
    </row>
    <row r="2" spans="1:6" ht="15.75" customHeight="1">
      <c r="A2" s="3"/>
    </row>
    <row r="3" spans="1:6" ht="15.75" customHeight="1">
      <c r="A3" s="4"/>
      <c r="B3" s="5">
        <v>45736</v>
      </c>
      <c r="C3" s="5">
        <v>45737</v>
      </c>
      <c r="D3" s="5">
        <v>45738</v>
      </c>
      <c r="E3" s="5">
        <v>45739</v>
      </c>
      <c r="F3" s="5">
        <v>45740</v>
      </c>
    </row>
    <row r="4" spans="1:6" ht="15.75" customHeight="1">
      <c r="A4" s="3"/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</row>
    <row r="5" spans="1:6" ht="15.75" customHeight="1">
      <c r="A5" s="4"/>
    </row>
    <row r="6" spans="1:6" ht="15.75" customHeight="1">
      <c r="A6" s="36" t="s">
        <v>7</v>
      </c>
    </row>
    <row r="7" spans="1:6" ht="15.75" customHeight="1">
      <c r="A7" s="9" t="s">
        <v>10</v>
      </c>
      <c r="B7" s="10">
        <v>4362.8900000000003</v>
      </c>
      <c r="C7" s="10">
        <v>6279.02</v>
      </c>
      <c r="D7" s="10">
        <v>10364.32</v>
      </c>
      <c r="E7" s="10">
        <v>12595.28</v>
      </c>
      <c r="F7" s="10">
        <v>13141.32</v>
      </c>
    </row>
    <row r="8" spans="1:6" ht="15.75" customHeight="1">
      <c r="A8" s="9" t="s">
        <v>13</v>
      </c>
      <c r="B8" s="10">
        <v>4362.8900000000003</v>
      </c>
      <c r="C8" s="10">
        <v>6279.02</v>
      </c>
      <c r="D8" s="10">
        <v>10364.32</v>
      </c>
      <c r="E8" s="10">
        <v>12595.28</v>
      </c>
      <c r="F8" s="10">
        <v>13141.32</v>
      </c>
    </row>
    <row r="9" spans="1:6" ht="15.75" customHeight="1">
      <c r="A9" s="9" t="s">
        <v>16</v>
      </c>
      <c r="B9" s="10">
        <v>13.46</v>
      </c>
      <c r="C9" s="10">
        <v>18.05</v>
      </c>
      <c r="D9" s="10">
        <v>29.64</v>
      </c>
      <c r="E9" s="10">
        <v>14.9</v>
      </c>
      <c r="F9" s="10">
        <v>53.9</v>
      </c>
    </row>
    <row r="10" spans="1:6" ht="15.75" customHeight="1">
      <c r="A10" s="9" t="s">
        <v>5</v>
      </c>
      <c r="B10" s="10">
        <v>4376.3500000000004</v>
      </c>
      <c r="C10" s="10">
        <v>6297.07</v>
      </c>
      <c r="D10" s="10">
        <v>10393.959999999999</v>
      </c>
      <c r="E10" s="10">
        <v>12610.18</v>
      </c>
      <c r="F10" s="10">
        <v>13195.22</v>
      </c>
    </row>
    <row r="11" spans="1:6" ht="15.75" customHeight="1">
      <c r="A11" s="9" t="s">
        <v>8</v>
      </c>
      <c r="B11" s="10">
        <v>11.83</v>
      </c>
      <c r="C11" s="10">
        <v>23.72</v>
      </c>
      <c r="D11" s="10">
        <v>60.01</v>
      </c>
      <c r="E11" s="10">
        <v>112.01</v>
      </c>
      <c r="F11" s="10">
        <v>158.97999999999999</v>
      </c>
    </row>
    <row r="12" spans="1:6" ht="15.75" customHeight="1">
      <c r="A12" s="9" t="s">
        <v>20</v>
      </c>
      <c r="B12" s="10">
        <v>4388.18</v>
      </c>
      <c r="C12" s="10">
        <v>6320.79</v>
      </c>
      <c r="D12" s="10">
        <v>10453.969999999999</v>
      </c>
      <c r="E12" s="10">
        <v>12722.19</v>
      </c>
      <c r="F12" s="10">
        <v>13354.2</v>
      </c>
    </row>
    <row r="13" spans="1:6" ht="15.75" customHeight="1">
      <c r="A13" s="9" t="s">
        <v>22</v>
      </c>
      <c r="B13" s="3"/>
      <c r="C13" s="3"/>
      <c r="D13" s="3"/>
      <c r="E13" s="3"/>
      <c r="F13" s="3"/>
    </row>
    <row r="14" spans="1:6" ht="15.75" customHeight="1">
      <c r="A14" s="9" t="s">
        <v>11</v>
      </c>
      <c r="B14" s="10">
        <v>2718.23</v>
      </c>
      <c r="C14" s="10">
        <v>3716.74</v>
      </c>
      <c r="D14" s="10">
        <v>6460.87</v>
      </c>
      <c r="E14" s="10">
        <v>8916.33</v>
      </c>
      <c r="F14" s="10">
        <v>9593.64</v>
      </c>
    </row>
    <row r="15" spans="1:6" ht="15.75" customHeight="1">
      <c r="A15" s="9" t="s">
        <v>24</v>
      </c>
      <c r="B15" s="10">
        <v>63.25</v>
      </c>
      <c r="C15" s="10">
        <v>67.58</v>
      </c>
      <c r="D15" s="10">
        <v>32.54</v>
      </c>
      <c r="E15" s="10">
        <v>292.56</v>
      </c>
      <c r="F15" s="10">
        <v>31.23</v>
      </c>
    </row>
    <row r="16" spans="1:6" ht="15.75" customHeight="1">
      <c r="A16" s="9" t="s">
        <v>25</v>
      </c>
      <c r="B16" s="10">
        <v>-103.5</v>
      </c>
      <c r="C16" s="10">
        <v>48.99</v>
      </c>
      <c r="D16" s="10">
        <v>-180.87</v>
      </c>
      <c r="E16" s="10">
        <v>-242.64</v>
      </c>
      <c r="F16" s="10">
        <v>-146.19</v>
      </c>
    </row>
    <row r="17" spans="1:6" ht="15.75" customHeight="1">
      <c r="A17" s="9" t="s">
        <v>26</v>
      </c>
      <c r="B17" s="10">
        <v>168.36</v>
      </c>
      <c r="C17" s="10">
        <v>188.14</v>
      </c>
      <c r="D17" s="10">
        <v>246.56</v>
      </c>
      <c r="E17" s="10">
        <v>345.15</v>
      </c>
      <c r="F17" s="10">
        <v>368.52</v>
      </c>
    </row>
    <row r="18" spans="1:6" ht="15.75" customHeight="1">
      <c r="A18" s="9" t="s">
        <v>14</v>
      </c>
      <c r="B18" s="10">
        <v>85.89</v>
      </c>
      <c r="C18" s="10">
        <v>62.46</v>
      </c>
      <c r="D18" s="10">
        <v>23.16</v>
      </c>
      <c r="E18" s="10">
        <v>93.13</v>
      </c>
      <c r="F18" s="10">
        <v>133.28</v>
      </c>
    </row>
    <row r="19" spans="1:6" ht="15.75" customHeight="1">
      <c r="A19" s="9" t="s">
        <v>17</v>
      </c>
      <c r="B19" s="10">
        <v>296.68</v>
      </c>
      <c r="C19" s="10">
        <v>300.36</v>
      </c>
      <c r="D19" s="10">
        <v>272.39999999999998</v>
      </c>
      <c r="E19" s="10">
        <v>463.08</v>
      </c>
      <c r="F19" s="10">
        <v>656.04</v>
      </c>
    </row>
    <row r="20" spans="1:6" ht="15.75" customHeight="1">
      <c r="A20" s="9" t="s">
        <v>28</v>
      </c>
      <c r="B20" s="10">
        <v>863.92</v>
      </c>
      <c r="C20" s="10">
        <v>881.83</v>
      </c>
      <c r="D20" s="10">
        <v>1235.1199999999999</v>
      </c>
      <c r="E20" s="10">
        <v>1812.89</v>
      </c>
      <c r="F20" s="10">
        <v>1778</v>
      </c>
    </row>
    <row r="21" spans="1:6" ht="15.75" customHeight="1">
      <c r="A21" s="9" t="s">
        <v>18</v>
      </c>
      <c r="B21" s="10">
        <v>4092.83</v>
      </c>
      <c r="C21" s="10">
        <v>5266.1</v>
      </c>
      <c r="D21" s="10">
        <v>8089.78</v>
      </c>
      <c r="E21" s="10">
        <v>11680.5</v>
      </c>
      <c r="F21" s="10">
        <v>12414.52</v>
      </c>
    </row>
    <row r="22" spans="1:6" ht="15.75" customHeight="1">
      <c r="A22" s="9" t="s">
        <v>31</v>
      </c>
      <c r="B22" s="10">
        <v>295.35000000000002</v>
      </c>
      <c r="C22" s="10">
        <v>1054.69</v>
      </c>
      <c r="D22" s="10">
        <v>2364.19</v>
      </c>
      <c r="E22" s="10">
        <v>1041.69</v>
      </c>
      <c r="F22" s="10">
        <v>939.68</v>
      </c>
    </row>
    <row r="23" spans="1:6" ht="15.75" customHeight="1">
      <c r="A23" s="9" t="s">
        <v>19</v>
      </c>
      <c r="B23" s="10">
        <v>295.35000000000002</v>
      </c>
      <c r="C23" s="10">
        <v>1054.69</v>
      </c>
      <c r="D23" s="10">
        <v>2364.19</v>
      </c>
      <c r="E23" s="10">
        <v>1041.69</v>
      </c>
      <c r="F23" s="10">
        <v>939.68</v>
      </c>
    </row>
    <row r="24" spans="1:6" ht="15.75" customHeight="1">
      <c r="A24" s="9" t="s">
        <v>33</v>
      </c>
      <c r="B24" s="3"/>
      <c r="C24" s="3"/>
      <c r="D24" s="3"/>
      <c r="E24" s="3"/>
      <c r="F24" s="3"/>
    </row>
    <row r="25" spans="1:6" ht="15.75" customHeight="1">
      <c r="A25" s="9" t="s">
        <v>21</v>
      </c>
      <c r="B25" s="10">
        <v>57.45</v>
      </c>
      <c r="C25" s="10">
        <v>266.56</v>
      </c>
      <c r="D25" s="10">
        <v>539.46</v>
      </c>
      <c r="E25" s="10">
        <v>234.59</v>
      </c>
      <c r="F25" s="10">
        <v>-100.25</v>
      </c>
    </row>
    <row r="26" spans="1:6" ht="15.75" customHeight="1">
      <c r="A26" s="9" t="s">
        <v>35</v>
      </c>
      <c r="B26" s="10">
        <v>0</v>
      </c>
      <c r="C26" s="10">
        <v>0</v>
      </c>
      <c r="D26" s="10">
        <v>-100.79</v>
      </c>
      <c r="E26" s="10">
        <v>0</v>
      </c>
      <c r="F26" s="10">
        <v>0</v>
      </c>
    </row>
    <row r="27" spans="1:6" ht="14.4">
      <c r="A27" s="9" t="s">
        <v>37</v>
      </c>
      <c r="B27" s="10">
        <v>-102.31</v>
      </c>
      <c r="C27" s="10">
        <v>-55.16</v>
      </c>
      <c r="D27" s="10">
        <v>-0.1</v>
      </c>
      <c r="E27" s="10">
        <v>-41.17</v>
      </c>
      <c r="F27" s="10">
        <v>11.05</v>
      </c>
    </row>
    <row r="28" spans="1:6" ht="14.4">
      <c r="A28" s="9" t="s">
        <v>38</v>
      </c>
      <c r="B28" s="10">
        <v>-44.86</v>
      </c>
      <c r="C28" s="10">
        <v>211.4</v>
      </c>
      <c r="D28" s="10">
        <v>640.15</v>
      </c>
      <c r="E28" s="10">
        <v>193.42</v>
      </c>
      <c r="F28" s="10">
        <v>-89.2</v>
      </c>
    </row>
    <row r="29" spans="1:6" ht="14.4">
      <c r="A29" s="9" t="s">
        <v>40</v>
      </c>
      <c r="B29" s="10">
        <v>340.21</v>
      </c>
      <c r="C29" s="10">
        <v>843.29</v>
      </c>
      <c r="D29" s="10">
        <v>1724.04</v>
      </c>
      <c r="E29" s="10">
        <v>848.27</v>
      </c>
      <c r="F29" s="10">
        <v>1028.8800000000001</v>
      </c>
    </row>
    <row r="30" spans="1:6" ht="14.4">
      <c r="A30" s="9" t="s">
        <v>41</v>
      </c>
      <c r="B30" s="10">
        <v>340.21</v>
      </c>
      <c r="C30" s="10">
        <v>843.29</v>
      </c>
      <c r="D30" s="10">
        <v>1724.04</v>
      </c>
      <c r="E30" s="10">
        <v>848.27</v>
      </c>
      <c r="F30" s="10">
        <v>1028.8800000000001</v>
      </c>
    </row>
    <row r="31" spans="1:6" ht="14.4">
      <c r="A31" s="9" t="s">
        <v>23</v>
      </c>
      <c r="B31" s="10">
        <v>340.21</v>
      </c>
      <c r="C31" s="10">
        <v>843.29</v>
      </c>
      <c r="D31" s="10">
        <v>1724.04</v>
      </c>
      <c r="E31" s="10">
        <v>848.27</v>
      </c>
      <c r="F31" s="10">
        <v>1028.8800000000001</v>
      </c>
    </row>
    <row r="32" spans="1:6" ht="14.4">
      <c r="A32" s="9" t="s">
        <v>43</v>
      </c>
      <c r="B32" s="10">
        <v>0.01</v>
      </c>
      <c r="C32" s="10">
        <v>-0.2</v>
      </c>
      <c r="D32" s="10">
        <v>0.36</v>
      </c>
      <c r="E32" s="10">
        <v>9.19</v>
      </c>
      <c r="F32" s="10">
        <v>5.79</v>
      </c>
    </row>
    <row r="33" spans="1:12" ht="14.4">
      <c r="A33" s="9" t="s">
        <v>45</v>
      </c>
      <c r="B33" s="10">
        <v>0.02</v>
      </c>
      <c r="C33" s="10">
        <v>0.27</v>
      </c>
      <c r="D33" s="10">
        <v>0.14000000000000001</v>
      </c>
      <c r="E33" s="10">
        <v>0.14000000000000001</v>
      </c>
      <c r="F33" s="10">
        <v>0.12</v>
      </c>
    </row>
    <row r="34" spans="1:12" ht="14.4">
      <c r="A34" s="9" t="s">
        <v>46</v>
      </c>
      <c r="B34" s="10">
        <v>340.24</v>
      </c>
      <c r="C34" s="10">
        <v>843.36</v>
      </c>
      <c r="D34" s="10">
        <v>1724.54</v>
      </c>
      <c r="E34" s="10">
        <v>857.6</v>
      </c>
      <c r="F34" s="10">
        <v>1034.79</v>
      </c>
    </row>
    <row r="40" spans="1:12" ht="13.2">
      <c r="A40" s="37" t="s">
        <v>27</v>
      </c>
    </row>
    <row r="42" spans="1:12" ht="13.2">
      <c r="A42" s="11"/>
      <c r="B42" s="6">
        <v>45736</v>
      </c>
      <c r="C42" s="6">
        <v>45737</v>
      </c>
      <c r="D42" s="6">
        <v>45738</v>
      </c>
      <c r="E42" s="6">
        <v>45739</v>
      </c>
      <c r="F42" s="6">
        <v>45740</v>
      </c>
      <c r="G42" s="6">
        <v>45741</v>
      </c>
      <c r="H42" s="6">
        <v>45742</v>
      </c>
      <c r="I42" s="6">
        <v>45743</v>
      </c>
      <c r="J42" s="6">
        <v>45744</v>
      </c>
      <c r="K42" s="6">
        <v>45745</v>
      </c>
      <c r="L42" s="6">
        <v>45746</v>
      </c>
    </row>
    <row r="43" spans="1:12" ht="13.2">
      <c r="A43" s="7" t="s">
        <v>29</v>
      </c>
      <c r="B43" s="11">
        <v>4376.3500000000004</v>
      </c>
      <c r="C43" s="11">
        <v>6297.07</v>
      </c>
      <c r="D43" s="11">
        <v>10393.959999999999</v>
      </c>
      <c r="E43" s="11">
        <v>12610.18</v>
      </c>
      <c r="F43" s="11">
        <v>13195.22</v>
      </c>
      <c r="G43" s="7">
        <f t="shared" ref="G43:L43" si="0">F43*(1+G44)</f>
        <v>17645.654452842551</v>
      </c>
      <c r="H43" s="7">
        <f t="shared" si="0"/>
        <v>23597.114793775479</v>
      </c>
      <c r="I43" s="7">
        <f t="shared" si="0"/>
        <v>31076.320729155268</v>
      </c>
      <c r="J43" s="7">
        <f t="shared" si="0"/>
        <v>38852.380324221289</v>
      </c>
      <c r="K43" s="7">
        <f t="shared" si="0"/>
        <v>48861.729676239709</v>
      </c>
      <c r="L43" s="7">
        <f t="shared" si="0"/>
        <v>63513.959974991616</v>
      </c>
    </row>
    <row r="44" spans="1:12" ht="13.2">
      <c r="A44" s="2" t="s">
        <v>30</v>
      </c>
      <c r="C44" s="38">
        <v>0.43888628651730305</v>
      </c>
      <c r="D44" s="38">
        <v>0.65060258183567909</v>
      </c>
      <c r="E44" s="38">
        <v>0.21322190964752619</v>
      </c>
      <c r="F44" s="38">
        <v>4.6394262413383396E-2</v>
      </c>
      <c r="G44" s="8">
        <v>0.337276260103473</v>
      </c>
      <c r="H44" s="8">
        <f>AVERAGE(C44:F44)</f>
        <v>0.33727626010347289</v>
      </c>
      <c r="I44" s="8">
        <f t="shared" ref="I44:L44" si="1">AVERAGE(D44:H44)</f>
        <v>0.31695425482070694</v>
      </c>
      <c r="J44" s="8">
        <f t="shared" si="1"/>
        <v>0.25022458941771247</v>
      </c>
      <c r="K44" s="8">
        <f t="shared" si="1"/>
        <v>0.25762512537174975</v>
      </c>
      <c r="L44" s="8">
        <f t="shared" si="1"/>
        <v>0.29987129796342299</v>
      </c>
    </row>
    <row r="45" spans="1:12" ht="13.2">
      <c r="A45" s="39" t="s">
        <v>32</v>
      </c>
      <c r="B45" s="7">
        <v>11.83</v>
      </c>
      <c r="C45" s="7">
        <v>23.72</v>
      </c>
      <c r="D45" s="7">
        <v>60.01</v>
      </c>
      <c r="E45" s="7">
        <v>112.01</v>
      </c>
      <c r="F45" s="7">
        <v>158.97999999999999</v>
      </c>
      <c r="G45" s="7">
        <f t="shared" ref="G45:L45" si="2">F45*(1+G46)</f>
        <v>310.84024774977917</v>
      </c>
      <c r="H45" s="7">
        <f t="shared" si="2"/>
        <v>607.75984162249415</v>
      </c>
      <c r="I45" s="7">
        <f t="shared" si="2"/>
        <v>1182.2417266684481</v>
      </c>
      <c r="J45" s="7">
        <f t="shared" si="2"/>
        <v>2161.5012496054042</v>
      </c>
      <c r="K45" s="7">
        <f t="shared" si="2"/>
        <v>3935.3683371757024</v>
      </c>
      <c r="L45" s="7">
        <f t="shared" si="2"/>
        <v>7480.8587366595611</v>
      </c>
    </row>
    <row r="46" spans="1:12" ht="13.2">
      <c r="A46" s="2" t="s">
        <v>30</v>
      </c>
      <c r="C46" s="8">
        <v>1.0050718512256973</v>
      </c>
      <c r="D46" s="8">
        <v>1.5299325463743676</v>
      </c>
      <c r="E46" s="8">
        <v>0.8665222462922848</v>
      </c>
      <c r="F46" s="8">
        <v>0.41933755914650461</v>
      </c>
      <c r="G46" s="8">
        <v>0.95521605075971305</v>
      </c>
      <c r="H46" s="8">
        <f t="shared" ref="H46:L46" si="3">AVERAGE(C46:G46)</f>
        <v>0.9552160507597135</v>
      </c>
      <c r="I46" s="8">
        <f t="shared" si="3"/>
        <v>0.94524489066651685</v>
      </c>
      <c r="J46" s="8">
        <f t="shared" si="3"/>
        <v>0.82830735952494661</v>
      </c>
      <c r="K46" s="8">
        <f t="shared" si="3"/>
        <v>0.82066438217147886</v>
      </c>
      <c r="L46" s="8">
        <f t="shared" si="3"/>
        <v>0.90092974677647386</v>
      </c>
    </row>
    <row r="47" spans="1:12" ht="13.2">
      <c r="A47" s="39" t="s">
        <v>34</v>
      </c>
      <c r="B47" s="7">
        <v>2677.98</v>
      </c>
      <c r="C47" s="7">
        <v>3833.3099999999995</v>
      </c>
      <c r="D47" s="7">
        <v>6312.54</v>
      </c>
      <c r="E47" s="7">
        <v>8966.25</v>
      </c>
      <c r="F47" s="7">
        <v>9478.6799999999985</v>
      </c>
      <c r="G47" s="7">
        <f t="shared" ref="G47:L47" si="4">F47*(1+G48)</f>
        <v>13165.213695214801</v>
      </c>
      <c r="H47" s="7">
        <f t="shared" si="4"/>
        <v>18285.547316785818</v>
      </c>
      <c r="I47" s="7">
        <f t="shared" si="4"/>
        <v>25241.938727006152</v>
      </c>
      <c r="J47" s="7">
        <f t="shared" si="4"/>
        <v>33500.228641685171</v>
      </c>
      <c r="K47" s="7">
        <f t="shared" si="4"/>
        <v>43835.756588218108</v>
      </c>
      <c r="L47" s="7">
        <f t="shared" si="4"/>
        <v>59563.813156565266</v>
      </c>
    </row>
    <row r="48" spans="1:12" ht="13.2">
      <c r="A48" s="2" t="s">
        <v>30</v>
      </c>
      <c r="C48" s="8">
        <v>0.43141845719534855</v>
      </c>
      <c r="D48" s="8">
        <v>0.64675958897141139</v>
      </c>
      <c r="E48" s="8">
        <v>0.42038703913163322</v>
      </c>
      <c r="F48" s="8">
        <v>5.7150982852362857E-2</v>
      </c>
      <c r="G48" s="8">
        <v>0.38892901703768901</v>
      </c>
      <c r="H48" s="8">
        <f t="shared" ref="H48:L48" si="5">AVERAGE(C48:G48)</f>
        <v>0.38892901703768901</v>
      </c>
      <c r="I48" s="8">
        <f t="shared" si="5"/>
        <v>0.38043112900615716</v>
      </c>
      <c r="J48" s="8">
        <f t="shared" si="5"/>
        <v>0.32716543701310624</v>
      </c>
      <c r="K48" s="8">
        <f t="shared" si="5"/>
        <v>0.30852111658940085</v>
      </c>
      <c r="L48" s="8">
        <f t="shared" si="5"/>
        <v>0.35879514333680851</v>
      </c>
    </row>
    <row r="49" spans="1:12" ht="13.2">
      <c r="A49" s="39" t="s">
        <v>36</v>
      </c>
      <c r="B49" s="7">
        <v>1698.3700000000003</v>
      </c>
      <c r="C49" s="7">
        <v>2487.4800000000005</v>
      </c>
      <c r="D49" s="7">
        <v>4141.4299999999994</v>
      </c>
      <c r="E49" s="7">
        <v>3755.9400000000005</v>
      </c>
      <c r="F49" s="7">
        <v>3875.5200000000004</v>
      </c>
      <c r="G49" s="7">
        <f t="shared" ref="G49:L49" si="6">G43+G45-G47</f>
        <v>4791.2810053775302</v>
      </c>
      <c r="H49" s="7">
        <f t="shared" si="6"/>
        <v>5919.3273186121551</v>
      </c>
      <c r="I49" s="7">
        <f t="shared" si="6"/>
        <v>7016.6237288175653</v>
      </c>
      <c r="J49" s="7">
        <f t="shared" si="6"/>
        <v>7513.6529321415219</v>
      </c>
      <c r="K49" s="7">
        <f t="shared" si="6"/>
        <v>8961.3414251973009</v>
      </c>
      <c r="L49" s="7">
        <f t="shared" si="6"/>
        <v>11431.005555085918</v>
      </c>
    </row>
    <row r="50" spans="1:12" ht="13.2">
      <c r="A50" s="2" t="s">
        <v>30</v>
      </c>
      <c r="C50" s="8">
        <v>0.4646278490552706</v>
      </c>
      <c r="D50" s="8">
        <v>0.6649098686220587</v>
      </c>
      <c r="E50" s="8">
        <v>-9.3081375273757844E-2</v>
      </c>
      <c r="F50" s="8">
        <v>3.1837569290244228E-2</v>
      </c>
      <c r="G50" s="8">
        <f t="shared" ref="G50:L50" si="7">(G49-F49)/F49</f>
        <v>0.2362937116509603</v>
      </c>
      <c r="H50" s="8">
        <f t="shared" si="7"/>
        <v>0.23543731039121973</v>
      </c>
      <c r="I50" s="8">
        <f t="shared" si="7"/>
        <v>0.18537518727088778</v>
      </c>
      <c r="J50" s="8">
        <f t="shared" si="7"/>
        <v>7.083594938725829E-2</v>
      </c>
      <c r="K50" s="8">
        <f t="shared" si="7"/>
        <v>0.19267438969172115</v>
      </c>
      <c r="L50" s="8">
        <f t="shared" si="7"/>
        <v>0.2755908979145098</v>
      </c>
    </row>
    <row r="51" spans="1:12" ht="13.2">
      <c r="A51" s="39" t="s">
        <v>39</v>
      </c>
      <c r="B51" s="7">
        <v>1032.28</v>
      </c>
      <c r="C51" s="7">
        <v>1069.97</v>
      </c>
      <c r="D51" s="7">
        <v>1481.6799999999998</v>
      </c>
      <c r="E51" s="7">
        <v>2158.04</v>
      </c>
      <c r="F51" s="7">
        <v>2146.52</v>
      </c>
      <c r="G51" s="7">
        <f t="shared" ref="G51:L51" si="8">F51*(1+G52)</f>
        <v>2614.6983117524951</v>
      </c>
      <c r="H51" s="7">
        <f t="shared" si="8"/>
        <v>3303.6978118554443</v>
      </c>
      <c r="I51" s="7">
        <f t="shared" si="8"/>
        <v>4074.0905537256185</v>
      </c>
      <c r="J51" s="7">
        <f t="shared" si="8"/>
        <v>4796.7052614413806</v>
      </c>
      <c r="K51" s="7">
        <f t="shared" si="8"/>
        <v>5866.5862822244017</v>
      </c>
      <c r="L51" s="7">
        <f t="shared" si="8"/>
        <v>7182.3361907605895</v>
      </c>
    </row>
    <row r="52" spans="1:12" ht="13.2">
      <c r="A52" s="2" t="s">
        <v>30</v>
      </c>
      <c r="C52" s="8">
        <v>3.6511411632502863E-2</v>
      </c>
      <c r="D52" s="8">
        <v>0.38478648934082244</v>
      </c>
      <c r="E52" s="8">
        <v>0.45648183143458793</v>
      </c>
      <c r="F52" s="8">
        <v>-5.3381772348983251E-3</v>
      </c>
      <c r="G52" s="8">
        <f t="shared" ref="G52:L52" si="9">AVERAGE(C52:F52)</f>
        <v>0.21811038879325373</v>
      </c>
      <c r="H52" s="8">
        <f t="shared" si="9"/>
        <v>0.2635101330834414</v>
      </c>
      <c r="I52" s="8">
        <f t="shared" si="9"/>
        <v>0.23319104401909618</v>
      </c>
      <c r="J52" s="8">
        <f t="shared" si="9"/>
        <v>0.17736834716522326</v>
      </c>
      <c r="K52" s="8">
        <f t="shared" si="9"/>
        <v>0.22304497826525366</v>
      </c>
      <c r="L52" s="8">
        <f t="shared" si="9"/>
        <v>0.22427862563325363</v>
      </c>
    </row>
    <row r="53" spans="1:12" ht="13.2">
      <c r="A53" s="39" t="s">
        <v>42</v>
      </c>
      <c r="B53" s="7">
        <v>677.9200000000003</v>
      </c>
      <c r="C53" s="7">
        <v>1417.5100000000004</v>
      </c>
      <c r="D53" s="7">
        <v>2659.7499999999995</v>
      </c>
      <c r="E53" s="7">
        <v>1597.9000000000005</v>
      </c>
      <c r="F53" s="7">
        <v>1729.0000000000005</v>
      </c>
      <c r="G53" s="7">
        <f t="shared" ref="G53:L53" si="10">G49-G51</f>
        <v>2176.5826936250351</v>
      </c>
      <c r="H53" s="7">
        <f t="shared" si="10"/>
        <v>2615.6295067567107</v>
      </c>
      <c r="I53" s="7">
        <f t="shared" si="10"/>
        <v>2942.5331750919468</v>
      </c>
      <c r="J53" s="7">
        <f t="shared" si="10"/>
        <v>2716.9476707001413</v>
      </c>
      <c r="K53" s="7">
        <f t="shared" si="10"/>
        <v>3094.7551429728992</v>
      </c>
      <c r="L53" s="7">
        <f t="shared" si="10"/>
        <v>4248.6693643253284</v>
      </c>
    </row>
    <row r="54" spans="1:12" ht="13.2">
      <c r="A54" s="2" t="s">
        <v>30</v>
      </c>
      <c r="C54" s="8">
        <v>1.0909694359216424</v>
      </c>
      <c r="D54" s="8">
        <v>0.87635360597103285</v>
      </c>
      <c r="E54" s="8">
        <v>-0.39922925086944233</v>
      </c>
      <c r="F54" s="8">
        <v>8.2045184304399443E-2</v>
      </c>
      <c r="G54" s="8">
        <f t="shared" ref="G54:L54" si="11">(G53-F53)/F53</f>
        <v>0.25886795467034962</v>
      </c>
      <c r="H54" s="8">
        <f t="shared" si="11"/>
        <v>0.20171382158720375</v>
      </c>
      <c r="I54" s="8">
        <f t="shared" si="11"/>
        <v>0.12498087649293464</v>
      </c>
      <c r="J54" s="8">
        <f t="shared" si="11"/>
        <v>-7.6663708093879512E-2</v>
      </c>
      <c r="K54" s="8">
        <f t="shared" si="11"/>
        <v>0.13905585166290638</v>
      </c>
      <c r="L54" s="8">
        <f t="shared" si="11"/>
        <v>0.37286123394045007</v>
      </c>
    </row>
    <row r="55" spans="1:12" ht="13.2">
      <c r="A55" s="39" t="s">
        <v>44</v>
      </c>
      <c r="B55" s="7">
        <v>296.68</v>
      </c>
      <c r="C55" s="7">
        <v>300.36</v>
      </c>
      <c r="D55" s="7">
        <v>272.39999999999998</v>
      </c>
      <c r="E55" s="7">
        <v>463.08</v>
      </c>
      <c r="F55" s="7">
        <v>656.04</v>
      </c>
      <c r="G55" s="7">
        <f t="shared" ref="G55:L55" si="12">F55*(1+G56)</f>
        <v>825.95500030523078</v>
      </c>
      <c r="H55" s="7">
        <f t="shared" si="12"/>
        <v>1090.7976659083276</v>
      </c>
      <c r="I55" s="7">
        <f t="shared" si="12"/>
        <v>1553.3884503471288</v>
      </c>
      <c r="J55" s="7">
        <f t="shared" si="12"/>
        <v>2105.0061419278445</v>
      </c>
      <c r="K55" s="7">
        <f t="shared" si="12"/>
        <v>2820.0989179375638</v>
      </c>
      <c r="L55" s="7">
        <f t="shared" si="12"/>
        <v>3835.0184874612341</v>
      </c>
    </row>
    <row r="56" spans="1:12" ht="13.2">
      <c r="A56" s="2" t="s">
        <v>30</v>
      </c>
      <c r="C56" s="8">
        <v>1.2403936901712305E-2</v>
      </c>
      <c r="D56" s="8">
        <v>-9.3088294047143541E-2</v>
      </c>
      <c r="E56" s="8">
        <v>0.70000000000000007</v>
      </c>
      <c r="F56" s="8">
        <v>0.41668826120756669</v>
      </c>
      <c r="G56" s="8">
        <f t="shared" ref="G56:L56" si="13">AVERAGE(C56:F56)</f>
        <v>0.2590009760155339</v>
      </c>
      <c r="H56" s="8">
        <f t="shared" si="13"/>
        <v>0.32065023579398927</v>
      </c>
      <c r="I56" s="8">
        <f t="shared" si="13"/>
        <v>0.4240848682542725</v>
      </c>
      <c r="J56" s="8">
        <f t="shared" si="13"/>
        <v>0.3551060853178406</v>
      </c>
      <c r="K56" s="8">
        <f t="shared" si="13"/>
        <v>0.33971054134540901</v>
      </c>
      <c r="L56" s="8">
        <f t="shared" si="13"/>
        <v>0.35988793267787789</v>
      </c>
    </row>
    <row r="57" spans="1:12" ht="13.2">
      <c r="A57" s="39" t="s">
        <v>47</v>
      </c>
      <c r="B57" s="7">
        <v>381.24000000000029</v>
      </c>
      <c r="C57" s="7">
        <v>1117.1500000000005</v>
      </c>
      <c r="D57" s="7">
        <v>2387.3499999999995</v>
      </c>
      <c r="E57" s="7">
        <v>1134.8200000000006</v>
      </c>
      <c r="F57" s="7">
        <v>1072.9600000000005</v>
      </c>
      <c r="G57" s="7">
        <f t="shared" ref="G57:L57" si="14">G53-G55</f>
        <v>1350.6276933198042</v>
      </c>
      <c r="H57" s="7">
        <f t="shared" si="14"/>
        <v>1524.8318408483831</v>
      </c>
      <c r="I57" s="7">
        <f t="shared" si="14"/>
        <v>1389.1447247448179</v>
      </c>
      <c r="J57" s="7">
        <f t="shared" si="14"/>
        <v>611.94152877229681</v>
      </c>
      <c r="K57" s="7">
        <f t="shared" si="14"/>
        <v>274.65622503533541</v>
      </c>
      <c r="L57" s="7">
        <f t="shared" si="14"/>
        <v>413.65087686409424</v>
      </c>
    </row>
    <row r="58" spans="1:12" ht="13.2">
      <c r="A58" s="2" t="s">
        <v>30</v>
      </c>
      <c r="C58" s="8">
        <v>1.9303063686916371</v>
      </c>
      <c r="D58" s="8">
        <v>1.1370004028107221</v>
      </c>
      <c r="E58" s="8">
        <v>-0.52465285777116855</v>
      </c>
      <c r="F58" s="8">
        <v>-5.451084753529202E-2</v>
      </c>
      <c r="G58" s="8">
        <f t="shared" ref="G58:L58" si="15">(G57-F57)/F57</f>
        <v>0.25878662142093234</v>
      </c>
      <c r="H58" s="8">
        <f t="shared" si="15"/>
        <v>0.12898013893109958</v>
      </c>
      <c r="I58" s="8">
        <f t="shared" si="15"/>
        <v>-8.8984970321758089E-2</v>
      </c>
      <c r="J58" s="8">
        <f t="shared" si="15"/>
        <v>-0.5594832432706327</v>
      </c>
      <c r="K58" s="8">
        <f t="shared" si="15"/>
        <v>-0.5511724370359985</v>
      </c>
      <c r="L58" s="8">
        <f t="shared" si="15"/>
        <v>0.50606772816045487</v>
      </c>
    </row>
    <row r="59" spans="1:12" ht="13.2">
      <c r="A59" s="39" t="s">
        <v>48</v>
      </c>
      <c r="B59" s="7">
        <v>85.89</v>
      </c>
      <c r="C59" s="7">
        <v>62.46</v>
      </c>
      <c r="D59" s="7">
        <v>23.16</v>
      </c>
      <c r="E59" s="7">
        <v>93.13</v>
      </c>
      <c r="F59" s="7">
        <v>133.28</v>
      </c>
      <c r="G59" s="7">
        <f t="shared" ref="G59:L59" si="16">F59*(1+G60)</f>
        <v>218.25537928807856</v>
      </c>
      <c r="H59" s="7">
        <f t="shared" si="16"/>
        <v>407.08134744256523</v>
      </c>
      <c r="I59" s="7">
        <f t="shared" si="16"/>
        <v>911.3539765385184</v>
      </c>
      <c r="J59" s="7">
        <f t="shared" si="16"/>
        <v>1634.1944569029761</v>
      </c>
      <c r="K59" s="7">
        <f t="shared" si="16"/>
        <v>3078.2637127244566</v>
      </c>
      <c r="L59" s="7">
        <f t="shared" si="16"/>
        <v>5987.777311456065</v>
      </c>
    </row>
    <row r="60" spans="1:12" ht="13.2">
      <c r="A60" s="2" t="s">
        <v>49</v>
      </c>
      <c r="C60" s="8">
        <v>-0.27279077890324832</v>
      </c>
      <c r="D60" s="8">
        <v>-0.62920268972142168</v>
      </c>
      <c r="E60" s="8">
        <v>3.0211571675302245</v>
      </c>
      <c r="F60" s="8">
        <v>0.43111779233329761</v>
      </c>
      <c r="G60" s="8">
        <f t="shared" ref="G60:L60" si="17">AVERAGE(C60:F60)</f>
        <v>0.63757037280971296</v>
      </c>
      <c r="H60" s="8">
        <f t="shared" si="17"/>
        <v>0.86516066073795339</v>
      </c>
      <c r="I60" s="8">
        <f t="shared" si="17"/>
        <v>1.2387514983527972</v>
      </c>
      <c r="J60" s="8">
        <f t="shared" si="17"/>
        <v>0.79315008105844031</v>
      </c>
      <c r="K60" s="8">
        <f t="shared" si="17"/>
        <v>0.88365815323972596</v>
      </c>
      <c r="L60" s="8">
        <f t="shared" si="17"/>
        <v>0.94518009834722916</v>
      </c>
    </row>
    <row r="61" spans="1:12" ht="13.2">
      <c r="A61" s="39" t="s">
        <v>50</v>
      </c>
      <c r="B61" s="7">
        <v>295.35000000000031</v>
      </c>
      <c r="C61" s="7">
        <v>1054.6900000000005</v>
      </c>
      <c r="D61" s="7">
        <v>2364.1899999999996</v>
      </c>
      <c r="E61" s="7">
        <v>1041.6900000000005</v>
      </c>
      <c r="F61" s="7">
        <v>939.68000000000052</v>
      </c>
      <c r="G61" s="7">
        <f t="shared" ref="G61:L61" si="18">G57-G59</f>
        <v>1132.3723140317256</v>
      </c>
      <c r="H61" s="7">
        <f t="shared" si="18"/>
        <v>1117.7504934058179</v>
      </c>
      <c r="I61" s="7">
        <f t="shared" si="18"/>
        <v>477.79074820629955</v>
      </c>
      <c r="J61" s="7">
        <f t="shared" si="18"/>
        <v>-1022.2529281306793</v>
      </c>
      <c r="K61" s="7">
        <f t="shared" si="18"/>
        <v>-2803.6074876891212</v>
      </c>
      <c r="L61" s="7">
        <f t="shared" si="18"/>
        <v>-5574.1264345919708</v>
      </c>
    </row>
    <row r="62" spans="1:12" ht="13.2">
      <c r="A62" s="2" t="s">
        <v>30</v>
      </c>
      <c r="C62" s="8">
        <v>2.5709835788048059</v>
      </c>
      <c r="D62" s="8">
        <v>1.2415970569551229</v>
      </c>
      <c r="E62" s="8">
        <v>-0.5593882048397123</v>
      </c>
      <c r="F62" s="8">
        <v>-9.7927406426096E-2</v>
      </c>
      <c r="G62" s="8">
        <f t="shared" ref="G62:L62" si="19">(G61-F61)/F61</f>
        <v>0.20506163165303615</v>
      </c>
      <c r="H62" s="8">
        <f t="shared" si="19"/>
        <v>-1.2912555742243334E-2</v>
      </c>
      <c r="I62" s="8">
        <f t="shared" si="19"/>
        <v>-0.57254257455037449</v>
      </c>
      <c r="J62" s="8">
        <f t="shared" si="19"/>
        <v>-3.1395410689059493</v>
      </c>
      <c r="K62" s="8">
        <f t="shared" si="19"/>
        <v>1.7425771162288353</v>
      </c>
      <c r="L62" s="8">
        <f t="shared" si="19"/>
        <v>0.98819786973334667</v>
      </c>
    </row>
    <row r="63" spans="1:12" ht="13.2">
      <c r="A63" s="39" t="s">
        <v>51</v>
      </c>
      <c r="B63" s="7">
        <v>-44.86</v>
      </c>
      <c r="C63" s="7">
        <v>211.4</v>
      </c>
      <c r="D63" s="7">
        <v>640.15</v>
      </c>
      <c r="E63" s="7">
        <v>193.42</v>
      </c>
      <c r="F63" s="7">
        <v>-89.2</v>
      </c>
      <c r="G63" s="7">
        <f t="shared" ref="G63:L63" si="20">F63*(1+G64)</f>
        <v>7.0924991104472097</v>
      </c>
      <c r="H63" s="7">
        <f t="shared" si="20"/>
        <v>-2.7275339680919428</v>
      </c>
      <c r="I63" s="7">
        <f t="shared" si="20"/>
        <v>-1.3119671514769637</v>
      </c>
      <c r="J63" s="7">
        <f t="shared" si="20"/>
        <v>3.7284640206795241E-2</v>
      </c>
      <c r="K63" s="7">
        <f t="shared" si="20"/>
        <v>-3.5246007692566039E-3</v>
      </c>
      <c r="L63" s="7">
        <f t="shared" si="20"/>
        <v>7.4736266639168397E-5</v>
      </c>
    </row>
    <row r="64" spans="1:12" ht="13.2">
      <c r="A64" s="2" t="s">
        <v>30</v>
      </c>
      <c r="C64" s="8">
        <v>-5.7124386981720905</v>
      </c>
      <c r="D64" s="8">
        <v>2.0281456953642385</v>
      </c>
      <c r="E64" s="8">
        <v>-0.69785206592204962</v>
      </c>
      <c r="F64" s="8">
        <v>-1.4611725778099474</v>
      </c>
      <c r="G64" s="8">
        <v>-1.0795123218660001</v>
      </c>
      <c r="H64" s="8">
        <f t="shared" ref="H64:L64" si="21">AVERAGE(C64:G64)</f>
        <v>-1.3845659936811696</v>
      </c>
      <c r="I64" s="8">
        <f t="shared" si="21"/>
        <v>-0.51899145278298564</v>
      </c>
      <c r="J64" s="8">
        <f t="shared" si="21"/>
        <v>-1.0284188824124305</v>
      </c>
      <c r="K64" s="8">
        <f t="shared" si="21"/>
        <v>-1.0945322457105067</v>
      </c>
      <c r="L64" s="8">
        <f t="shared" si="21"/>
        <v>-1.0212041792906184</v>
      </c>
    </row>
    <row r="65" spans="1:12" ht="13.2">
      <c r="A65" s="39" t="s">
        <v>52</v>
      </c>
      <c r="B65" s="7">
        <v>340.21000000000032</v>
      </c>
      <c r="C65" s="7">
        <v>843.29000000000053</v>
      </c>
      <c r="D65" s="7">
        <v>1724.0399999999995</v>
      </c>
      <c r="E65" s="7">
        <v>848.27000000000055</v>
      </c>
      <c r="F65" s="7">
        <v>1028.8800000000006</v>
      </c>
      <c r="G65" s="7">
        <f t="shared" ref="G65:L65" si="22">G61-G63</f>
        <v>1125.2798149212783</v>
      </c>
      <c r="H65" s="7">
        <f t="shared" si="22"/>
        <v>1120.4780273739098</v>
      </c>
      <c r="I65" s="7">
        <f t="shared" si="22"/>
        <v>479.1027153577765</v>
      </c>
      <c r="J65" s="7">
        <f t="shared" si="22"/>
        <v>-1022.2902127708861</v>
      </c>
      <c r="K65" s="7">
        <f t="shared" si="22"/>
        <v>-2803.603963088352</v>
      </c>
      <c r="L65" s="7">
        <f t="shared" si="22"/>
        <v>-5574.1265093282373</v>
      </c>
    </row>
    <row r="66" spans="1:12" ht="13.2">
      <c r="A66" s="2" t="s">
        <v>30</v>
      </c>
      <c r="C66" s="8">
        <v>1.4787337232885562</v>
      </c>
      <c r="D66" s="8">
        <v>1.044421254847085</v>
      </c>
      <c r="E66" s="8">
        <v>-0.50797545300573022</v>
      </c>
      <c r="F66" s="8">
        <v>0.21291569901092799</v>
      </c>
      <c r="G66" s="8">
        <f t="shared" ref="G66:L66" si="23">(G65-F65)/F65</f>
        <v>9.3693934104344248E-2</v>
      </c>
      <c r="H66" s="8">
        <f t="shared" si="23"/>
        <v>-4.2671942424422652E-3</v>
      </c>
      <c r="I66" s="8">
        <f t="shared" si="23"/>
        <v>-0.57241221723851143</v>
      </c>
      <c r="J66" s="8">
        <f t="shared" si="23"/>
        <v>-3.133760005946693</v>
      </c>
      <c r="K66" s="8">
        <f t="shared" si="23"/>
        <v>1.7424736420876707</v>
      </c>
      <c r="L66" s="8">
        <f t="shared" si="23"/>
        <v>0.98820039588900233</v>
      </c>
    </row>
    <row r="67" spans="1:12" ht="13.2">
      <c r="A67" s="39"/>
    </row>
    <row r="68" spans="1:12" ht="13.2">
      <c r="A68" s="39"/>
      <c r="C68" s="8"/>
      <c r="D68" s="8"/>
      <c r="E68" s="8"/>
      <c r="F68" s="8"/>
    </row>
    <row r="79" spans="1:12" ht="13.2">
      <c r="A79" s="7" t="s">
        <v>4</v>
      </c>
      <c r="B79" s="7" t="s">
        <v>129</v>
      </c>
      <c r="C79" s="7" t="s">
        <v>130</v>
      </c>
    </row>
    <row r="80" spans="1:12" ht="13.2">
      <c r="A80" s="7" t="s">
        <v>131</v>
      </c>
      <c r="B80" s="7" t="s">
        <v>132</v>
      </c>
      <c r="C80" s="8">
        <f>AVERAGE(C44,D44)</f>
        <v>0.5447444341764911</v>
      </c>
    </row>
    <row r="81" spans="1:3" ht="13.2">
      <c r="A81" s="7" t="s">
        <v>133</v>
      </c>
      <c r="B81" s="7" t="s">
        <v>134</v>
      </c>
      <c r="C81" s="8">
        <f>AVERAGE(E44,F44)</f>
        <v>0.12980808603045479</v>
      </c>
    </row>
    <row r="82" spans="1:3" ht="13.2">
      <c r="A82" s="7" t="s">
        <v>135</v>
      </c>
      <c r="B82" s="7" t="s">
        <v>136</v>
      </c>
      <c r="C82" s="8">
        <f>AVERAGE(C80,C81)</f>
        <v>0.33727626010347295</v>
      </c>
    </row>
    <row r="94" spans="1:3" ht="13.2">
      <c r="A94" s="7" t="s">
        <v>137</v>
      </c>
      <c r="B94" s="7" t="s">
        <v>129</v>
      </c>
    </row>
    <row r="95" spans="1:3" ht="13.2">
      <c r="A95" s="7" t="s">
        <v>131</v>
      </c>
      <c r="B95" s="7" t="s">
        <v>138</v>
      </c>
      <c r="C95" s="8">
        <f>AVERAGE(C46,D46)</f>
        <v>1.2675021988000323</v>
      </c>
    </row>
    <row r="96" spans="1:3" ht="13.2">
      <c r="A96" s="7" t="s">
        <v>133</v>
      </c>
      <c r="B96" s="7" t="s">
        <v>139</v>
      </c>
      <c r="C96" s="8">
        <f>AVERAGE(E46,F46)</f>
        <v>0.64292990271939465</v>
      </c>
    </row>
    <row r="97" spans="1:3" ht="13.2">
      <c r="A97" s="7" t="s">
        <v>135</v>
      </c>
      <c r="B97" s="7" t="s">
        <v>136</v>
      </c>
      <c r="C97" s="8">
        <f>AVERAGE(C95,C96)</f>
        <v>0.9552160507597135</v>
      </c>
    </row>
    <row r="111" spans="1:3" ht="13.2">
      <c r="A111" s="7" t="s">
        <v>140</v>
      </c>
      <c r="B111" s="7" t="s">
        <v>129</v>
      </c>
    </row>
    <row r="112" spans="1:3" ht="13.2">
      <c r="A112" s="7" t="s">
        <v>131</v>
      </c>
      <c r="B112" s="7" t="s">
        <v>138</v>
      </c>
      <c r="C112" s="8">
        <f>AVERAGE(C48,D48)</f>
        <v>0.53908902308338003</v>
      </c>
    </row>
    <row r="113" spans="1:3" ht="13.2">
      <c r="A113" s="7" t="s">
        <v>133</v>
      </c>
      <c r="B113" s="7" t="s">
        <v>139</v>
      </c>
      <c r="C113" s="8">
        <f>AVERAGE(E48,F48)</f>
        <v>0.23876901099199804</v>
      </c>
    </row>
    <row r="114" spans="1:3" ht="13.2">
      <c r="A114" s="7" t="s">
        <v>141</v>
      </c>
      <c r="B114" s="7" t="s">
        <v>142</v>
      </c>
      <c r="C114" s="8">
        <f>AVERAGE(C112,C113)</f>
        <v>0.38892901703768901</v>
      </c>
    </row>
    <row r="131" spans="1:3" ht="13.2">
      <c r="A131" s="7" t="s">
        <v>51</v>
      </c>
      <c r="B131" s="7" t="s">
        <v>129</v>
      </c>
    </row>
    <row r="132" spans="1:3" ht="13.2">
      <c r="A132" s="7" t="s">
        <v>143</v>
      </c>
      <c r="B132" s="7" t="s">
        <v>138</v>
      </c>
      <c r="C132" s="8">
        <f>AVERAGE(C64:D64)</f>
        <v>-1.842146501403926</v>
      </c>
    </row>
    <row r="133" spans="1:3" ht="13.2">
      <c r="A133" s="7" t="s">
        <v>133</v>
      </c>
      <c r="B133" s="7" t="s">
        <v>142</v>
      </c>
      <c r="C133" s="8">
        <f>AVERAGE(D64:E64)</f>
        <v>0.66514681472109438</v>
      </c>
    </row>
    <row r="134" spans="1:3" ht="13.2">
      <c r="A134" s="7" t="s">
        <v>144</v>
      </c>
      <c r="B134" s="7" t="s">
        <v>139</v>
      </c>
      <c r="C134" s="8">
        <f>AVERAGE(E64:F64)</f>
        <v>-1.0795123218659985</v>
      </c>
    </row>
  </sheetData>
  <scenarios current="1" sqref="G65">
    <scenario name="OPTIMISTIC" locked="1" count="4" user="Gaurav Jain" comment="Created by Gaurav Jain on 3/19/2025_x000a_Modified by Gaurav Jain on 3/19/2025">
      <inputCells r="G44" val="0.5447"/>
      <inputCells r="G46" val="1.2675" numFmtId="10"/>
      <inputCells r="G48" val="0.5391"/>
      <inputCells r="G64" val="-1.8421"/>
    </scenario>
    <scenario name="BASE" locked="1" count="4" user="Gaurav Jain" comment="Created by Gaurav Jain on 3/19/2025_x000a_Modified by Gaurav Jain on 3/19/2025">
      <inputCells r="G44" val="0.337276260103473"/>
      <inputCells r="G46" val="0.955216050759713" numFmtId="10"/>
      <inputCells r="G48" val="0.388929017037689"/>
      <inputCells r="G64" val="-1.079512321866"/>
    </scenario>
    <scenario name="PESSMESTIC" locked="1" count="4" user="Gaurav Jain" comment="Created by Gaurav Jain on 3/19/2025_x000a_Modified by Gaurav Jain on 3/19/2025">
      <inputCells r="G44" val="0.1298" numFmtId="10"/>
      <inputCells r="G46" val="0.6429" numFmtId="10"/>
      <inputCells r="G48" val="0.2388"/>
      <inputCells r="G64" val="0.6651"/>
    </scenario>
  </scenario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F11"/>
  <sheetViews>
    <sheetView workbookViewId="0"/>
  </sheetViews>
  <sheetFormatPr defaultColWidth="12.6640625" defaultRowHeight="15.75" customHeight="1"/>
  <cols>
    <col min="1" max="1" width="49.109375" customWidth="1"/>
  </cols>
  <sheetData>
    <row r="2" spans="1:6">
      <c r="B2" s="24">
        <v>43891</v>
      </c>
      <c r="C2" s="24">
        <v>44256</v>
      </c>
      <c r="D2" s="24">
        <v>44621</v>
      </c>
      <c r="E2" s="24">
        <v>44986</v>
      </c>
      <c r="F2" s="24">
        <v>45352</v>
      </c>
    </row>
    <row r="3" spans="1:6">
      <c r="A3" s="40" t="s">
        <v>145</v>
      </c>
      <c r="B3" s="7">
        <f>'I&amp;S'!B12/((4052+BS!B40)/2)</f>
        <v>0.96295369760807559</v>
      </c>
      <c r="C3" s="7">
        <f>'I&amp;S'!C12/((BS!B40+BS!C40)/2)</f>
        <v>1.2060274756725815</v>
      </c>
      <c r="D3" s="7">
        <f>'I&amp;S'!D12/((BS!C40+BS!D40)/2)</f>
        <v>1.5101437342000721</v>
      </c>
      <c r="E3" s="7">
        <f>'I&amp;S'!E12/((BS!D40+BS!E40)/2)</f>
        <v>1.270948051948052</v>
      </c>
      <c r="F3" s="7">
        <f>'I&amp;S'!F12/((BS!E40+BS!F40)/2)</f>
        <v>1.0277204863783285</v>
      </c>
    </row>
    <row r="4" spans="1:6">
      <c r="A4" s="41" t="s">
        <v>146</v>
      </c>
      <c r="B4" s="7">
        <f>((BS!B40+4052)/2)/((234+2256+BS!B5+BS!B6)/2)</f>
        <v>1.7141245063005455</v>
      </c>
      <c r="C4" s="7">
        <f>((BS!B40+BS!C40)/2)/((BS!B5+BS!B6+BS!C5+BS!C6)/2)</f>
        <v>1.6223494815044111</v>
      </c>
      <c r="D4" s="7">
        <f>((BS!C40+BS!D40)/2)/((BS!C5+BS!C6+BS!D5+BS!D6)/2)</f>
        <v>1.4621396134755518</v>
      </c>
      <c r="E4" s="7">
        <f>((BS!D40+BS!E40)/2)/((BS!D5+BS!D6+BS!E5+BS!E6)/2)</f>
        <v>1.5269620928990923</v>
      </c>
      <c r="F4" s="7">
        <f>((BS!E40+BS!F40)/2)/((BS!E5+BS!E6+BS!F5+BS!F6)/2)</f>
        <v>1.5356615257342079</v>
      </c>
    </row>
    <row r="5" spans="1:6">
      <c r="A5" s="41" t="s">
        <v>147</v>
      </c>
      <c r="B5" s="7">
        <f>'I&amp;S'!B34/'I&amp;S'!B12</f>
        <v>7.7535561440050318E-2</v>
      </c>
      <c r="C5" s="7">
        <f>'I&amp;S'!C34/'I&amp;S'!C12</f>
        <v>0.13342635967972358</v>
      </c>
      <c r="D5" s="7">
        <f>'I&amp;S'!D34/'I&amp;S'!D12</f>
        <v>0.16496508025180864</v>
      </c>
      <c r="E5" s="7">
        <f>'I&amp;S'!E34/'I&amp;S'!E12</f>
        <v>6.7409777719087668E-2</v>
      </c>
      <c r="F5" s="7">
        <f>'I&amp;S'!F34/'I&amp;S'!F12</f>
        <v>7.7487981309251011E-2</v>
      </c>
    </row>
    <row r="6" spans="1:6">
      <c r="A6" s="41" t="s">
        <v>148</v>
      </c>
      <c r="B6" s="7">
        <f>'I&amp;S'!B34/'I&amp;S'!J38</f>
        <v>1.1519891653969854</v>
      </c>
      <c r="C6" s="7">
        <f>'I&amp;S'!C34/'I&amp;S'!K38</f>
        <v>0.79962832680692864</v>
      </c>
      <c r="D6" s="7">
        <f>'I&amp;S'!D34/'I&amp;S'!L38</f>
        <v>0.72944221911098528</v>
      </c>
      <c r="E6" s="7">
        <f>'I&amp;S'!E34/'I&amp;S'!M38</f>
        <v>0.82327755858268736</v>
      </c>
      <c r="F6" s="7">
        <f>'I&amp;S'!F34/'I&amp;S'!N38</f>
        <v>1.1012153073386679</v>
      </c>
    </row>
    <row r="7" spans="1:6">
      <c r="A7" s="41" t="s">
        <v>149</v>
      </c>
      <c r="B7" s="7">
        <f>'I&amp;S'!J38/'I&amp;S'!J34</f>
        <v>0.77470884482215951</v>
      </c>
      <c r="C7" s="7">
        <f>'I&amp;S'!K38/'I&amp;S'!K34</f>
        <v>0.94408987154813584</v>
      </c>
      <c r="D7" s="7">
        <f>'I&amp;S'!L38/'I&amp;S'!L34</f>
        <v>0.99029886694452018</v>
      </c>
      <c r="E7" s="7">
        <f>'I&amp;S'!M38/'I&amp;S'!M34</f>
        <v>0.91793412171093203</v>
      </c>
      <c r="F7" s="7">
        <f>'I&amp;S'!N38/'I&amp;S'!N34</f>
        <v>0.87578288100208779</v>
      </c>
    </row>
    <row r="8" spans="1:6">
      <c r="A8" s="41" t="s">
        <v>150</v>
      </c>
      <c r="B8" s="7">
        <f>'I&amp;S'!J34/'I&amp;S'!B12</f>
        <v>8.6878842709278162E-2</v>
      </c>
      <c r="C8" s="7">
        <f>'I&amp;S'!K34/'I&amp;S'!C12</f>
        <v>0.17674214773786198</v>
      </c>
      <c r="D8" s="7">
        <f>'I&amp;S'!L34/'I&amp;S'!D12</f>
        <v>0.22836778754865372</v>
      </c>
      <c r="E8" s="7">
        <f>'I&amp;S'!M34/'I&amp;S'!E12</f>
        <v>8.920005124903814E-2</v>
      </c>
      <c r="F8" s="7">
        <f>'I&amp;S'!N34/'I&amp;S'!F12</f>
        <v>8.0346258106064036E-2</v>
      </c>
    </row>
    <row r="9" spans="1:6">
      <c r="A9" s="41" t="s">
        <v>151</v>
      </c>
      <c r="B9" s="7">
        <f>'I&amp;S'!B12/((4052+BS!B40)/2)</f>
        <v>0.96295369760807559</v>
      </c>
      <c r="C9" s="7">
        <f>'I&amp;S'!C12/((BS!B40+BS!C40)/2)</f>
        <v>1.2060274756725815</v>
      </c>
      <c r="D9" s="7">
        <f>'I&amp;S'!D12/((BS!C40+BS!D40)/2)</f>
        <v>1.5101437342000721</v>
      </c>
      <c r="E9" s="7">
        <f>'I&amp;S'!E12/((BS!D40+BS!E40)/2)</f>
        <v>1.270948051948052</v>
      </c>
      <c r="F9" s="7">
        <f>'I&amp;S'!F12/((BS!E40+BS!F40)/2)</f>
        <v>1.0277204863783285</v>
      </c>
    </row>
    <row r="10" spans="1:6">
      <c r="A10" s="42" t="s">
        <v>152</v>
      </c>
      <c r="B10" s="7">
        <f t="shared" ref="B10:F10" si="0">B3*B4*B6*B7*B8</f>
        <v>0.1279819447056611</v>
      </c>
      <c r="C10" s="7">
        <f t="shared" si="0"/>
        <v>0.26106175514626218</v>
      </c>
      <c r="D10" s="7">
        <f t="shared" si="0"/>
        <v>0.36424965677473858</v>
      </c>
      <c r="E10" s="7">
        <f t="shared" si="0"/>
        <v>0.13082144763938677</v>
      </c>
      <c r="F10" s="7">
        <f t="shared" si="0"/>
        <v>0.12229391951781599</v>
      </c>
    </row>
    <row r="11" spans="1:6">
      <c r="A11" s="2" t="s">
        <v>153</v>
      </c>
      <c r="B11" s="7">
        <f t="shared" ref="B11:F11" si="1">B3*B4*B5</f>
        <v>0.12798194470566113</v>
      </c>
      <c r="C11" s="7">
        <f t="shared" si="1"/>
        <v>0.26106175514626218</v>
      </c>
      <c r="D11" s="7">
        <f t="shared" si="1"/>
        <v>0.36424965677473858</v>
      </c>
      <c r="E11" s="7">
        <f t="shared" si="1"/>
        <v>0.13082144763938677</v>
      </c>
      <c r="F11" s="7">
        <f t="shared" si="1"/>
        <v>0.12229391951781599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0"/>
  <sheetViews>
    <sheetView workbookViewId="0"/>
  </sheetViews>
  <sheetFormatPr defaultColWidth="12.6640625" defaultRowHeight="15.75" customHeight="1"/>
  <cols>
    <col min="1" max="1" width="31.6640625" customWidth="1"/>
  </cols>
  <sheetData>
    <row r="1" spans="1:6">
      <c r="A1" s="21" t="s">
        <v>154</v>
      </c>
    </row>
    <row r="2" spans="1:6">
      <c r="A2" s="43"/>
    </row>
    <row r="3" spans="1:6">
      <c r="A3" s="44"/>
    </row>
    <row r="4" spans="1:6">
      <c r="A4" s="45"/>
      <c r="B4" s="24">
        <v>43891</v>
      </c>
      <c r="C4" s="24">
        <v>44256</v>
      </c>
      <c r="D4" s="24">
        <v>44621</v>
      </c>
      <c r="E4" s="24">
        <v>44986</v>
      </c>
      <c r="F4" s="24">
        <v>45352</v>
      </c>
    </row>
    <row r="5" spans="1:6">
      <c r="A5" s="23" t="s">
        <v>155</v>
      </c>
      <c r="B5" s="26">
        <v>234</v>
      </c>
      <c r="C5" s="26">
        <v>234</v>
      </c>
      <c r="D5" s="26">
        <v>255</v>
      </c>
      <c r="E5" s="26">
        <v>255</v>
      </c>
      <c r="F5" s="26">
        <v>278</v>
      </c>
    </row>
    <row r="6" spans="1:6">
      <c r="A6" s="23" t="s">
        <v>156</v>
      </c>
      <c r="B6" s="27">
        <v>2593</v>
      </c>
      <c r="C6" s="27">
        <v>3400</v>
      </c>
      <c r="D6" s="27">
        <v>5580</v>
      </c>
      <c r="E6" s="27">
        <v>7021</v>
      </c>
      <c r="F6" s="27">
        <v>9369</v>
      </c>
    </row>
    <row r="7" spans="1:6">
      <c r="A7" s="46" t="s">
        <v>157</v>
      </c>
      <c r="B7" s="27">
        <v>1114</v>
      </c>
      <c r="C7" s="26">
        <v>796</v>
      </c>
      <c r="D7" s="26">
        <v>543</v>
      </c>
      <c r="E7" s="27">
        <v>1172</v>
      </c>
      <c r="F7" s="26">
        <v>597</v>
      </c>
    </row>
    <row r="8" spans="1:6">
      <c r="A8" s="23" t="s">
        <v>158</v>
      </c>
      <c r="B8" s="26">
        <v>351</v>
      </c>
      <c r="C8" s="26">
        <v>120</v>
      </c>
      <c r="D8" s="26">
        <v>126</v>
      </c>
      <c r="E8" s="26">
        <v>332</v>
      </c>
      <c r="F8" s="26">
        <v>269</v>
      </c>
    </row>
    <row r="9" spans="1:6">
      <c r="A9" s="23" t="s">
        <v>159</v>
      </c>
      <c r="B9" s="26">
        <v>699</v>
      </c>
      <c r="C9" s="26">
        <v>669</v>
      </c>
      <c r="D9" s="26">
        <v>408</v>
      </c>
      <c r="E9" s="26">
        <v>830</v>
      </c>
      <c r="F9" s="26">
        <v>319</v>
      </c>
    </row>
    <row r="10" spans="1:6">
      <c r="A10" s="23" t="s">
        <v>160</v>
      </c>
      <c r="B10" s="26">
        <v>6</v>
      </c>
      <c r="C10" s="26">
        <v>7</v>
      </c>
      <c r="D10" s="26">
        <v>9</v>
      </c>
      <c r="E10" s="26">
        <v>10</v>
      </c>
      <c r="F10" s="26">
        <v>9</v>
      </c>
    </row>
    <row r="11" spans="1:6">
      <c r="A11" s="23" t="s">
        <v>161</v>
      </c>
      <c r="B11" s="26">
        <v>58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46" t="s">
        <v>162</v>
      </c>
      <c r="B12" s="27">
        <v>1121</v>
      </c>
      <c r="C12" s="26">
        <v>990</v>
      </c>
      <c r="D12" s="27">
        <v>2047</v>
      </c>
      <c r="E12" s="27">
        <v>3147</v>
      </c>
      <c r="F12" s="27">
        <v>4150</v>
      </c>
    </row>
    <row r="13" spans="1:6">
      <c r="A13" s="23" t="s">
        <v>163</v>
      </c>
      <c r="B13" s="26">
        <v>4</v>
      </c>
      <c r="C13" s="26">
        <v>4</v>
      </c>
      <c r="D13" s="26">
        <v>4</v>
      </c>
      <c r="E13" s="26">
        <v>386</v>
      </c>
      <c r="F13" s="26">
        <v>671</v>
      </c>
    </row>
    <row r="14" spans="1:6">
      <c r="A14" s="23" t="s">
        <v>164</v>
      </c>
      <c r="B14" s="26">
        <v>583</v>
      </c>
      <c r="C14" s="26">
        <v>367</v>
      </c>
      <c r="D14" s="27">
        <v>1194</v>
      </c>
      <c r="E14" s="27">
        <v>1538</v>
      </c>
      <c r="F14" s="27">
        <v>2369</v>
      </c>
    </row>
    <row r="15" spans="1:6">
      <c r="A15" s="23" t="s">
        <v>165</v>
      </c>
      <c r="B15" s="26">
        <v>40</v>
      </c>
      <c r="C15" s="26">
        <v>56</v>
      </c>
      <c r="D15" s="26">
        <v>135</v>
      </c>
      <c r="E15" s="26">
        <v>76</v>
      </c>
      <c r="F15" s="26">
        <v>71</v>
      </c>
    </row>
    <row r="16" spans="1:6">
      <c r="A16" s="23" t="s">
        <v>166</v>
      </c>
      <c r="B16" s="26">
        <v>494</v>
      </c>
      <c r="C16" s="26">
        <v>563</v>
      </c>
      <c r="D16" s="26">
        <v>714</v>
      </c>
      <c r="E16" s="27">
        <v>1148</v>
      </c>
      <c r="F16" s="27">
        <v>1038</v>
      </c>
    </row>
    <row r="17" spans="1:6">
      <c r="A17" s="47" t="s">
        <v>167</v>
      </c>
      <c r="B17" s="27">
        <v>5062</v>
      </c>
      <c r="C17" s="27">
        <v>5420</v>
      </c>
      <c r="D17" s="27">
        <v>8425</v>
      </c>
      <c r="E17" s="27">
        <v>11595</v>
      </c>
      <c r="F17" s="27">
        <v>14393</v>
      </c>
    </row>
    <row r="18" spans="1:6">
      <c r="A18" s="46" t="s">
        <v>168</v>
      </c>
      <c r="B18" s="27">
        <v>2012</v>
      </c>
      <c r="C18" s="27">
        <v>1802</v>
      </c>
      <c r="D18" s="27">
        <v>2455</v>
      </c>
      <c r="E18" s="27">
        <v>3311</v>
      </c>
      <c r="F18" s="27">
        <v>3995</v>
      </c>
    </row>
    <row r="19" spans="1:6">
      <c r="A19" s="23" t="s">
        <v>169</v>
      </c>
      <c r="B19" s="26">
        <v>255</v>
      </c>
      <c r="C19" s="26">
        <v>256</v>
      </c>
      <c r="D19" s="26">
        <v>295</v>
      </c>
      <c r="E19" s="26">
        <v>359</v>
      </c>
      <c r="F19" s="26">
        <v>392</v>
      </c>
    </row>
    <row r="20" spans="1:6">
      <c r="A20" s="23" t="s">
        <v>170</v>
      </c>
      <c r="B20" s="26">
        <v>534</v>
      </c>
      <c r="C20" s="26">
        <v>551</v>
      </c>
      <c r="D20" s="26">
        <v>697</v>
      </c>
      <c r="E20" s="26">
        <v>953</v>
      </c>
      <c r="F20" s="27">
        <v>1025</v>
      </c>
    </row>
    <row r="21" spans="1:6">
      <c r="A21" s="23" t="s">
        <v>171</v>
      </c>
      <c r="B21" s="27">
        <v>2326</v>
      </c>
      <c r="C21" s="27">
        <v>2397</v>
      </c>
      <c r="D21" s="27">
        <v>3142</v>
      </c>
      <c r="E21" s="27">
        <v>4521</v>
      </c>
      <c r="F21" s="27">
        <v>5714</v>
      </c>
    </row>
    <row r="22" spans="1:6">
      <c r="A22" s="23" t="s">
        <v>172</v>
      </c>
      <c r="B22" s="26">
        <v>4</v>
      </c>
      <c r="C22" s="26">
        <v>5</v>
      </c>
      <c r="D22" s="26">
        <v>6</v>
      </c>
      <c r="E22" s="26">
        <v>11</v>
      </c>
      <c r="F22" s="26">
        <v>13</v>
      </c>
    </row>
    <row r="23" spans="1:6">
      <c r="A23" s="23" t="s">
        <v>173</v>
      </c>
      <c r="B23" s="26">
        <v>2</v>
      </c>
      <c r="C23" s="26">
        <v>2</v>
      </c>
      <c r="D23" s="26">
        <v>2</v>
      </c>
      <c r="E23" s="26">
        <v>4</v>
      </c>
      <c r="F23" s="26">
        <v>5</v>
      </c>
    </row>
    <row r="24" spans="1:6">
      <c r="A24" s="23" t="s">
        <v>174</v>
      </c>
      <c r="B24" s="26">
        <v>5</v>
      </c>
      <c r="C24" s="26">
        <v>6</v>
      </c>
      <c r="D24" s="26">
        <v>8</v>
      </c>
      <c r="E24" s="26">
        <v>14</v>
      </c>
      <c r="F24" s="26">
        <v>17</v>
      </c>
    </row>
    <row r="25" spans="1:6">
      <c r="A25" s="23" t="s">
        <v>175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</row>
    <row r="26" spans="1:6">
      <c r="A26" s="23" t="s">
        <v>176</v>
      </c>
      <c r="B26" s="26">
        <v>2</v>
      </c>
      <c r="C26" s="26">
        <v>2</v>
      </c>
      <c r="D26" s="26">
        <v>8</v>
      </c>
      <c r="E26" s="26">
        <v>155</v>
      </c>
      <c r="F26" s="26">
        <v>158</v>
      </c>
    </row>
    <row r="27" spans="1:6">
      <c r="A27" s="23" t="s">
        <v>177</v>
      </c>
      <c r="B27" s="27">
        <v>3128</v>
      </c>
      <c r="C27" s="27">
        <v>3218</v>
      </c>
      <c r="D27" s="27">
        <v>4158</v>
      </c>
      <c r="E27" s="27">
        <v>6016</v>
      </c>
      <c r="F27" s="27">
        <v>7324</v>
      </c>
    </row>
    <row r="28" spans="1:6">
      <c r="A28" s="23" t="s">
        <v>178</v>
      </c>
      <c r="B28" s="27">
        <v>1116</v>
      </c>
      <c r="C28" s="27">
        <v>1416</v>
      </c>
      <c r="D28" s="27">
        <v>1703</v>
      </c>
      <c r="E28" s="27">
        <v>2706</v>
      </c>
      <c r="F28" s="27">
        <v>3328</v>
      </c>
    </row>
    <row r="29" spans="1:6">
      <c r="A29" s="23" t="s">
        <v>179</v>
      </c>
      <c r="B29" s="26">
        <v>235</v>
      </c>
      <c r="C29" s="26">
        <v>506</v>
      </c>
      <c r="D29" s="26">
        <v>768</v>
      </c>
      <c r="E29" s="27">
        <v>2769</v>
      </c>
      <c r="F29" s="27">
        <v>3764</v>
      </c>
    </row>
    <row r="30" spans="1:6">
      <c r="A30" s="23" t="s">
        <v>180</v>
      </c>
      <c r="B30" s="26">
        <v>144</v>
      </c>
      <c r="C30" s="26">
        <v>282</v>
      </c>
      <c r="D30" s="27">
        <v>1036</v>
      </c>
      <c r="E30" s="27">
        <v>1474</v>
      </c>
      <c r="F30" s="27">
        <v>2262</v>
      </c>
    </row>
    <row r="31" spans="1:6">
      <c r="A31" s="46" t="s">
        <v>181</v>
      </c>
      <c r="B31" s="27">
        <v>2670</v>
      </c>
      <c r="C31" s="27">
        <v>2829</v>
      </c>
      <c r="D31" s="27">
        <v>4166</v>
      </c>
      <c r="E31" s="27">
        <v>4041</v>
      </c>
      <c r="F31" s="27">
        <v>4372</v>
      </c>
    </row>
    <row r="32" spans="1:6">
      <c r="A32" s="23" t="s">
        <v>182</v>
      </c>
      <c r="B32" s="27">
        <v>1487</v>
      </c>
      <c r="C32" s="27">
        <v>1030</v>
      </c>
      <c r="D32" s="27">
        <v>2057</v>
      </c>
      <c r="E32" s="27">
        <v>2214</v>
      </c>
      <c r="F32" s="27">
        <v>2170</v>
      </c>
    </row>
    <row r="33" spans="1:6">
      <c r="A33" s="46" t="s">
        <v>183</v>
      </c>
      <c r="B33" s="26">
        <v>159</v>
      </c>
      <c r="C33" s="26">
        <v>534</v>
      </c>
      <c r="D33" s="26">
        <v>376</v>
      </c>
      <c r="E33" s="26">
        <v>609</v>
      </c>
      <c r="F33" s="26">
        <v>708</v>
      </c>
    </row>
    <row r="34" spans="1:6">
      <c r="A34" s="23" t="s">
        <v>184</v>
      </c>
      <c r="B34" s="26">
        <v>0</v>
      </c>
      <c r="C34" s="26">
        <v>0</v>
      </c>
      <c r="D34" s="26">
        <v>0</v>
      </c>
      <c r="E34" s="26">
        <v>29</v>
      </c>
      <c r="F34" s="26">
        <v>52</v>
      </c>
    </row>
    <row r="35" spans="1:6">
      <c r="A35" s="23" t="s">
        <v>185</v>
      </c>
      <c r="B35" s="26">
        <v>164</v>
      </c>
      <c r="C35" s="26">
        <v>535</v>
      </c>
      <c r="D35" s="26">
        <v>379</v>
      </c>
      <c r="E35" s="26">
        <v>584</v>
      </c>
      <c r="F35" s="26">
        <v>677</v>
      </c>
    </row>
    <row r="36" spans="1:6">
      <c r="A36" s="23" t="s">
        <v>186</v>
      </c>
      <c r="B36" s="26">
        <v>-5</v>
      </c>
      <c r="C36" s="26">
        <v>-2</v>
      </c>
      <c r="D36" s="26">
        <v>-3</v>
      </c>
      <c r="E36" s="26">
        <v>-4</v>
      </c>
      <c r="F36" s="26">
        <v>-22</v>
      </c>
    </row>
    <row r="37" spans="1:6">
      <c r="A37" s="23" t="s">
        <v>187</v>
      </c>
      <c r="B37" s="26">
        <v>121</v>
      </c>
      <c r="C37" s="26">
        <v>324</v>
      </c>
      <c r="D37" s="26">
        <v>326</v>
      </c>
      <c r="E37" s="26">
        <v>190</v>
      </c>
      <c r="F37" s="26">
        <v>50</v>
      </c>
    </row>
    <row r="38" spans="1:6">
      <c r="A38" s="23" t="s">
        <v>188</v>
      </c>
      <c r="B38" s="26">
        <v>501</v>
      </c>
      <c r="C38" s="26">
        <v>524</v>
      </c>
      <c r="D38" s="27">
        <v>1050</v>
      </c>
      <c r="E38" s="26">
        <v>10</v>
      </c>
      <c r="F38" s="26">
        <v>4</v>
      </c>
    </row>
    <row r="39" spans="1:6">
      <c r="A39" s="23" t="s">
        <v>189</v>
      </c>
      <c r="B39" s="26">
        <v>403</v>
      </c>
      <c r="C39" s="26">
        <v>418</v>
      </c>
      <c r="D39" s="26">
        <v>357</v>
      </c>
      <c r="E39" s="27">
        <v>1017</v>
      </c>
      <c r="F39" s="27">
        <v>1439</v>
      </c>
    </row>
    <row r="40" spans="1:6">
      <c r="A40" s="47" t="s">
        <v>190</v>
      </c>
      <c r="B40" s="27">
        <v>5062</v>
      </c>
      <c r="C40" s="27">
        <v>5420</v>
      </c>
      <c r="D40" s="27">
        <v>8425</v>
      </c>
      <c r="E40" s="27">
        <v>11595</v>
      </c>
      <c r="F40" s="27">
        <v>14393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8FD9-E88F-4B3B-87F5-BA15D1FD5AD6}">
  <sheetPr>
    <outlinePr summaryBelow="0"/>
  </sheetPr>
  <dimension ref="B1:J12"/>
  <sheetViews>
    <sheetView showGridLines="0" workbookViewId="0"/>
  </sheetViews>
  <sheetFormatPr defaultRowHeight="13.2" outlineLevelRow="1" outlineLevelCol="1"/>
  <cols>
    <col min="3" max="3" width="6.44140625" bestFit="1" customWidth="1"/>
    <col min="4" max="10" width="15.6640625" bestFit="1" customWidth="1" outlineLevel="1"/>
  </cols>
  <sheetData>
    <row r="1" spans="2:10" ht="13.8" thickBot="1"/>
    <row r="2" spans="2:10" ht="13.8">
      <c r="B2" s="51" t="s">
        <v>201</v>
      </c>
      <c r="C2" s="51"/>
      <c r="D2" s="56"/>
      <c r="E2" s="56"/>
      <c r="F2" s="56"/>
      <c r="G2" s="56"/>
      <c r="H2" s="56"/>
      <c r="I2" s="56"/>
      <c r="J2" s="56"/>
    </row>
    <row r="3" spans="2:10" ht="13.8" collapsed="1">
      <c r="B3" s="50"/>
      <c r="C3" s="50"/>
      <c r="D3" s="57" t="s">
        <v>203</v>
      </c>
      <c r="E3" s="57" t="s">
        <v>194</v>
      </c>
      <c r="F3" s="57" t="s">
        <v>196</v>
      </c>
      <c r="G3" s="57" t="s">
        <v>197</v>
      </c>
      <c r="H3" s="57" t="s">
        <v>198</v>
      </c>
      <c r="I3" s="57" t="s">
        <v>199</v>
      </c>
      <c r="J3" s="57" t="s">
        <v>200</v>
      </c>
    </row>
    <row r="4" spans="2:10" ht="20.399999999999999" hidden="1" outlineLevel="1">
      <c r="B4" s="53"/>
      <c r="C4" s="53"/>
      <c r="D4" s="48"/>
      <c r="E4" s="59" t="s">
        <v>195</v>
      </c>
      <c r="F4" s="59" t="s">
        <v>195</v>
      </c>
      <c r="G4" s="59" t="s">
        <v>195</v>
      </c>
      <c r="H4" s="59" t="s">
        <v>195</v>
      </c>
      <c r="I4" s="59" t="s">
        <v>195</v>
      </c>
      <c r="J4" s="59" t="s">
        <v>195</v>
      </c>
    </row>
    <row r="5" spans="2:10">
      <c r="B5" s="54" t="s">
        <v>202</v>
      </c>
      <c r="C5" s="54"/>
      <c r="D5" s="52"/>
      <c r="E5" s="52"/>
      <c r="F5" s="52"/>
      <c r="G5" s="52"/>
      <c r="H5" s="52"/>
      <c r="I5" s="52"/>
      <c r="J5" s="52"/>
    </row>
    <row r="6" spans="2:10" outlineLevel="1">
      <c r="B6" s="53"/>
      <c r="C6" s="53" t="s">
        <v>191</v>
      </c>
      <c r="D6" s="48">
        <v>0.337276260103473</v>
      </c>
      <c r="E6" s="58">
        <v>0.54469999999999996</v>
      </c>
      <c r="F6" s="58">
        <v>0.1298</v>
      </c>
      <c r="G6" s="58">
        <v>0.337276260103473</v>
      </c>
      <c r="H6" s="48">
        <v>0.337276260103473</v>
      </c>
      <c r="I6" s="48">
        <v>0.337276260103473</v>
      </c>
      <c r="J6" s="48">
        <v>0.337276260103473</v>
      </c>
    </row>
    <row r="7" spans="2:10" outlineLevel="1">
      <c r="B7" s="53"/>
      <c r="C7" s="53" t="s">
        <v>192</v>
      </c>
      <c r="D7" s="48">
        <v>0.95521605075971305</v>
      </c>
      <c r="E7" s="48">
        <v>0.95521605075971305</v>
      </c>
      <c r="F7" s="48">
        <v>0.95521605075971305</v>
      </c>
      <c r="G7" s="48">
        <v>0.95521605075971305</v>
      </c>
      <c r="H7" s="58">
        <v>1.2675000000000001</v>
      </c>
      <c r="I7" s="58">
        <v>0.64290000000000003</v>
      </c>
      <c r="J7" s="58">
        <v>0.95521605075971305</v>
      </c>
    </row>
    <row r="8" spans="2:10">
      <c r="B8" s="54" t="s">
        <v>204</v>
      </c>
      <c r="C8" s="54"/>
      <c r="D8" s="52"/>
      <c r="E8" s="52"/>
      <c r="F8" s="52"/>
      <c r="G8" s="52"/>
      <c r="H8" s="52"/>
      <c r="I8" s="52"/>
      <c r="J8" s="52"/>
    </row>
    <row r="9" spans="2:10" ht="13.8" outlineLevel="1" thickBot="1">
      <c r="B9" s="55"/>
      <c r="C9" s="55" t="s">
        <v>193</v>
      </c>
      <c r="D9" s="49">
        <v>1125.2798149212799</v>
      </c>
      <c r="E9" s="49">
        <v>3862.28169607873</v>
      </c>
      <c r="F9" s="49">
        <v>-1612.41508192128</v>
      </c>
      <c r="G9" s="49">
        <v>1125.2798149212799</v>
      </c>
      <c r="H9" s="49">
        <v>1174.9267171715001</v>
      </c>
      <c r="I9" s="49">
        <v>1075.6278091715001</v>
      </c>
      <c r="J9" s="49">
        <v>1125.2798149212799</v>
      </c>
    </row>
    <row r="10" spans="2:10">
      <c r="B10" t="s">
        <v>205</v>
      </c>
    </row>
    <row r="11" spans="2:10">
      <c r="B11" t="s">
        <v>206</v>
      </c>
    </row>
    <row r="12" spans="2:10">
      <c r="B12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D3D7-4300-4559-9D2C-6D2DB649A1B0}">
  <sheetPr>
    <outlinePr summaryBelow="0"/>
  </sheetPr>
  <dimension ref="B1:G12"/>
  <sheetViews>
    <sheetView showGridLines="0" workbookViewId="0"/>
  </sheetViews>
  <sheetFormatPr defaultRowHeight="13.2" outlineLevelRow="1" outlineLevelCol="1"/>
  <cols>
    <col min="3" max="3" width="6.44140625" bestFit="1" customWidth="1"/>
    <col min="4" max="7" width="12.6640625" bestFit="1" customWidth="1" outlineLevel="1"/>
  </cols>
  <sheetData>
    <row r="1" spans="2:7" ht="13.8" thickBot="1"/>
    <row r="2" spans="2:7" ht="13.8">
      <c r="B2" s="51" t="s">
        <v>201</v>
      </c>
      <c r="C2" s="51"/>
      <c r="D2" s="56"/>
      <c r="E2" s="56"/>
      <c r="F2" s="56"/>
      <c r="G2" s="56"/>
    </row>
    <row r="3" spans="2:7" ht="13.8" collapsed="1">
      <c r="B3" s="50"/>
      <c r="C3" s="50"/>
      <c r="D3" s="57" t="s">
        <v>203</v>
      </c>
      <c r="E3" s="57" t="s">
        <v>194</v>
      </c>
      <c r="F3" s="57" t="s">
        <v>197</v>
      </c>
      <c r="G3" s="57" t="s">
        <v>209</v>
      </c>
    </row>
    <row r="4" spans="2:7" ht="51" hidden="1" outlineLevel="1">
      <c r="B4" s="53"/>
      <c r="C4" s="53"/>
      <c r="D4" s="48"/>
      <c r="E4" s="59" t="s">
        <v>208</v>
      </c>
      <c r="F4" s="59" t="s">
        <v>208</v>
      </c>
      <c r="G4" s="59" t="s">
        <v>195</v>
      </c>
    </row>
    <row r="5" spans="2:7">
      <c r="B5" s="54" t="s">
        <v>202</v>
      </c>
      <c r="C5" s="54"/>
      <c r="D5" s="52"/>
      <c r="E5" s="52"/>
      <c r="F5" s="52"/>
      <c r="G5" s="52"/>
    </row>
    <row r="6" spans="2:7" outlineLevel="1">
      <c r="B6" s="53"/>
      <c r="C6" s="53" t="s">
        <v>191</v>
      </c>
      <c r="D6" s="60">
        <v>0.337276260103473</v>
      </c>
      <c r="E6" s="61">
        <v>0.54469999999999996</v>
      </c>
      <c r="F6" s="61">
        <v>0.337276260103473</v>
      </c>
      <c r="G6" s="61">
        <v>0.1298</v>
      </c>
    </row>
    <row r="7" spans="2:7" outlineLevel="1">
      <c r="B7" s="53"/>
      <c r="C7" s="53" t="s">
        <v>192</v>
      </c>
      <c r="D7" s="60">
        <v>0.95521605075971305</v>
      </c>
      <c r="E7" s="61">
        <v>1.2675000000000001</v>
      </c>
      <c r="F7" s="61">
        <v>0.95521605075971305</v>
      </c>
      <c r="G7" s="61">
        <v>0.64290000000000003</v>
      </c>
    </row>
    <row r="8" spans="2:7">
      <c r="B8" s="54" t="s">
        <v>204</v>
      </c>
      <c r="C8" s="54"/>
      <c r="D8" s="52"/>
      <c r="E8" s="52"/>
      <c r="F8" s="52"/>
      <c r="G8" s="52"/>
    </row>
    <row r="9" spans="2:7" ht="13.8" outlineLevel="1" thickBot="1">
      <c r="B9" s="55"/>
      <c r="C9" s="55" t="s">
        <v>193</v>
      </c>
      <c r="D9" s="49">
        <v>1125.2798149212799</v>
      </c>
      <c r="E9" s="49">
        <v>3911.9285983289501</v>
      </c>
      <c r="F9" s="49">
        <v>1125.2798149212799</v>
      </c>
      <c r="G9" s="49">
        <v>-1662.0670876710501</v>
      </c>
    </row>
    <row r="10" spans="2:7">
      <c r="B10" t="s">
        <v>205</v>
      </c>
    </row>
    <row r="11" spans="2:7">
      <c r="B11" t="s">
        <v>206</v>
      </c>
    </row>
    <row r="12" spans="2:7">
      <c r="B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I&amp;S</vt:lpstr>
      <vt:lpstr>ratios</vt:lpstr>
      <vt:lpstr>cash flow </vt:lpstr>
      <vt:lpstr>24-25 SCENARIO ANALYSIS</vt:lpstr>
      <vt:lpstr>ASSUMPTIONS</vt:lpstr>
      <vt:lpstr>__scenarios</vt:lpstr>
      <vt:lpstr>DUOPOINT</vt:lpstr>
      <vt:lpstr>BS</vt:lpstr>
      <vt:lpstr>Scenario Summary</vt:lpstr>
      <vt:lpstr>Scenario Summary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Jain</dc:creator>
  <cp:lastModifiedBy>Gaurav Jain</cp:lastModifiedBy>
  <dcterms:created xsi:type="dcterms:W3CDTF">2025-03-18T20:51:00Z</dcterms:created>
  <dcterms:modified xsi:type="dcterms:W3CDTF">2025-03-18T20:51:01Z</dcterms:modified>
</cp:coreProperties>
</file>