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ANAND\Desktop\new\"/>
    </mc:Choice>
  </mc:AlternateContent>
  <xr:revisionPtr revIDLastSave="0" documentId="13_ncr:1_{3CED93D4-1E55-4E97-871C-E48DA5C51A0F}" xr6:coauthVersionLast="47" xr6:coauthVersionMax="47" xr10:uidLastSave="{00000000-0000-0000-0000-000000000000}"/>
  <bookViews>
    <workbookView xWindow="-110" yWindow="-110" windowWidth="19420" windowHeight="11500" firstSheet="4" activeTab="10" xr2:uid="{5128FABA-8590-4F90-B453-E82F81F466C8}"/>
  </bookViews>
  <sheets>
    <sheet name="INCOME STATEMENT " sheetId="1" r:id="rId1"/>
    <sheet name="BALANCE SHEET" sheetId="2" r:id="rId2"/>
    <sheet name="RATIO" sheetId="3" r:id="rId3"/>
    <sheet name="CASH FLOW" sheetId="4" r:id="rId4"/>
    <sheet name="Sheet5" sheetId="5" r:id="rId5"/>
    <sheet name="Interconnection" sheetId="7" r:id="rId6"/>
    <sheet name="Altman" sheetId="9" r:id="rId7"/>
    <sheet name="Assumptions" sheetId="10" r:id="rId8"/>
    <sheet name="Sheet1" sheetId="11" r:id="rId9"/>
    <sheet name="Sheet2" sheetId="12" r:id="rId10"/>
    <sheet name="Sheet3" sheetId="13" r:id="rId11"/>
    <sheet name="Sheet4" sheetId="14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5" l="1"/>
  <c r="D19" i="5"/>
  <c r="E19" i="5"/>
  <c r="F19" i="5"/>
  <c r="B19" i="5"/>
  <c r="C18" i="5"/>
  <c r="D18" i="5"/>
  <c r="E18" i="5"/>
  <c r="F18" i="5"/>
  <c r="B18" i="5"/>
  <c r="C11" i="5"/>
  <c r="D11" i="5"/>
  <c r="E11" i="5"/>
  <c r="F11" i="5"/>
  <c r="B11" i="5"/>
  <c r="B5" i="12"/>
  <c r="B4" i="12"/>
  <c r="H4" i="11"/>
  <c r="I4" i="11"/>
  <c r="J4" i="11"/>
  <c r="K4" i="11"/>
  <c r="H5" i="11"/>
  <c r="I5" i="11"/>
  <c r="J5" i="11"/>
  <c r="K5" i="11"/>
  <c r="H6" i="11"/>
  <c r="I6" i="11"/>
  <c r="J6" i="11"/>
  <c r="K6" i="11"/>
  <c r="H7" i="11"/>
  <c r="I7" i="11"/>
  <c r="J7" i="11"/>
  <c r="K7" i="11"/>
  <c r="H8" i="11"/>
  <c r="J8" i="11" s="1"/>
  <c r="I8" i="11"/>
  <c r="H9" i="11"/>
  <c r="I9" i="11"/>
  <c r="J9" i="11"/>
  <c r="K9" i="11"/>
  <c r="H10" i="11"/>
  <c r="I10" i="11"/>
  <c r="J10" i="11"/>
  <c r="K10" i="11"/>
  <c r="H11" i="11"/>
  <c r="I11" i="11"/>
  <c r="J11" i="11"/>
  <c r="K11" i="11"/>
  <c r="H12" i="11"/>
  <c r="I12" i="11"/>
  <c r="J12" i="11"/>
  <c r="K12" i="11"/>
  <c r="H13" i="11"/>
  <c r="I13" i="11"/>
  <c r="J13" i="11"/>
  <c r="K13" i="11"/>
  <c r="H14" i="11"/>
  <c r="I14" i="11"/>
  <c r="J14" i="11"/>
  <c r="K14" i="11"/>
  <c r="H15" i="11"/>
  <c r="I15" i="11"/>
  <c r="J15" i="11"/>
  <c r="K15" i="11"/>
  <c r="H16" i="11"/>
  <c r="I16" i="11"/>
  <c r="J16" i="11"/>
  <c r="K16" i="11"/>
  <c r="H17" i="11"/>
  <c r="K17" i="11" s="1"/>
  <c r="I17" i="11"/>
  <c r="J17" i="11"/>
  <c r="H18" i="11"/>
  <c r="I18" i="11"/>
  <c r="J18" i="11"/>
  <c r="K18" i="11"/>
  <c r="H19" i="11"/>
  <c r="I19" i="11"/>
  <c r="J19" i="11"/>
  <c r="K19" i="11"/>
  <c r="H20" i="11"/>
  <c r="I20" i="11"/>
  <c r="J20" i="11"/>
  <c r="K20" i="11"/>
  <c r="H21" i="11"/>
  <c r="I21" i="11"/>
  <c r="J21" i="11"/>
  <c r="K21" i="11"/>
  <c r="H22" i="11"/>
  <c r="I22" i="11"/>
  <c r="J22" i="11"/>
  <c r="K22" i="11"/>
  <c r="H23" i="11"/>
  <c r="I23" i="11"/>
  <c r="J23" i="11"/>
  <c r="K23" i="11"/>
  <c r="H24" i="11"/>
  <c r="I24" i="11"/>
  <c r="J24" i="11"/>
  <c r="K24" i="11"/>
  <c r="H25" i="11"/>
  <c r="I25" i="11"/>
  <c r="J25" i="11"/>
  <c r="K25" i="11"/>
  <c r="H26" i="11"/>
  <c r="K26" i="11" s="1"/>
  <c r="I26" i="11"/>
  <c r="J26" i="11"/>
  <c r="H27" i="11"/>
  <c r="I27" i="11"/>
  <c r="J27" i="11"/>
  <c r="K27" i="11"/>
  <c r="H28" i="11"/>
  <c r="I28" i="11"/>
  <c r="J28" i="11"/>
  <c r="K28" i="11"/>
  <c r="H29" i="11"/>
  <c r="I29" i="11"/>
  <c r="J29" i="11"/>
  <c r="K29" i="11"/>
  <c r="H30" i="11"/>
  <c r="I30" i="11"/>
  <c r="J30" i="11"/>
  <c r="K30" i="11"/>
  <c r="H31" i="11"/>
  <c r="I31" i="11"/>
  <c r="J31" i="11"/>
  <c r="K31" i="11"/>
  <c r="H32" i="11"/>
  <c r="I32" i="11"/>
  <c r="J32" i="11"/>
  <c r="K32" i="11"/>
  <c r="H33" i="11"/>
  <c r="I33" i="11"/>
  <c r="J33" i="11"/>
  <c r="K33" i="11"/>
  <c r="H34" i="11"/>
  <c r="I34" i="11"/>
  <c r="J34" i="11"/>
  <c r="K34" i="11"/>
  <c r="H35" i="11"/>
  <c r="K35" i="11" s="1"/>
  <c r="I35" i="11"/>
  <c r="J35" i="11"/>
  <c r="H36" i="11"/>
  <c r="I36" i="11"/>
  <c r="J36" i="11"/>
  <c r="K36" i="11"/>
  <c r="H37" i="11"/>
  <c r="I37" i="11"/>
  <c r="J37" i="11"/>
  <c r="K37" i="11"/>
  <c r="H38" i="11"/>
  <c r="I38" i="11"/>
  <c r="J38" i="11"/>
  <c r="K38" i="11"/>
  <c r="H39" i="11"/>
  <c r="I39" i="11"/>
  <c r="J39" i="11"/>
  <c r="K39" i="11"/>
  <c r="H40" i="11"/>
  <c r="I40" i="11"/>
  <c r="J40" i="11"/>
  <c r="K40" i="11"/>
  <c r="H41" i="11"/>
  <c r="I41" i="11"/>
  <c r="J41" i="11"/>
  <c r="K41" i="11"/>
  <c r="H42" i="11"/>
  <c r="I42" i="11"/>
  <c r="J42" i="11"/>
  <c r="K42" i="11"/>
  <c r="H43" i="11"/>
  <c r="I43" i="11"/>
  <c r="J43" i="11"/>
  <c r="K43" i="11"/>
  <c r="H44" i="11"/>
  <c r="J44" i="11" s="1"/>
  <c r="I44" i="11"/>
  <c r="H45" i="11"/>
  <c r="I45" i="11"/>
  <c r="J45" i="11"/>
  <c r="K45" i="11"/>
  <c r="H46" i="11"/>
  <c r="I46" i="11"/>
  <c r="J46" i="11"/>
  <c r="K46" i="11"/>
  <c r="H47" i="11"/>
  <c r="I47" i="11"/>
  <c r="J47" i="11"/>
  <c r="K47" i="11"/>
  <c r="H48" i="11"/>
  <c r="I48" i="11"/>
  <c r="J48" i="11"/>
  <c r="K48" i="11"/>
  <c r="H49" i="11"/>
  <c r="I49" i="11"/>
  <c r="J49" i="11"/>
  <c r="K49" i="11"/>
  <c r="H50" i="11"/>
  <c r="I50" i="11"/>
  <c r="J50" i="11"/>
  <c r="K50" i="11"/>
  <c r="H51" i="11"/>
  <c r="I51" i="11"/>
  <c r="J51" i="11"/>
  <c r="K51" i="11"/>
  <c r="H52" i="11"/>
  <c r="I52" i="11"/>
  <c r="J52" i="11"/>
  <c r="K52" i="11"/>
  <c r="H53" i="11"/>
  <c r="J53" i="11" s="1"/>
  <c r="I53" i="11"/>
  <c r="H54" i="11"/>
  <c r="I54" i="11"/>
  <c r="J54" i="11"/>
  <c r="K54" i="11"/>
  <c r="H55" i="11"/>
  <c r="I55" i="11"/>
  <c r="J55" i="11"/>
  <c r="K55" i="11"/>
  <c r="H56" i="11"/>
  <c r="I56" i="11"/>
  <c r="J56" i="11"/>
  <c r="K56" i="11"/>
  <c r="H57" i="11"/>
  <c r="I57" i="11"/>
  <c r="J57" i="11"/>
  <c r="K57" i="11"/>
  <c r="H58" i="11"/>
  <c r="I58" i="11"/>
  <c r="J58" i="11"/>
  <c r="K58" i="11"/>
  <c r="H59" i="11"/>
  <c r="I59" i="11"/>
  <c r="J59" i="11"/>
  <c r="K59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4" i="11"/>
  <c r="B9" i="12" l="1"/>
  <c r="B6" i="12"/>
  <c r="B7" i="12" s="1"/>
  <c r="B8" i="12"/>
  <c r="K53" i="11"/>
  <c r="K44" i="11"/>
  <c r="K8" i="11"/>
  <c r="C55" i="10" l="1"/>
  <c r="C56" i="10" s="1"/>
  <c r="D55" i="10"/>
  <c r="D56" i="10" s="1"/>
  <c r="B55" i="10"/>
  <c r="C52" i="10"/>
  <c r="D52" i="10"/>
  <c r="B52" i="10"/>
  <c r="C46" i="10"/>
  <c r="D46" i="10"/>
  <c r="D47" i="10" s="1"/>
  <c r="B46" i="10"/>
  <c r="C43" i="10"/>
  <c r="D43" i="10"/>
  <c r="B43" i="10"/>
  <c r="C40" i="10"/>
  <c r="D40" i="10"/>
  <c r="B40" i="10"/>
  <c r="E39" i="10"/>
  <c r="F39" i="10"/>
  <c r="G39" i="10"/>
  <c r="H39" i="10"/>
  <c r="I39" i="10"/>
  <c r="C39" i="10"/>
  <c r="D39" i="10"/>
  <c r="B39" i="10"/>
  <c r="C33" i="10"/>
  <c r="D33" i="10"/>
  <c r="B33" i="10"/>
  <c r="B34" i="10" s="1"/>
  <c r="C30" i="10"/>
  <c r="D30" i="10"/>
  <c r="D31" i="10" s="1"/>
  <c r="B30" i="10"/>
  <c r="C27" i="10"/>
  <c r="D27" i="10"/>
  <c r="B27" i="10"/>
  <c r="C24" i="10"/>
  <c r="D24" i="10"/>
  <c r="B24" i="10"/>
  <c r="C21" i="10"/>
  <c r="D21" i="10"/>
  <c r="B21" i="10"/>
  <c r="C18" i="10"/>
  <c r="D18" i="10"/>
  <c r="B18" i="10"/>
  <c r="C15" i="10"/>
  <c r="D15" i="10"/>
  <c r="B15" i="10"/>
  <c r="C12" i="10"/>
  <c r="D12" i="10"/>
  <c r="B12" i="10"/>
  <c r="C9" i="10"/>
  <c r="C28" i="10" s="1"/>
  <c r="D9" i="10"/>
  <c r="D10" i="10" s="1"/>
  <c r="B9" i="10"/>
  <c r="D49" i="10"/>
  <c r="C49" i="10"/>
  <c r="B49" i="10"/>
  <c r="C47" i="10"/>
  <c r="B47" i="10"/>
  <c r="C41" i="10"/>
  <c r="D34" i="10"/>
  <c r="C34" i="10"/>
  <c r="I33" i="10"/>
  <c r="H33" i="10"/>
  <c r="G33" i="10"/>
  <c r="F33" i="10"/>
  <c r="E33" i="10"/>
  <c r="I31" i="10"/>
  <c r="H31" i="10"/>
  <c r="G31" i="10"/>
  <c r="F31" i="10"/>
  <c r="E31" i="10"/>
  <c r="C31" i="10"/>
  <c r="B31" i="10"/>
  <c r="I30" i="10"/>
  <c r="H30" i="10"/>
  <c r="G30" i="10"/>
  <c r="F30" i="10"/>
  <c r="E30" i="10"/>
  <c r="D25" i="10"/>
  <c r="C25" i="10"/>
  <c r="B25" i="10"/>
  <c r="K5" i="10"/>
  <c r="K3" i="10"/>
  <c r="I10" i="10" s="1"/>
  <c r="C12" i="9"/>
  <c r="D12" i="9"/>
  <c r="E12" i="9"/>
  <c r="F12" i="9"/>
  <c r="B12" i="9"/>
  <c r="C11" i="9"/>
  <c r="D11" i="9"/>
  <c r="E11" i="9"/>
  <c r="F11" i="9"/>
  <c r="B11" i="9"/>
  <c r="C10" i="9"/>
  <c r="D10" i="9"/>
  <c r="E10" i="9"/>
  <c r="F10" i="9"/>
  <c r="B10" i="9"/>
  <c r="C9" i="9"/>
  <c r="D9" i="9"/>
  <c r="E9" i="9"/>
  <c r="F9" i="9"/>
  <c r="B9" i="9"/>
  <c r="C8" i="9"/>
  <c r="D8" i="9"/>
  <c r="E8" i="9"/>
  <c r="F8" i="9"/>
  <c r="B8" i="9"/>
  <c r="F15" i="9"/>
  <c r="E15" i="9"/>
  <c r="D15" i="9"/>
  <c r="C15" i="9"/>
  <c r="C30" i="7"/>
  <c r="D30" i="7"/>
  <c r="E30" i="7"/>
  <c r="F30" i="7"/>
  <c r="B30" i="7"/>
  <c r="C29" i="7"/>
  <c r="D29" i="7"/>
  <c r="E29" i="7"/>
  <c r="F29" i="7"/>
  <c r="B29" i="7"/>
  <c r="C28" i="7"/>
  <c r="D28" i="7"/>
  <c r="E28" i="7"/>
  <c r="F28" i="7"/>
  <c r="B28" i="7"/>
  <c r="C27" i="7"/>
  <c r="D27" i="7"/>
  <c r="E27" i="7"/>
  <c r="F27" i="7"/>
  <c r="B27" i="7"/>
  <c r="J5" i="7"/>
  <c r="K5" i="7"/>
  <c r="L5" i="7"/>
  <c r="M5" i="7"/>
  <c r="I5" i="7"/>
  <c r="J4" i="7"/>
  <c r="K4" i="7"/>
  <c r="L4" i="7"/>
  <c r="M4" i="7"/>
  <c r="I4" i="7"/>
  <c r="J3" i="7"/>
  <c r="K3" i="7"/>
  <c r="L3" i="7"/>
  <c r="M3" i="7"/>
  <c r="I3" i="7"/>
  <c r="C6" i="7"/>
  <c r="D6" i="7"/>
  <c r="E6" i="7"/>
  <c r="F6" i="7"/>
  <c r="B6" i="7"/>
  <c r="C5" i="7"/>
  <c r="D5" i="7"/>
  <c r="E5" i="7"/>
  <c r="F5" i="7"/>
  <c r="B5" i="7"/>
  <c r="C4" i="7"/>
  <c r="D4" i="7"/>
  <c r="E4" i="7"/>
  <c r="F4" i="7"/>
  <c r="B4" i="7"/>
  <c r="C3" i="7"/>
  <c r="D3" i="7"/>
  <c r="E3" i="7"/>
  <c r="F3" i="7"/>
  <c r="B3" i="7"/>
  <c r="C26" i="7"/>
  <c r="D26" i="7"/>
  <c r="E26" i="7"/>
  <c r="F26" i="7"/>
  <c r="B26" i="7"/>
  <c r="J2" i="7"/>
  <c r="K2" i="7"/>
  <c r="L2" i="7"/>
  <c r="M2" i="7"/>
  <c r="I2" i="7"/>
  <c r="C7" i="5"/>
  <c r="D7" i="5"/>
  <c r="E7" i="5"/>
  <c r="E16" i="5" s="1"/>
  <c r="F7" i="5"/>
  <c r="F16" i="5" s="1"/>
  <c r="B7" i="5"/>
  <c r="B15" i="5" s="1"/>
  <c r="C6" i="5"/>
  <c r="D6" i="5"/>
  <c r="E6" i="5"/>
  <c r="E15" i="5" s="1"/>
  <c r="F6" i="5"/>
  <c r="B6" i="5"/>
  <c r="C5" i="5"/>
  <c r="D5" i="5"/>
  <c r="E5" i="5"/>
  <c r="F5" i="5"/>
  <c r="B5" i="5"/>
  <c r="C4" i="5"/>
  <c r="D4" i="5"/>
  <c r="E4" i="5"/>
  <c r="F4" i="5"/>
  <c r="B4" i="5"/>
  <c r="C3" i="5"/>
  <c r="D3" i="5"/>
  <c r="E3" i="5"/>
  <c r="F3" i="5"/>
  <c r="B3" i="5"/>
  <c r="C2" i="5"/>
  <c r="D2" i="5"/>
  <c r="E2" i="5"/>
  <c r="F2" i="5"/>
  <c r="B2" i="5"/>
  <c r="B14" i="5" s="1"/>
  <c r="C10" i="5"/>
  <c r="D10" i="5"/>
  <c r="E10" i="5"/>
  <c r="F10" i="5"/>
  <c r="B10" i="5"/>
  <c r="F17" i="5"/>
  <c r="D16" i="5"/>
  <c r="C16" i="5"/>
  <c r="F15" i="5"/>
  <c r="D15" i="5"/>
  <c r="C15" i="5"/>
  <c r="F14" i="5"/>
  <c r="E14" i="5"/>
  <c r="D14" i="5"/>
  <c r="C14" i="5"/>
  <c r="F13" i="5"/>
  <c r="E13" i="5"/>
  <c r="D13" i="5"/>
  <c r="C13" i="5"/>
  <c r="F12" i="5"/>
  <c r="D12" i="5"/>
  <c r="C12" i="5"/>
  <c r="B12" i="5"/>
  <c r="E12" i="5"/>
  <c r="E17" i="5"/>
  <c r="D17" i="5"/>
  <c r="C17" i="5"/>
  <c r="D25" i="4"/>
  <c r="E25" i="4"/>
  <c r="F25" i="4"/>
  <c r="C25" i="4"/>
  <c r="D24" i="4"/>
  <c r="E24" i="4"/>
  <c r="F24" i="4"/>
  <c r="C24" i="4"/>
  <c r="C23" i="4"/>
  <c r="D23" i="4"/>
  <c r="E23" i="4"/>
  <c r="F23" i="4"/>
  <c r="B23" i="4"/>
  <c r="C22" i="4"/>
  <c r="D22" i="4"/>
  <c r="E22" i="4"/>
  <c r="F22" i="4"/>
  <c r="B22" i="4"/>
  <c r="C21" i="4"/>
  <c r="D21" i="4"/>
  <c r="E21" i="4"/>
  <c r="F21" i="4"/>
  <c r="B21" i="4"/>
  <c r="C20" i="4"/>
  <c r="D20" i="4"/>
  <c r="E20" i="4"/>
  <c r="F20" i="4"/>
  <c r="B20" i="4"/>
  <c r="C19" i="4"/>
  <c r="D19" i="4"/>
  <c r="E19" i="4"/>
  <c r="F19" i="4"/>
  <c r="B19" i="4"/>
  <c r="C15" i="4"/>
  <c r="D15" i="4"/>
  <c r="E15" i="4"/>
  <c r="F15" i="4"/>
  <c r="B15" i="4"/>
  <c r="C14" i="4"/>
  <c r="D14" i="4"/>
  <c r="E14" i="4"/>
  <c r="B14" i="4"/>
  <c r="F13" i="4"/>
  <c r="C13" i="4"/>
  <c r="D13" i="4"/>
  <c r="E13" i="4"/>
  <c r="B13" i="4"/>
  <c r="C12" i="4"/>
  <c r="D12" i="4"/>
  <c r="E12" i="4"/>
  <c r="F12" i="4"/>
  <c r="B12" i="4"/>
  <c r="G2" i="4"/>
  <c r="C18" i="4"/>
  <c r="D18" i="4"/>
  <c r="E18" i="4"/>
  <c r="F18" i="4"/>
  <c r="B18" i="4"/>
  <c r="C32" i="3"/>
  <c r="D32" i="3"/>
  <c r="E32" i="3"/>
  <c r="F32" i="3"/>
  <c r="B32" i="3"/>
  <c r="C31" i="3"/>
  <c r="D31" i="3"/>
  <c r="E31" i="3"/>
  <c r="F31" i="3"/>
  <c r="B31" i="3"/>
  <c r="C30" i="3"/>
  <c r="D30" i="3"/>
  <c r="E30" i="3"/>
  <c r="F30" i="3"/>
  <c r="B30" i="3"/>
  <c r="C29" i="3"/>
  <c r="D29" i="3"/>
  <c r="E29" i="3"/>
  <c r="F29" i="3"/>
  <c r="B29" i="3"/>
  <c r="C33" i="3"/>
  <c r="D33" i="3"/>
  <c r="E33" i="3"/>
  <c r="F33" i="3"/>
  <c r="B33" i="3"/>
  <c r="C34" i="3"/>
  <c r="D34" i="3"/>
  <c r="E34" i="3"/>
  <c r="F34" i="3"/>
  <c r="B34" i="3"/>
  <c r="C27" i="3"/>
  <c r="D27" i="3"/>
  <c r="E27" i="3"/>
  <c r="F27" i="3"/>
  <c r="B27" i="3"/>
  <c r="C26" i="3"/>
  <c r="D26" i="3"/>
  <c r="E26" i="3"/>
  <c r="F26" i="3"/>
  <c r="B26" i="3"/>
  <c r="C25" i="3"/>
  <c r="D25" i="3"/>
  <c r="E25" i="3"/>
  <c r="F25" i="3"/>
  <c r="B25" i="3"/>
  <c r="C21" i="3"/>
  <c r="D21" i="3"/>
  <c r="E21" i="3"/>
  <c r="F21" i="3"/>
  <c r="B21" i="3"/>
  <c r="C20" i="3"/>
  <c r="D20" i="3"/>
  <c r="E20" i="3"/>
  <c r="F20" i="3"/>
  <c r="B20" i="3"/>
  <c r="C19" i="3"/>
  <c r="D19" i="3"/>
  <c r="E19" i="3"/>
  <c r="F19" i="3"/>
  <c r="B19" i="3"/>
  <c r="B28" i="10" l="1"/>
  <c r="D41" i="10"/>
  <c r="D13" i="10"/>
  <c r="E10" i="10"/>
  <c r="F10" i="10"/>
  <c r="B41" i="10"/>
  <c r="G10" i="10"/>
  <c r="H10" i="10"/>
  <c r="C13" i="10"/>
  <c r="B16" i="10"/>
  <c r="C16" i="10"/>
  <c r="D16" i="10"/>
  <c r="D28" i="10"/>
  <c r="C19" i="10"/>
  <c r="D19" i="10"/>
  <c r="E9" i="10"/>
  <c r="C22" i="10"/>
  <c r="D22" i="10"/>
  <c r="C50" i="10"/>
  <c r="D50" i="10"/>
  <c r="C53" i="10"/>
  <c r="D53" i="10"/>
  <c r="B19" i="10"/>
  <c r="C10" i="10"/>
  <c r="B22" i="10"/>
  <c r="B50" i="10"/>
  <c r="B53" i="10"/>
  <c r="B13" i="10"/>
  <c r="E13" i="10" s="1"/>
  <c r="B56" i="10"/>
  <c r="E56" i="10" s="1"/>
  <c r="F56" i="10" s="1"/>
  <c r="G34" i="10"/>
  <c r="H34" i="10"/>
  <c r="E28" i="10"/>
  <c r="E25" i="10"/>
  <c r="E24" i="10" s="1"/>
  <c r="E41" i="10"/>
  <c r="E40" i="10" s="1"/>
  <c r="F41" i="10"/>
  <c r="F9" i="10"/>
  <c r="E47" i="10"/>
  <c r="F47" i="10"/>
  <c r="E34" i="10"/>
  <c r="F34" i="10"/>
  <c r="B44" i="10"/>
  <c r="C44" i="10"/>
  <c r="D44" i="10"/>
  <c r="B15" i="9"/>
  <c r="B16" i="5"/>
  <c r="B17" i="5"/>
  <c r="B13" i="5"/>
  <c r="C18" i="3"/>
  <c r="D18" i="3"/>
  <c r="E18" i="3"/>
  <c r="F18" i="3"/>
  <c r="B18" i="3"/>
  <c r="C15" i="3"/>
  <c r="D15" i="3"/>
  <c r="E15" i="3"/>
  <c r="F15" i="3"/>
  <c r="B15" i="3"/>
  <c r="C14" i="3"/>
  <c r="D14" i="3"/>
  <c r="E14" i="3"/>
  <c r="F14" i="3"/>
  <c r="B14" i="3"/>
  <c r="C13" i="3"/>
  <c r="D13" i="3"/>
  <c r="E13" i="3"/>
  <c r="F13" i="3"/>
  <c r="B13" i="3"/>
  <c r="C12" i="3"/>
  <c r="D12" i="3"/>
  <c r="E12" i="3"/>
  <c r="F12" i="3"/>
  <c r="B12" i="3"/>
  <c r="C11" i="3"/>
  <c r="D11" i="3"/>
  <c r="E11" i="3"/>
  <c r="F11" i="3"/>
  <c r="B11" i="3"/>
  <c r="C8" i="3"/>
  <c r="D8" i="3"/>
  <c r="E8" i="3"/>
  <c r="F8" i="3"/>
  <c r="B8" i="3"/>
  <c r="C7" i="3"/>
  <c r="D7" i="3"/>
  <c r="E7" i="3"/>
  <c r="F7" i="3"/>
  <c r="C6" i="3"/>
  <c r="D6" i="3"/>
  <c r="E6" i="3"/>
  <c r="F6" i="3"/>
  <c r="B7" i="3"/>
  <c r="B6" i="3"/>
  <c r="C5" i="3"/>
  <c r="D5" i="3"/>
  <c r="E5" i="3"/>
  <c r="F5" i="3"/>
  <c r="B5" i="3"/>
  <c r="C4" i="3"/>
  <c r="D4" i="3"/>
  <c r="E4" i="3"/>
  <c r="F4" i="3"/>
  <c r="B4" i="3"/>
  <c r="C3" i="3"/>
  <c r="D3" i="3"/>
  <c r="E3" i="3"/>
  <c r="F3" i="3"/>
  <c r="B3" i="3"/>
  <c r="F24" i="3"/>
  <c r="E24" i="3"/>
  <c r="D24" i="3"/>
  <c r="C24" i="3"/>
  <c r="B24" i="3"/>
  <c r="C17" i="3"/>
  <c r="D17" i="3"/>
  <c r="E17" i="3"/>
  <c r="F17" i="3"/>
  <c r="B17" i="3"/>
  <c r="C10" i="3"/>
  <c r="D10" i="3"/>
  <c r="E10" i="3"/>
  <c r="F10" i="3"/>
  <c r="B10" i="3"/>
  <c r="F28" i="3"/>
  <c r="E28" i="3"/>
  <c r="D28" i="3"/>
  <c r="C28" i="3"/>
  <c r="B28" i="3"/>
  <c r="G5" i="2"/>
  <c r="H5" i="2"/>
  <c r="I5" i="2"/>
  <c r="J5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H4" i="2"/>
  <c r="I4" i="2"/>
  <c r="J4" i="2"/>
  <c r="G4" i="2"/>
  <c r="E16" i="10" l="1"/>
  <c r="E53" i="10"/>
  <c r="E52" i="10" s="1"/>
  <c r="E12" i="10"/>
  <c r="F16" i="10"/>
  <c r="F15" i="10" s="1"/>
  <c r="F46" i="10" s="1"/>
  <c r="E22" i="10"/>
  <c r="E21" i="10" s="1"/>
  <c r="E19" i="10"/>
  <c r="E18" i="10" s="1"/>
  <c r="I34" i="10"/>
  <c r="E27" i="10"/>
  <c r="G41" i="10"/>
  <c r="E55" i="10"/>
  <c r="E50" i="10"/>
  <c r="F50" i="10"/>
  <c r="F49" i="10" s="1"/>
  <c r="F13" i="10"/>
  <c r="G13" i="10" s="1"/>
  <c r="G56" i="10"/>
  <c r="H56" i="10" s="1"/>
  <c r="F53" i="10"/>
  <c r="F52" i="10" s="1"/>
  <c r="G53" i="10"/>
  <c r="H53" i="10" s="1"/>
  <c r="E44" i="10"/>
  <c r="F22" i="10"/>
  <c r="F21" i="10" s="1"/>
  <c r="E15" i="10"/>
  <c r="E46" i="10" s="1"/>
  <c r="G9" i="10"/>
  <c r="F55" i="10"/>
  <c r="F40" i="10"/>
  <c r="F19" i="10"/>
  <c r="G19" i="10" s="1"/>
  <c r="G47" i="10"/>
  <c r="F28" i="10"/>
  <c r="F27" i="10" s="1"/>
  <c r="F25" i="10"/>
  <c r="G25" i="10"/>
  <c r="G24" i="10" s="1"/>
  <c r="H41" i="10"/>
  <c r="G16" i="10"/>
  <c r="Z12" i="1"/>
  <c r="AA12" i="1"/>
  <c r="AB12" i="1"/>
  <c r="AC12" i="1"/>
  <c r="Z11" i="1"/>
  <c r="AA11" i="1"/>
  <c r="AB11" i="1"/>
  <c r="AC11" i="1"/>
  <c r="Y12" i="1"/>
  <c r="Y11" i="1"/>
  <c r="Z10" i="1"/>
  <c r="AA10" i="1"/>
  <c r="AB10" i="1"/>
  <c r="AC10" i="1"/>
  <c r="Y10" i="1"/>
  <c r="Z9" i="1"/>
  <c r="AA9" i="1"/>
  <c r="AB9" i="1"/>
  <c r="AC9" i="1"/>
  <c r="Y9" i="1"/>
  <c r="Z8" i="1"/>
  <c r="AA8" i="1"/>
  <c r="AB8" i="1"/>
  <c r="AC8" i="1"/>
  <c r="Z7" i="1"/>
  <c r="AA7" i="1"/>
  <c r="AB7" i="1"/>
  <c r="AC7" i="1"/>
  <c r="Y8" i="1"/>
  <c r="Y7" i="1"/>
  <c r="Z6" i="1"/>
  <c r="AA6" i="1"/>
  <c r="AB6" i="1"/>
  <c r="AC6" i="1"/>
  <c r="Y6" i="1"/>
  <c r="Z5" i="1"/>
  <c r="AA5" i="1"/>
  <c r="AB5" i="1"/>
  <c r="AC5" i="1"/>
  <c r="Y5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M6" i="1"/>
  <c r="N6" i="1"/>
  <c r="O6" i="1"/>
  <c r="P6" i="1"/>
  <c r="Z4" i="1"/>
  <c r="AA4" i="1"/>
  <c r="AB4" i="1"/>
  <c r="Y4" i="1"/>
  <c r="R2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T4" i="1"/>
  <c r="U4" i="1"/>
  <c r="V4" i="1"/>
  <c r="S4" i="1"/>
  <c r="G22" i="10" l="1"/>
  <c r="H19" i="10"/>
  <c r="I19" i="10" s="1"/>
  <c r="F12" i="10"/>
  <c r="F18" i="10"/>
  <c r="E49" i="10"/>
  <c r="G50" i="10"/>
  <c r="G49" i="10" s="1"/>
  <c r="H50" i="10"/>
  <c r="I50" i="10"/>
  <c r="I53" i="10"/>
  <c r="I41" i="10"/>
  <c r="G12" i="10"/>
  <c r="G15" i="10"/>
  <c r="G46" i="10" s="1"/>
  <c r="G18" i="10"/>
  <c r="G52" i="10"/>
  <c r="G55" i="10"/>
  <c r="G27" i="10"/>
  <c r="G21" i="10"/>
  <c r="H9" i="10"/>
  <c r="F24" i="10"/>
  <c r="H25" i="10"/>
  <c r="H24" i="10" s="1"/>
  <c r="H16" i="10"/>
  <c r="I16" i="10" s="1"/>
  <c r="H13" i="10"/>
  <c r="I13" i="10" s="1"/>
  <c r="G40" i="10"/>
  <c r="I56" i="10"/>
  <c r="H22" i="10"/>
  <c r="I22" i="10" s="1"/>
  <c r="E43" i="10"/>
  <c r="G28" i="10"/>
  <c r="H28" i="10" s="1"/>
  <c r="H47" i="10"/>
  <c r="F44" i="10"/>
  <c r="L6" i="1"/>
  <c r="M4" i="1"/>
  <c r="M5" i="1" s="1"/>
  <c r="N4" i="1"/>
  <c r="N5" i="1" s="1"/>
  <c r="O4" i="1"/>
  <c r="O5" i="1" s="1"/>
  <c r="P4" i="1"/>
  <c r="L4" i="1"/>
  <c r="L5" i="1" s="1"/>
  <c r="M2" i="1"/>
  <c r="S2" i="1" s="1"/>
  <c r="N2" i="1"/>
  <c r="T2" i="1" s="1"/>
  <c r="O2" i="1"/>
  <c r="U2" i="1" s="1"/>
  <c r="P2" i="1"/>
  <c r="V2" i="1" s="1"/>
  <c r="L2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" i="1"/>
  <c r="I25" i="10" l="1"/>
  <c r="I24" i="10" s="1"/>
  <c r="H12" i="10"/>
  <c r="H15" i="10"/>
  <c r="H46" i="10" s="1"/>
  <c r="H18" i="10"/>
  <c r="H52" i="10"/>
  <c r="H55" i="10"/>
  <c r="H27" i="10"/>
  <c r="H21" i="10"/>
  <c r="I9" i="10"/>
  <c r="H49" i="10"/>
  <c r="F43" i="10"/>
  <c r="G44" i="10"/>
  <c r="G43" i="10" s="1"/>
  <c r="I47" i="10"/>
  <c r="I40" i="10"/>
  <c r="H40" i="10"/>
  <c r="I28" i="10"/>
  <c r="P5" i="1"/>
  <c r="H44" i="10" l="1"/>
  <c r="H43" i="10" s="1"/>
  <c r="I44" i="10"/>
  <c r="I12" i="10"/>
  <c r="I15" i="10"/>
  <c r="I46" i="10" s="1"/>
  <c r="I18" i="10"/>
  <c r="I52" i="10"/>
  <c r="I21" i="10"/>
  <c r="I55" i="10"/>
  <c r="I27" i="10"/>
  <c r="I49" i="10"/>
  <c r="I43" i="10" l="1"/>
</calcChain>
</file>

<file path=xl/sharedStrings.xml><?xml version="1.0" encoding="utf-8"?>
<sst xmlns="http://schemas.openxmlformats.org/spreadsheetml/2006/main" count="367" uniqueCount="316">
  <si>
    <t>Finance &gt;&gt;Profit &amp; Loss (Standalone)&gt;&gt;JSW Steel Ltd(Curr. in )</t>
  </si>
  <si>
    <t>Year</t>
  </si>
  <si>
    <t>INCOME :</t>
  </si>
  <si>
    <t xml:space="preserve"> Sales Turnover </t>
  </si>
  <si>
    <t>Excise Duty</t>
  </si>
  <si>
    <t>Net Sales</t>
  </si>
  <si>
    <t xml:space="preserve"> Other Income </t>
  </si>
  <si>
    <t xml:space="preserve"> Stock Adjustments </t>
  </si>
  <si>
    <t>Total Income</t>
  </si>
  <si>
    <t>EXPENDITURE :</t>
  </si>
  <si>
    <t xml:space="preserve"> Raw Materials </t>
  </si>
  <si>
    <t xml:space="preserve"> Power &amp; Fuel Cost </t>
  </si>
  <si>
    <t xml:space="preserve"> Employee Cost </t>
  </si>
  <si>
    <t xml:space="preserve"> Other Manufacturing Expenses </t>
  </si>
  <si>
    <t xml:space="preserve"> Selling and Administration Expenses </t>
  </si>
  <si>
    <t xml:space="preserve"> Miscellaneous Expenses </t>
  </si>
  <si>
    <t xml:space="preserve"> Less: Pre-operative Expenses Capitalised </t>
  </si>
  <si>
    <t>Total Expenditure</t>
  </si>
  <si>
    <t>Operating Profit</t>
  </si>
  <si>
    <t xml:space="preserve"> Interest </t>
  </si>
  <si>
    <t>Gross Profit</t>
  </si>
  <si>
    <t xml:space="preserve"> Depreciation </t>
  </si>
  <si>
    <t>Profit Before Tax</t>
  </si>
  <si>
    <t xml:space="preserve"> Tax </t>
  </si>
  <si>
    <t xml:space="preserve"> Fringe Benefit tax </t>
  </si>
  <si>
    <t xml:space="preserve"> Deferred Tax </t>
  </si>
  <si>
    <t>Reported Net Profit</t>
  </si>
  <si>
    <t xml:space="preserve"> Extraordinary Items </t>
  </si>
  <si>
    <t>Adjusted Net Profit</t>
  </si>
  <si>
    <t xml:space="preserve"> Adjst. below Net Profit </t>
  </si>
  <si>
    <t>P &amp; L Balance brought forward</t>
  </si>
  <si>
    <t>Statutory Appropriations</t>
  </si>
  <si>
    <t xml:space="preserve"> Appropriations </t>
  </si>
  <si>
    <t>P &amp; L Balance carried down</t>
  </si>
  <si>
    <t>Dividend</t>
  </si>
  <si>
    <t>Preference Dividend</t>
  </si>
  <si>
    <t>Equity Dividend %</t>
  </si>
  <si>
    <t>Dividend Per Share(Rs)</t>
  </si>
  <si>
    <t>Earnings Per Share-Unit Curr</t>
  </si>
  <si>
    <t>Earnings Per Share(Adj)-Unit Curr</t>
  </si>
  <si>
    <t>Book Value-Unit Curr</t>
  </si>
  <si>
    <t>Book Value(Adj)-Unit Curr</t>
  </si>
  <si>
    <t>Dividend Per Share Adj.(Rs)</t>
  </si>
  <si>
    <t>2020-21</t>
  </si>
  <si>
    <t>2021-22</t>
  </si>
  <si>
    <t>2022-23</t>
  </si>
  <si>
    <t>2023-24</t>
  </si>
  <si>
    <t>Vertical Analysis</t>
  </si>
  <si>
    <t>Horizontal</t>
  </si>
  <si>
    <t>2020/03</t>
  </si>
  <si>
    <t>2021/03</t>
  </si>
  <si>
    <t>2022/03</t>
  </si>
  <si>
    <t>2023/03</t>
  </si>
  <si>
    <t>2024/03</t>
  </si>
  <si>
    <t>Trend Analysis</t>
  </si>
  <si>
    <t>Trends</t>
  </si>
  <si>
    <t>Sales growth</t>
  </si>
  <si>
    <t>Base Year</t>
  </si>
  <si>
    <t>Gross Profit Margin</t>
  </si>
  <si>
    <t>Operating Profit Margin</t>
  </si>
  <si>
    <t>Net income Margin</t>
  </si>
  <si>
    <t>EBITDA Margin</t>
  </si>
  <si>
    <t>EPS</t>
  </si>
  <si>
    <t>Expense to Revenue Ratio (Productivity Ratio)</t>
  </si>
  <si>
    <t>Financial Cost(intest or intrest expense )</t>
  </si>
  <si>
    <t>Interest Coverage</t>
  </si>
  <si>
    <t>Finance &gt;&gt;Balance Sheet (Standalone)&gt;&gt;JSW Steel Ltd(Curr. in )</t>
  </si>
  <si>
    <t>SOURCES OF FUNDS :</t>
  </si>
  <si>
    <t xml:space="preserve"> Share Capital </t>
  </si>
  <si>
    <t xml:space="preserve"> Reserves Total </t>
  </si>
  <si>
    <t>Equity Share Warrants</t>
  </si>
  <si>
    <t>Equity Application Money</t>
  </si>
  <si>
    <t>Total Shareholders Funds</t>
  </si>
  <si>
    <t xml:space="preserve"> Secured Loans </t>
  </si>
  <si>
    <t xml:space="preserve"> Unsecured Loans </t>
  </si>
  <si>
    <t>Total Debt</t>
  </si>
  <si>
    <t xml:space="preserve"> Other Liabilities </t>
  </si>
  <si>
    <t>Total Liabilities</t>
  </si>
  <si>
    <t>APPLICATION OF FUNDS :</t>
  </si>
  <si>
    <t xml:space="preserve"> Gross Block </t>
  </si>
  <si>
    <t xml:space="preserve"> Less : Accumulated Depreciation </t>
  </si>
  <si>
    <t>Less:Impairment of Assets</t>
  </si>
  <si>
    <t xml:space="preserve"> Net Block </t>
  </si>
  <si>
    <t>Lease Adjustment</t>
  </si>
  <si>
    <t>Asset Transferred</t>
  </si>
  <si>
    <t xml:space="preserve"> Capital Work in Progress </t>
  </si>
  <si>
    <t>Producing Properties</t>
  </si>
  <si>
    <t xml:space="preserve"> Investments </t>
  </si>
  <si>
    <t>Current Assets, Loans &amp; Advances</t>
  </si>
  <si>
    <t xml:space="preserve"> Inventories </t>
  </si>
  <si>
    <t xml:space="preserve"> Sundry Debtors </t>
  </si>
  <si>
    <t xml:space="preserve"> Cash and Bank </t>
  </si>
  <si>
    <t xml:space="preserve"> Loans and Advances </t>
  </si>
  <si>
    <t>Total Current Assets</t>
  </si>
  <si>
    <t>Less : Current Liabilities and Provisions</t>
  </si>
  <si>
    <t xml:space="preserve"> Current Liabilities </t>
  </si>
  <si>
    <t xml:space="preserve"> Provisions </t>
  </si>
  <si>
    <t>Total Current Liabilities</t>
  </si>
  <si>
    <t>Net Current Assets</t>
  </si>
  <si>
    <t xml:space="preserve"> Miscellaneous Expenses not written off </t>
  </si>
  <si>
    <t>Deferred Tax Assets</t>
  </si>
  <si>
    <t>Deferred Tax Liability</t>
  </si>
  <si>
    <t>Net Deferred Tax</t>
  </si>
  <si>
    <t xml:space="preserve"> Other Assets </t>
  </si>
  <si>
    <t>Total Assets</t>
  </si>
  <si>
    <t xml:space="preserve"> Contingent Liabilities </t>
  </si>
  <si>
    <t>Solveny-Firm's ability to pay long term liability</t>
  </si>
  <si>
    <t>Trend</t>
  </si>
  <si>
    <t>Parameters</t>
  </si>
  <si>
    <t>total Debt/total equity</t>
  </si>
  <si>
    <t>Total Debt /Total Asset</t>
  </si>
  <si>
    <t>Long term Debt /Total Asset</t>
  </si>
  <si>
    <t>Short term Debt/Total Asset</t>
  </si>
  <si>
    <t>Total Assets/Total Equity</t>
  </si>
  <si>
    <t>Debt Service Coverage Ratio=EBIT+Principal Payment/Interest+Principal</t>
  </si>
  <si>
    <t>Liquidity</t>
  </si>
  <si>
    <t>Current Assets/Current liabilities</t>
  </si>
  <si>
    <t>Quick ratio(Excludes inventory</t>
  </si>
  <si>
    <t>Cash+Marketable securities/Current liabilities</t>
  </si>
  <si>
    <t>Defensive Interval Ratio =Current Assets less inventories/ daily Cash expenditure</t>
  </si>
  <si>
    <t>Net working Capital</t>
  </si>
  <si>
    <t>Profitability Ratio</t>
  </si>
  <si>
    <t>PAT/Networth</t>
  </si>
  <si>
    <t>EBIT/Total Capital</t>
  </si>
  <si>
    <t>EBIT/Total Assets</t>
  </si>
  <si>
    <t>EBIT/Operating Assets</t>
  </si>
  <si>
    <t>Actitvity Ratios</t>
  </si>
  <si>
    <t>Inventory turnover=COGS/Avg inventory</t>
  </si>
  <si>
    <t>DOH=No. of Days in Period/Inventory Turnover</t>
  </si>
  <si>
    <t>Debtors Turnover=revenue/Average Receivables</t>
  </si>
  <si>
    <t>DSO= No. of Days in Period/Debtors Turnover</t>
  </si>
  <si>
    <t>Creditors Turnover= Purchases .Average Trade payables</t>
  </si>
  <si>
    <t>No. of Days Payable=No. of days in a period.Creditors Turnover</t>
  </si>
  <si>
    <t>Cash Turnover=Sales/ Cash</t>
  </si>
  <si>
    <t>Cash Conversion Period=DOH+DSO-No. of days of Payables</t>
  </si>
  <si>
    <t>Asset turnover= Revenue/Assets</t>
  </si>
  <si>
    <t>Working Capital Turnover=Revenue/Working Capital</t>
  </si>
  <si>
    <t>Finance &gt;&gt;Cash Flow (Standalone)&gt;&gt;JSW Steel Ltd(Curr. Rs in )</t>
  </si>
  <si>
    <t>Cash Flow Summary</t>
  </si>
  <si>
    <t>Cash and Cash Equivalents at Beginning of the year</t>
  </si>
  <si>
    <t xml:space="preserve"> Net Cash from Operating Activities </t>
  </si>
  <si>
    <t xml:space="preserve"> Net Cash Used in Investing Activities </t>
  </si>
  <si>
    <t xml:space="preserve"> Net Cash Used in Financing Activities </t>
  </si>
  <si>
    <t>Net Inc/(Dec) in Cash and Cash Equivalent</t>
  </si>
  <si>
    <t>Cash and Cash Equivalents at End of the year</t>
  </si>
  <si>
    <t xml:space="preserve">CFO/net revenue </t>
  </si>
  <si>
    <t xml:space="preserve">CFO/ average total asset. </t>
  </si>
  <si>
    <t>CFO/avg shareholder equity</t>
  </si>
  <si>
    <t>CFO/operating income</t>
  </si>
  <si>
    <t>CFO/total debt</t>
  </si>
  <si>
    <t>(cfo+intrest paid+taxes paid)/intrest paid</t>
  </si>
  <si>
    <t>cfo/cash paid for long-term assets</t>
  </si>
  <si>
    <t>cfo/cash paid for long term debt payment</t>
  </si>
  <si>
    <t>CFO/cash outflow for investing and financing activities</t>
  </si>
  <si>
    <t>avg total assets</t>
  </si>
  <si>
    <t>avg shareholder equity</t>
  </si>
  <si>
    <t>TREND</t>
  </si>
  <si>
    <t>NI</t>
  </si>
  <si>
    <t>Avg. Total Assets</t>
  </si>
  <si>
    <t>Avg. Equity</t>
  </si>
  <si>
    <t>Revenue</t>
  </si>
  <si>
    <t>EBT</t>
  </si>
  <si>
    <t>EBIT</t>
  </si>
  <si>
    <t>Equity Multiplier or Leverage: Avg. Total Assets/Avg. Equity</t>
  </si>
  <si>
    <t>NPM: NI/Revenue</t>
  </si>
  <si>
    <t>Tax Burden: NI/EBT</t>
  </si>
  <si>
    <t>Interest Burden: EBT/EBIT</t>
  </si>
  <si>
    <t>EBIT Margin: EBIT/Revenue</t>
  </si>
  <si>
    <t>Total Assets Turnover: Revnue/Avg. Total Assets</t>
  </si>
  <si>
    <t>Du-Pont Achieved by 5 Level Breakdown</t>
  </si>
  <si>
    <t xml:space="preserve">Revenue </t>
  </si>
  <si>
    <t xml:space="preserve">                                     </t>
  </si>
  <si>
    <t>Net income</t>
  </si>
  <si>
    <t xml:space="preserve">Inventory </t>
  </si>
  <si>
    <t>operating cash flow</t>
  </si>
  <si>
    <t>Receivables</t>
  </si>
  <si>
    <t>Total assets</t>
  </si>
  <si>
    <t>Inventory</t>
  </si>
  <si>
    <t xml:space="preserve"> Receviable / debtors</t>
  </si>
  <si>
    <t>Altman Z-Score is calculated using the following formula</t>
  </si>
  <si>
    <t>1.2*(working capital / total assets) + 1.4*(retained earnings / total assets) + 3.3*(earnings before interest and tax / total assets) + 0.6*(market value of equity / total liabilities) + 1.0*(sales / total assets).</t>
  </si>
  <si>
    <t>1.2*(working capital / total assets)</t>
  </si>
  <si>
    <t>1.4*(retained earnings / total assets)</t>
  </si>
  <si>
    <t>3.3*(earnings before interest and tax / total assets)</t>
  </si>
  <si>
    <t xml:space="preserve">0.6*(market value of equity / total liabilities) </t>
  </si>
  <si>
    <t>1.0*(sales / total assets)</t>
  </si>
  <si>
    <t>Altman Z -Score</t>
  </si>
  <si>
    <t xml:space="preserve"> </t>
  </si>
  <si>
    <t>ASSUMPTIONS</t>
  </si>
  <si>
    <t>Scenarios:</t>
  </si>
  <si>
    <t>Y-o-Y Growth</t>
  </si>
  <si>
    <t>Selected case</t>
  </si>
  <si>
    <t>Case 1</t>
  </si>
  <si>
    <t>Optimistic case</t>
  </si>
  <si>
    <t>\\</t>
  </si>
  <si>
    <t>Case 2</t>
  </si>
  <si>
    <t>Base case</t>
  </si>
  <si>
    <t/>
  </si>
  <si>
    <t>Case 3</t>
  </si>
  <si>
    <t>Worst case</t>
  </si>
  <si>
    <t>P&amp;L Assumptions</t>
  </si>
  <si>
    <t>Particulars</t>
  </si>
  <si>
    <t>2025
Forecast</t>
  </si>
  <si>
    <t>2026
Forecast</t>
  </si>
  <si>
    <t>Revenue from Operations</t>
  </si>
  <si>
    <t>y-o-y growth%</t>
  </si>
  <si>
    <t>Other revenues</t>
  </si>
  <si>
    <t>% of revenues</t>
  </si>
  <si>
    <t>Cost of goods sold</t>
  </si>
  <si>
    <t>Employee benefit Expenses</t>
  </si>
  <si>
    <t>Finance Cost</t>
  </si>
  <si>
    <t>Depreciation And Amortisation Expenses</t>
  </si>
  <si>
    <t>% of tangible assets</t>
  </si>
  <si>
    <t>Other Expenses</t>
  </si>
  <si>
    <t>Taxes</t>
  </si>
  <si>
    <t>% of  EBT</t>
  </si>
  <si>
    <t>Dividend Payout Ratio</t>
  </si>
  <si>
    <t>BS Assumptions</t>
  </si>
  <si>
    <t>Trade receivable</t>
  </si>
  <si>
    <t>Days receivables</t>
  </si>
  <si>
    <t>Days Inventory</t>
  </si>
  <si>
    <t>Trade payable</t>
  </si>
  <si>
    <t>Days payable</t>
  </si>
  <si>
    <t>Tangible Assets</t>
  </si>
  <si>
    <t>as a % of revenue</t>
  </si>
  <si>
    <t>Other current liabilities</t>
  </si>
  <si>
    <t>Other current assets</t>
  </si>
  <si>
    <t>2022
Actual</t>
  </si>
  <si>
    <t>2023
Actual</t>
  </si>
  <si>
    <t>2024
Actual</t>
  </si>
  <si>
    <t>2027
Forecast</t>
  </si>
  <si>
    <t>2028
Forecast</t>
  </si>
  <si>
    <t>2029
Forecast</t>
  </si>
  <si>
    <t>Shareholder's Funds</t>
  </si>
  <si>
    <t>Share Capital</t>
  </si>
  <si>
    <t xml:space="preserve">  Ordinary Capital </t>
  </si>
  <si>
    <t xml:space="preserve">  Ordinary A / DVR Capital </t>
  </si>
  <si>
    <t xml:space="preserve">  Preference Capital - I </t>
  </si>
  <si>
    <t xml:space="preserve">  Preference Capital - II </t>
  </si>
  <si>
    <t xml:space="preserve">  Preference Capital - III </t>
  </si>
  <si>
    <t xml:space="preserve">  Unclassified Capital </t>
  </si>
  <si>
    <t xml:space="preserve"> Reserves and Surplus </t>
  </si>
  <si>
    <t>Money received against Share Warrants</t>
  </si>
  <si>
    <t>Other Equity/Employee Stock Option</t>
  </si>
  <si>
    <t>Total Shareholder's Fund</t>
  </si>
  <si>
    <t>Share Application Money pending Allotment</t>
  </si>
  <si>
    <t>Minority Interest</t>
  </si>
  <si>
    <t>Non-Current Liabilities</t>
  </si>
  <si>
    <t xml:space="preserve"> Long-Term Borrowings </t>
  </si>
  <si>
    <t>Lease Liabilities</t>
  </si>
  <si>
    <t>Deferred Tax Liabilities (Net)</t>
  </si>
  <si>
    <t xml:space="preserve">  Deferred Tax Liability </t>
  </si>
  <si>
    <t xml:space="preserve">  Deferred Tax Assets </t>
  </si>
  <si>
    <t xml:space="preserve"> Other Long Term Liabilities </t>
  </si>
  <si>
    <t xml:space="preserve"> Long-Term Provisions </t>
  </si>
  <si>
    <t>Total Non Current Liabilities</t>
  </si>
  <si>
    <t>Current Liabilities</t>
  </si>
  <si>
    <t xml:space="preserve"> Short-Term Borrowings </t>
  </si>
  <si>
    <t xml:space="preserve"> Trade Payables </t>
  </si>
  <si>
    <t xml:space="preserve"> Other Current Liabilities </t>
  </si>
  <si>
    <t xml:space="preserve"> Short-Term Provisions </t>
  </si>
  <si>
    <t>Other Equity &amp; Liabilities</t>
  </si>
  <si>
    <t>TOTAL EQUITY AND LIABILITIES</t>
  </si>
  <si>
    <t>ASSETS</t>
  </si>
  <si>
    <t>Non-Current Assets</t>
  </si>
  <si>
    <t>Fixed Assets</t>
  </si>
  <si>
    <t xml:space="preserve">  Tangible Assets </t>
  </si>
  <si>
    <t xml:space="preserve">  Intangible Assets </t>
  </si>
  <si>
    <t xml:space="preserve">  Capital Work-in-Progress </t>
  </si>
  <si>
    <t>Intangible assets under development</t>
  </si>
  <si>
    <t>Goodwill on Consolidation</t>
  </si>
  <si>
    <t xml:space="preserve"> Non-Current Investments </t>
  </si>
  <si>
    <t>Deferred Tax Assets (net)</t>
  </si>
  <si>
    <t xml:space="preserve">  Deferred_Tax Assets </t>
  </si>
  <si>
    <t xml:space="preserve">  Deferred_Tax Liability </t>
  </si>
  <si>
    <t xml:space="preserve"> Long-Term Loans and Advances </t>
  </si>
  <si>
    <t xml:space="preserve"> Other Non-Current Assets </t>
  </si>
  <si>
    <t>Total Non Current Assets</t>
  </si>
  <si>
    <t>Current Assets</t>
  </si>
  <si>
    <t xml:space="preserve"> Current Investments </t>
  </si>
  <si>
    <t xml:space="preserve"> Trade Receivables </t>
  </si>
  <si>
    <t xml:space="preserve"> Cash and Cash Equivalents </t>
  </si>
  <si>
    <t xml:space="preserve"> Short-Term Loans and Advances </t>
  </si>
  <si>
    <t xml:space="preserve"> Other Current Assets </t>
  </si>
  <si>
    <t>Other Assets</t>
  </si>
  <si>
    <t>TOTAL ASSETS</t>
  </si>
  <si>
    <t>ACTUAL</t>
  </si>
  <si>
    <t>FORECAST</t>
  </si>
  <si>
    <r>
      <t>Weight</t>
    </r>
    <r>
      <rPr>
        <b/>
        <sz val="11"/>
        <color theme="2"/>
        <rFont val="Arial"/>
        <family val="2"/>
      </rPr>
      <t>ed Average Cost of Capital</t>
    </r>
  </si>
  <si>
    <t>Capital Structure</t>
  </si>
  <si>
    <t>Total Equity</t>
  </si>
  <si>
    <t>Total Mix</t>
  </si>
  <si>
    <t>% of Debt</t>
  </si>
  <si>
    <t>% of Equity</t>
  </si>
  <si>
    <t>Debt to Equity</t>
  </si>
  <si>
    <t xml:space="preserve"> Assets Turnover Ratio: SALES/Avg. Total Assets</t>
  </si>
  <si>
    <t>DU-Pont Achieved by 3 Level Breakdown</t>
  </si>
  <si>
    <t>Scenario Summary</t>
  </si>
  <si>
    <t>Current Values:</t>
  </si>
  <si>
    <t>OPTIMISTIC</t>
  </si>
  <si>
    <t>PESSESMSESTIC</t>
  </si>
  <si>
    <t>BASE</t>
  </si>
  <si>
    <t>OPTIMISTI OTHER I</t>
  </si>
  <si>
    <t>PESSEMESTIC</t>
  </si>
  <si>
    <t>BASE OTHER I</t>
  </si>
  <si>
    <t>Created by Gaurav Jain on 3/19/2025</t>
  </si>
  <si>
    <t>Changing Cells:</t>
  </si>
  <si>
    <t>$G$44</t>
  </si>
  <si>
    <t>$G$46</t>
  </si>
  <si>
    <t>Result Cells:</t>
  </si>
  <si>
    <t>$G$65</t>
  </si>
  <si>
    <t>Notes:  Current Values column represents values of changing cells at</t>
  </si>
  <si>
    <t>time Scenario Summary Report was created.  Changing cells for each</t>
  </si>
  <si>
    <t>scenario are highlighted in gray.</t>
  </si>
  <si>
    <t>PESSMESTIC</t>
  </si>
  <si>
    <t>Created by Gaurav Jain on 3/19/2025
Modified by Gaurav Jain on 3/19/2025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</si>
</sst>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_(* #,##0.0_);_(* \(#,##0.0\);_(* &quot;-&quot;?_);@_)"/>
    <numFmt numFmtId="167" formatCode="_ * #,##0.00_ ;_ * \-#,##0.00_ ;_ * &quot;-&quot;??_ ;_ @_ "/>
    <numFmt numFmtId="168" formatCode="_(* #,##0_);_(* \(#,##0\);_(* &quot;-&quot;?_);@_)"/>
    <numFmt numFmtId="169" formatCode="_(* #,##0_);_(* \(#,##0\);_(* &quot;-&quot;??_);_(@_)"/>
    <numFmt numFmtId="170" formatCode="0.0%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rgb="FF202124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2"/>
      <name val="Arial"/>
      <family val="2"/>
    </font>
    <font>
      <b/>
      <sz val="10"/>
      <name val="Arial"/>
      <family val="2"/>
    </font>
    <font>
      <b/>
      <sz val="11"/>
      <color indexed="9"/>
      <name val="Calibri"/>
      <family val="2"/>
      <scheme val="minor"/>
    </font>
    <font>
      <sz val="9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indexed="1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theme="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bgColor theme="0" tint="-0.24994659260841701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7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4" fontId="3" fillId="0" borderId="4" xfId="0" applyNumberFormat="1" applyFont="1" applyBorder="1" applyAlignment="1">
      <alignment wrapText="1"/>
    </xf>
    <xf numFmtId="10" fontId="0" fillId="0" borderId="0" xfId="1" applyNumberFormat="1" applyFont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/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/>
    <xf numFmtId="0" fontId="5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0" borderId="4" xfId="0" applyFont="1" applyBorder="1"/>
    <xf numFmtId="10" fontId="7" fillId="0" borderId="5" xfId="1" applyNumberFormat="1" applyFont="1" applyFill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10" fontId="5" fillId="0" borderId="5" xfId="1" applyNumberFormat="1" applyFont="1" applyBorder="1" applyAlignment="1">
      <alignment wrapText="1"/>
    </xf>
    <xf numFmtId="10" fontId="7" fillId="0" borderId="0" xfId="1" applyNumberFormat="1" applyFont="1" applyFill="1" applyBorder="1" applyAlignment="1">
      <alignment wrapText="1"/>
    </xf>
    <xf numFmtId="0" fontId="9" fillId="0" borderId="5" xfId="0" applyFont="1" applyBorder="1" applyAlignment="1">
      <alignment wrapText="1"/>
    </xf>
    <xf numFmtId="0" fontId="5" fillId="0" borderId="0" xfId="0" applyFont="1"/>
    <xf numFmtId="0" fontId="5" fillId="4" borderId="5" xfId="0" applyFont="1" applyFill="1" applyBorder="1"/>
    <xf numFmtId="0" fontId="9" fillId="0" borderId="0" xfId="0" applyFont="1"/>
    <xf numFmtId="0" fontId="6" fillId="2" borderId="5" xfId="0" applyFont="1" applyFill="1" applyBorder="1" applyAlignment="1">
      <alignment wrapText="1"/>
    </xf>
    <xf numFmtId="9" fontId="9" fillId="0" borderId="5" xfId="1" applyFont="1" applyBorder="1"/>
    <xf numFmtId="0" fontId="4" fillId="0" borderId="4" xfId="0" applyFont="1" applyBorder="1" applyAlignment="1">
      <alignment wrapText="1"/>
    </xf>
    <xf numFmtId="2" fontId="9" fillId="0" borderId="5" xfId="1" applyNumberFormat="1" applyFont="1" applyBorder="1"/>
    <xf numFmtId="10" fontId="9" fillId="0" borderId="5" xfId="1" applyNumberFormat="1" applyFont="1" applyBorder="1"/>
    <xf numFmtId="4" fontId="4" fillId="0" borderId="4" xfId="0" applyNumberFormat="1" applyFont="1" applyBorder="1" applyAlignment="1">
      <alignment wrapText="1"/>
    </xf>
    <xf numFmtId="0" fontId="10" fillId="3" borderId="0" xfId="0" applyFont="1" applyFill="1"/>
    <xf numFmtId="0" fontId="11" fillId="3" borderId="0" xfId="0" applyFont="1" applyFill="1"/>
    <xf numFmtId="0" fontId="12" fillId="2" borderId="5" xfId="0" applyFont="1" applyFill="1" applyBorder="1"/>
    <xf numFmtId="0" fontId="10" fillId="4" borderId="5" xfId="0" applyFont="1" applyFill="1" applyBorder="1"/>
    <xf numFmtId="0" fontId="10" fillId="4" borderId="6" xfId="0" applyFont="1" applyFill="1" applyBorder="1"/>
    <xf numFmtId="0" fontId="0" fillId="0" borderId="5" xfId="0" applyBorder="1"/>
    <xf numFmtId="0" fontId="11" fillId="4" borderId="5" xfId="0" applyFont="1" applyFill="1" applyBorder="1"/>
    <xf numFmtId="164" fontId="11" fillId="4" borderId="5" xfId="0" applyNumberFormat="1" applyFont="1" applyFill="1" applyBorder="1"/>
    <xf numFmtId="164" fontId="11" fillId="4" borderId="9" xfId="0" applyNumberFormat="1" applyFont="1" applyFill="1" applyBorder="1"/>
    <xf numFmtId="0" fontId="11" fillId="4" borderId="6" xfId="0" applyFont="1" applyFill="1" applyBorder="1"/>
    <xf numFmtId="164" fontId="11" fillId="4" borderId="0" xfId="0" applyNumberFormat="1" applyFont="1" applyFill="1"/>
    <xf numFmtId="0" fontId="10" fillId="3" borderId="5" xfId="0" applyFont="1" applyFill="1" applyBorder="1"/>
    <xf numFmtId="164" fontId="14" fillId="0" borderId="0" xfId="0" applyNumberFormat="1" applyFont="1"/>
    <xf numFmtId="0" fontId="10" fillId="3" borderId="10" xfId="0" applyFont="1" applyFill="1" applyBorder="1"/>
    <xf numFmtId="0" fontId="11" fillId="4" borderId="11" xfId="0" applyFont="1" applyFill="1" applyBorder="1"/>
    <xf numFmtId="1" fontId="13" fillId="0" borderId="5" xfId="0" applyNumberFormat="1" applyFont="1" applyBorder="1"/>
    <xf numFmtId="1" fontId="10" fillId="4" borderId="5" xfId="0" applyNumberFormat="1" applyFont="1" applyFill="1" applyBorder="1"/>
    <xf numFmtId="1" fontId="11" fillId="4" borderId="5" xfId="0" applyNumberFormat="1" applyFont="1" applyFill="1" applyBorder="1"/>
    <xf numFmtId="0" fontId="16" fillId="0" borderId="5" xfId="0" applyFont="1" applyBorder="1"/>
    <xf numFmtId="0" fontId="17" fillId="2" borderId="5" xfId="0" applyFont="1" applyFill="1" applyBorder="1"/>
    <xf numFmtId="0" fontId="17" fillId="4" borderId="5" xfId="0" applyFont="1" applyFill="1" applyBorder="1"/>
    <xf numFmtId="164" fontId="16" fillId="0" borderId="5" xfId="0" applyNumberFormat="1" applyFont="1" applyBorder="1"/>
    <xf numFmtId="0" fontId="17" fillId="0" borderId="0" xfId="0" applyFont="1"/>
    <xf numFmtId="164" fontId="17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5" xfId="0" applyNumberFormat="1" applyFont="1" applyBorder="1"/>
    <xf numFmtId="0" fontId="18" fillId="0" borderId="5" xfId="0" applyFont="1" applyBorder="1"/>
    <xf numFmtId="0" fontId="19" fillId="3" borderId="5" xfId="0" applyFont="1" applyFill="1" applyBorder="1" applyAlignment="1">
      <alignment horizontal="center" vertical="center"/>
    </xf>
    <xf numFmtId="4" fontId="20" fillId="0" borderId="5" xfId="0" applyNumberFormat="1" applyFont="1" applyBorder="1" applyAlignment="1">
      <alignment wrapText="1"/>
    </xf>
    <xf numFmtId="0" fontId="19" fillId="0" borderId="5" xfId="0" applyFont="1" applyBorder="1" applyAlignment="1">
      <alignment horizontal="center" vertical="center"/>
    </xf>
    <xf numFmtId="0" fontId="20" fillId="0" borderId="5" xfId="0" applyFont="1" applyBorder="1"/>
    <xf numFmtId="0" fontId="21" fillId="0" borderId="5" xfId="0" applyFont="1" applyBorder="1"/>
    <xf numFmtId="0" fontId="21" fillId="5" borderId="5" xfId="0" applyFont="1" applyFill="1" applyBorder="1"/>
    <xf numFmtId="0" fontId="19" fillId="6" borderId="5" xfId="0" applyFont="1" applyFill="1" applyBorder="1"/>
    <xf numFmtId="0" fontId="19" fillId="5" borderId="5" xfId="0" applyFont="1" applyFill="1" applyBorder="1"/>
    <xf numFmtId="0" fontId="15" fillId="0" borderId="0" xfId="0" applyFont="1"/>
    <xf numFmtId="0" fontId="22" fillId="0" borderId="5" xfId="0" applyFont="1" applyBorder="1"/>
    <xf numFmtId="4" fontId="20" fillId="0" borderId="4" xfId="0" applyNumberFormat="1" applyFont="1" applyBorder="1" applyAlignment="1">
      <alignment wrapText="1"/>
    </xf>
    <xf numFmtId="0" fontId="18" fillId="0" borderId="0" xfId="0" applyFont="1"/>
    <xf numFmtId="0" fontId="13" fillId="0" borderId="5" xfId="0" applyFont="1" applyBorder="1"/>
    <xf numFmtId="0" fontId="13" fillId="4" borderId="5" xfId="0" applyFont="1" applyFill="1" applyBorder="1"/>
    <xf numFmtId="4" fontId="23" fillId="0" borderId="5" xfId="0" applyNumberFormat="1" applyFont="1" applyBorder="1" applyAlignment="1">
      <alignment wrapText="1"/>
    </xf>
    <xf numFmtId="0" fontId="13" fillId="4" borderId="5" xfId="0" applyFont="1" applyFill="1" applyBorder="1" applyAlignment="1">
      <alignment wrapText="1"/>
    </xf>
    <xf numFmtId="0" fontId="25" fillId="0" borderId="0" xfId="0" applyFont="1"/>
    <xf numFmtId="0" fontId="26" fillId="7" borderId="5" xfId="0" applyFont="1" applyFill="1" applyBorder="1" applyAlignment="1">
      <alignment horizontal="left"/>
    </xf>
    <xf numFmtId="0" fontId="19" fillId="0" borderId="5" xfId="0" applyFont="1" applyBorder="1" applyAlignment="1">
      <alignment wrapText="1"/>
    </xf>
    <xf numFmtId="0" fontId="19" fillId="0" borderId="5" xfId="0" applyFont="1" applyBorder="1"/>
    <xf numFmtId="0" fontId="10" fillId="0" borderId="5" xfId="0" applyFont="1" applyBorder="1" applyAlignment="1">
      <alignment wrapText="1"/>
    </xf>
    <xf numFmtId="2" fontId="21" fillId="0" borderId="5" xfId="0" applyNumberFormat="1" applyFont="1" applyBorder="1"/>
    <xf numFmtId="0" fontId="19" fillId="2" borderId="5" xfId="0" applyFont="1" applyFill="1" applyBorder="1" applyAlignment="1">
      <alignment wrapText="1"/>
    </xf>
    <xf numFmtId="0" fontId="19" fillId="2" borderId="0" xfId="0" applyFont="1" applyFill="1"/>
    <xf numFmtId="0" fontId="21" fillId="0" borderId="0" xfId="0" applyFont="1" applyAlignment="1">
      <alignment wrapText="1"/>
    </xf>
    <xf numFmtId="2" fontId="21" fillId="0" borderId="0" xfId="0" applyNumberFormat="1" applyFont="1"/>
    <xf numFmtId="0" fontId="0" fillId="0" borderId="0" xfId="0" applyAlignment="1">
      <alignment wrapText="1"/>
    </xf>
    <xf numFmtId="0" fontId="29" fillId="8" borderId="0" xfId="0" applyFont="1" applyFill="1"/>
    <xf numFmtId="0" fontId="0" fillId="4" borderId="0" xfId="0" applyFill="1"/>
    <xf numFmtId="166" fontId="30" fillId="9" borderId="0" xfId="0" applyNumberFormat="1" applyFont="1" applyFill="1"/>
    <xf numFmtId="0" fontId="15" fillId="9" borderId="0" xfId="0" applyFont="1" applyFill="1"/>
    <xf numFmtId="0" fontId="30" fillId="9" borderId="0" xfId="0" applyFont="1" applyFill="1"/>
    <xf numFmtId="166" fontId="24" fillId="9" borderId="0" xfId="0" applyNumberFormat="1" applyFont="1" applyFill="1"/>
    <xf numFmtId="10" fontId="31" fillId="9" borderId="0" xfId="1" applyNumberFormat="1" applyFont="1" applyFill="1"/>
    <xf numFmtId="0" fontId="28" fillId="4" borderId="0" xfId="2" applyFill="1"/>
    <xf numFmtId="0" fontId="0" fillId="0" borderId="0" xfId="0" quotePrefix="1"/>
    <xf numFmtId="166" fontId="24" fillId="4" borderId="0" xfId="0" applyNumberFormat="1" applyFont="1" applyFill="1"/>
    <xf numFmtId="9" fontId="0" fillId="4" borderId="0" xfId="1" applyFont="1" applyFill="1"/>
    <xf numFmtId="166" fontId="32" fillId="8" borderId="10" xfId="0" applyNumberFormat="1" applyFont="1" applyFill="1" applyBorder="1"/>
    <xf numFmtId="0" fontId="32" fillId="8" borderId="10" xfId="0" applyFont="1" applyFill="1" applyBorder="1" applyAlignment="1">
      <alignment horizontal="right" wrapText="1"/>
    </xf>
    <xf numFmtId="166" fontId="30" fillId="10" borderId="0" xfId="0" applyNumberFormat="1" applyFont="1" applyFill="1"/>
    <xf numFmtId="167" fontId="33" fillId="4" borderId="0" xfId="3" applyFont="1" applyFill="1"/>
    <xf numFmtId="167" fontId="33" fillId="11" borderId="0" xfId="3" applyFont="1" applyFill="1"/>
    <xf numFmtId="10" fontId="33" fillId="4" borderId="0" xfId="1" applyNumberFormat="1" applyFont="1" applyFill="1"/>
    <xf numFmtId="10" fontId="33" fillId="11" borderId="0" xfId="1" applyNumberFormat="1" applyFont="1" applyFill="1"/>
    <xf numFmtId="0" fontId="15" fillId="10" borderId="0" xfId="0" applyFont="1" applyFill="1"/>
    <xf numFmtId="168" fontId="33" fillId="11" borderId="0" xfId="0" applyNumberFormat="1" applyFont="1" applyFill="1"/>
    <xf numFmtId="10" fontId="33" fillId="4" borderId="0" xfId="0" applyNumberFormat="1" applyFont="1" applyFill="1"/>
    <xf numFmtId="168" fontId="33" fillId="4" borderId="0" xfId="0" applyNumberFormat="1" applyFont="1" applyFill="1"/>
    <xf numFmtId="166" fontId="33" fillId="4" borderId="0" xfId="0" applyNumberFormat="1" applyFont="1" applyFill="1"/>
    <xf numFmtId="9" fontId="33" fillId="11" borderId="0" xfId="1" applyFont="1" applyFill="1"/>
    <xf numFmtId="166" fontId="33" fillId="11" borderId="0" xfId="0" applyNumberFormat="1" applyFont="1" applyFill="1"/>
    <xf numFmtId="167" fontId="33" fillId="11" borderId="0" xfId="3" applyFont="1" applyFill="1" applyAlignment="1">
      <alignment horizontal="center" vertical="center"/>
    </xf>
    <xf numFmtId="0" fontId="0" fillId="11" borderId="0" xfId="0" applyFill="1"/>
    <xf numFmtId="167" fontId="0" fillId="11" borderId="0" xfId="3" applyFont="1" applyFill="1"/>
    <xf numFmtId="10" fontId="33" fillId="4" borderId="0" xfId="1" applyNumberFormat="1" applyFont="1" applyFill="1" applyAlignment="1">
      <alignment horizontal="right"/>
    </xf>
    <xf numFmtId="10" fontId="33" fillId="11" borderId="0" xfId="0" applyNumberFormat="1" applyFont="1" applyFill="1"/>
    <xf numFmtId="169" fontId="33" fillId="11" borderId="0" xfId="0" applyNumberFormat="1" applyFont="1" applyFill="1"/>
    <xf numFmtId="10" fontId="33" fillId="12" borderId="0" xfId="1" applyNumberFormat="1" applyFont="1" applyFill="1" applyAlignment="1">
      <alignment horizontal="right"/>
    </xf>
    <xf numFmtId="170" fontId="33" fillId="11" borderId="0" xfId="1" applyNumberFormat="1" applyFont="1" applyFill="1"/>
    <xf numFmtId="10" fontId="33" fillId="12" borderId="0" xfId="1" applyNumberFormat="1" applyFont="1" applyFill="1"/>
    <xf numFmtId="9" fontId="33" fillId="4" borderId="0" xfId="1" applyFont="1" applyFill="1"/>
    <xf numFmtId="166" fontId="34" fillId="10" borderId="0" xfId="0" applyNumberFormat="1" applyFont="1" applyFill="1"/>
    <xf numFmtId="166" fontId="35" fillId="4" borderId="0" xfId="0" applyNumberFormat="1" applyFont="1" applyFill="1"/>
    <xf numFmtId="170" fontId="35" fillId="4" borderId="0" xfId="1" applyNumberFormat="1" applyFont="1" applyFill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3" fillId="10" borderId="17" xfId="0" applyFont="1" applyFill="1" applyBorder="1"/>
    <xf numFmtId="167" fontId="33" fillId="4" borderId="18" xfId="3" applyFont="1" applyFill="1" applyBorder="1"/>
    <xf numFmtId="167" fontId="37" fillId="13" borderId="19" xfId="3" applyFont="1" applyFill="1" applyBorder="1" applyAlignment="1">
      <alignment horizontal="left"/>
    </xf>
    <xf numFmtId="167" fontId="37" fillId="14" borderId="20" xfId="3" applyFont="1" applyFill="1" applyBorder="1"/>
    <xf numFmtId="0" fontId="33" fillId="10" borderId="14" xfId="0" applyFont="1" applyFill="1" applyBorder="1"/>
    <xf numFmtId="10" fontId="33" fillId="4" borderId="21" xfId="3" applyNumberFormat="1" applyFont="1" applyFill="1" applyBorder="1"/>
    <xf numFmtId="167" fontId="37" fillId="13" borderId="22" xfId="3" applyFont="1" applyFill="1" applyBorder="1"/>
    <xf numFmtId="167" fontId="37" fillId="14" borderId="8" xfId="3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7" fillId="0" borderId="0" xfId="0" applyFont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2" fillId="8" borderId="15" xfId="0" applyFont="1" applyFill="1" applyBorder="1" applyAlignment="1">
      <alignment horizontal="center"/>
    </xf>
    <xf numFmtId="0" fontId="32" fillId="8" borderId="16" xfId="0" applyFont="1" applyFill="1" applyBorder="1" applyAlignment="1">
      <alignment horizontal="center"/>
    </xf>
    <xf numFmtId="0" fontId="2" fillId="15" borderId="0" xfId="0" applyFont="1" applyFill="1"/>
    <xf numFmtId="0" fontId="38" fillId="16" borderId="23" xfId="0" applyFont="1" applyFill="1" applyBorder="1" applyAlignment="1">
      <alignment horizontal="left"/>
    </xf>
    <xf numFmtId="0" fontId="39" fillId="16" borderId="23" xfId="0" applyFont="1" applyFill="1" applyBorder="1" applyAlignment="1">
      <alignment horizontal="right"/>
    </xf>
    <xf numFmtId="0" fontId="38" fillId="16" borderId="10" xfId="0" applyFont="1" applyFill="1" applyBorder="1" applyAlignment="1">
      <alignment horizontal="left"/>
    </xf>
    <xf numFmtId="0" fontId="39" fillId="16" borderId="10" xfId="0" applyFont="1" applyFill="1" applyBorder="1" applyAlignment="1">
      <alignment horizontal="right"/>
    </xf>
    <xf numFmtId="0" fontId="40" fillId="17" borderId="0" xfId="0" applyFont="1" applyFill="1" applyAlignment="1">
      <alignment horizontal="left"/>
    </xf>
    <xf numFmtId="0" fontId="41" fillId="0" borderId="0" xfId="0" applyFont="1" applyAlignment="1">
      <alignment vertical="top" wrapText="1"/>
    </xf>
    <xf numFmtId="0" fontId="42" fillId="17" borderId="7" xfId="0" applyFont="1" applyFill="1" applyBorder="1" applyAlignment="1">
      <alignment horizontal="left"/>
    </xf>
    <xf numFmtId="0" fontId="0" fillId="0" borderId="7" xfId="0" applyBorder="1"/>
    <xf numFmtId="0" fontId="0" fillId="18" borderId="0" xfId="0" applyFill="1"/>
    <xf numFmtId="0" fontId="40" fillId="17" borderId="24" xfId="0" applyFont="1" applyFill="1" applyBorder="1" applyAlignment="1">
      <alignment horizontal="left"/>
    </xf>
    <xf numFmtId="0" fontId="0" fillId="0" borderId="24" xfId="0" applyBorder="1"/>
    <xf numFmtId="10" fontId="0" fillId="0" borderId="0" xfId="0" applyNumberFormat="1"/>
    <xf numFmtId="10" fontId="0" fillId="18" borderId="0" xfId="0" applyNumberFormat="1" applyFill="1"/>
  </cellXfs>
  <cellStyles count="4">
    <cellStyle name="Comma 2" xfId="3" xr:uid="{429CA137-1CD7-46FF-9542-D6A9E668E76E}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Interconnection!$A$3</c:f>
              <c:strCache>
                <c:ptCount val="1"/>
                <c:pt idx="0">
                  <c:v>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Interconnection!$B$2:$F$2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Interconnection!$B$3:$F$3</c:f>
              <c:numCache>
                <c:formatCode>#,##0.00</c:formatCode>
                <c:ptCount val="5"/>
                <c:pt idx="0">
                  <c:v>64262</c:v>
                </c:pt>
                <c:pt idx="1">
                  <c:v>70727</c:v>
                </c:pt>
                <c:pt idx="2">
                  <c:v>118820</c:v>
                </c:pt>
                <c:pt idx="3">
                  <c:v>131687</c:v>
                </c:pt>
                <c:pt idx="4">
                  <c:v>135180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D-4C7B-BE53-DB40E46AD4A1}"/>
            </c:ext>
          </c:extLst>
        </c:ser>
        <c:ser>
          <c:idx val="1"/>
          <c:order val="1"/>
          <c:tx>
            <c:strRef>
              <c:f>Interconnection!$A$4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Interconnection!$B$2:$F$2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Interconnection!$B$4:$F$4</c:f>
              <c:numCache>
                <c:formatCode>#,##0.00</c:formatCode>
                <c:ptCount val="5"/>
                <c:pt idx="0">
                  <c:v>64917</c:v>
                </c:pt>
                <c:pt idx="1">
                  <c:v>72268</c:v>
                </c:pt>
                <c:pt idx="2">
                  <c:v>123861</c:v>
                </c:pt>
                <c:pt idx="3">
                  <c:v>133849</c:v>
                </c:pt>
                <c:pt idx="4">
                  <c:v>140249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D-4C7B-BE53-DB40E46AD4A1}"/>
            </c:ext>
          </c:extLst>
        </c:ser>
        <c:ser>
          <c:idx val="2"/>
          <c:order val="2"/>
          <c:tx>
            <c:strRef>
              <c:f>Interconnection!$A$5</c:f>
              <c:strCache>
                <c:ptCount val="1"/>
                <c:pt idx="0">
                  <c:v>operating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Interconnection!$B$2:$F$2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Interconnection!$B$5:$F$5</c:f>
              <c:numCache>
                <c:formatCode>#,##0.00</c:formatCode>
                <c:ptCount val="5"/>
                <c:pt idx="0">
                  <c:v>14110</c:v>
                </c:pt>
                <c:pt idx="1">
                  <c:v>17557</c:v>
                </c:pt>
                <c:pt idx="2">
                  <c:v>23335</c:v>
                </c:pt>
                <c:pt idx="3">
                  <c:v>20444</c:v>
                </c:pt>
                <c:pt idx="4">
                  <c:v>5449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D-4C7B-BE53-DB40E46AD4A1}"/>
            </c:ext>
          </c:extLst>
        </c:ser>
        <c:ser>
          <c:idx val="3"/>
          <c:order val="3"/>
          <c:tx>
            <c:strRef>
              <c:f>Interconnection!$A$6</c:f>
              <c:strCache>
                <c:ptCount val="1"/>
                <c:pt idx="0">
                  <c:v>Total assets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Interconnection!$B$2:$F$2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Interconnection!$B$6:$F$6</c:f>
              <c:numCache>
                <c:formatCode>#,##0.00</c:formatCode>
                <c:ptCount val="5"/>
                <c:pt idx="0">
                  <c:v>97880</c:v>
                </c:pt>
                <c:pt idx="1">
                  <c:v>106095</c:v>
                </c:pt>
                <c:pt idx="2">
                  <c:v>120044</c:v>
                </c:pt>
                <c:pt idx="3">
                  <c:v>123320</c:v>
                </c:pt>
                <c:pt idx="4">
                  <c:v>138629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DD-4C7B-BE53-DB40E46AD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6035568"/>
        <c:axId val="366034000"/>
      </c:barChart>
      <c:catAx>
        <c:axId val="3660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34000"/>
        <c:crosses val="autoZero"/>
        <c:auto val="1"/>
        <c:lblAlgn val="ctr"/>
        <c:lblOffset val="100"/>
        <c:noMultiLvlLbl val="0"/>
      </c:catAx>
      <c:valAx>
        <c:axId val="3660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3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Interconnection!$H$3</c:f>
              <c:strCache>
                <c:ptCount val="1"/>
                <c:pt idx="0">
                  <c:v>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Interconnection!$I$2:$M$2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Interconnection!$I$3:$M$3</c:f>
              <c:numCache>
                <c:formatCode>#,##0.00</c:formatCode>
                <c:ptCount val="5"/>
                <c:pt idx="0">
                  <c:v>64262</c:v>
                </c:pt>
                <c:pt idx="1">
                  <c:v>70727</c:v>
                </c:pt>
                <c:pt idx="2">
                  <c:v>118820</c:v>
                </c:pt>
                <c:pt idx="3">
                  <c:v>131687</c:v>
                </c:pt>
                <c:pt idx="4">
                  <c:v>135180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7-4484-BB61-DF7ED83D0444}"/>
            </c:ext>
          </c:extLst>
        </c:ser>
        <c:ser>
          <c:idx val="1"/>
          <c:order val="1"/>
          <c:tx>
            <c:strRef>
              <c:f>Interconnection!$H$4</c:f>
              <c:strCache>
                <c:ptCount val="1"/>
                <c:pt idx="0">
                  <c:v>Inventory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Interconnection!$I$2:$M$2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Interconnection!$I$4:$M$4</c:f>
              <c:numCache>
                <c:formatCode>#,##0.00</c:formatCode>
                <c:ptCount val="5"/>
                <c:pt idx="0">
                  <c:v>9623</c:v>
                </c:pt>
                <c:pt idx="1">
                  <c:v>10692</c:v>
                </c:pt>
                <c:pt idx="2">
                  <c:v>21028</c:v>
                </c:pt>
                <c:pt idx="3">
                  <c:v>19517</c:v>
                </c:pt>
                <c:pt idx="4">
                  <c:v>23234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7-4484-BB61-DF7ED83D0444}"/>
            </c:ext>
          </c:extLst>
        </c:ser>
        <c:ser>
          <c:idx val="2"/>
          <c:order val="2"/>
          <c:tx>
            <c:strRef>
              <c:f>Interconnection!$H$5</c:f>
              <c:strCache>
                <c:ptCount val="1"/>
                <c:pt idx="0">
                  <c:v>Receivables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Interconnection!$I$2:$M$2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Interconnection!$I$5:$M$5</c:f>
              <c:numCache>
                <c:formatCode>#,##0.00</c:formatCode>
                <c:ptCount val="5"/>
                <c:pt idx="0">
                  <c:v>3166</c:v>
                </c:pt>
                <c:pt idx="1">
                  <c:v>3333</c:v>
                </c:pt>
                <c:pt idx="2">
                  <c:v>6146</c:v>
                </c:pt>
                <c:pt idx="3">
                  <c:v>6000</c:v>
                </c:pt>
                <c:pt idx="4">
                  <c:v>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77-4484-BB61-DF7ED83D0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19408"/>
        <c:axId val="429915488"/>
      </c:areaChart>
      <c:catAx>
        <c:axId val="42991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15488"/>
        <c:crosses val="autoZero"/>
        <c:auto val="1"/>
        <c:lblAlgn val="ctr"/>
        <c:lblOffset val="100"/>
        <c:noMultiLvlLbl val="0"/>
      </c:catAx>
      <c:valAx>
        <c:axId val="4299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1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Interconnection!$A$27</c:f>
              <c:strCache>
                <c:ptCount val="1"/>
                <c:pt idx="0">
                  <c:v>Inventory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Interconnection!$B$26:$F$26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Interconnection!$B$27:$F$27</c:f>
              <c:numCache>
                <c:formatCode>#,##0.00</c:formatCode>
                <c:ptCount val="5"/>
                <c:pt idx="0">
                  <c:v>9623</c:v>
                </c:pt>
                <c:pt idx="1">
                  <c:v>10692</c:v>
                </c:pt>
                <c:pt idx="2">
                  <c:v>21028</c:v>
                </c:pt>
                <c:pt idx="3">
                  <c:v>19517</c:v>
                </c:pt>
                <c:pt idx="4">
                  <c:v>23234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A-43C0-9F1B-CAC9BB9D31B7}"/>
            </c:ext>
          </c:extLst>
        </c:ser>
        <c:ser>
          <c:idx val="1"/>
          <c:order val="1"/>
          <c:tx>
            <c:strRef>
              <c:f>Interconnection!$A$28</c:f>
              <c:strCache>
                <c:ptCount val="1"/>
                <c:pt idx="0">
                  <c:v> Net Cash Used in Investing Activities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Interconnection!$B$26:$F$26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Interconnection!$B$28:$F$28</c:f>
              <c:numCache>
                <c:formatCode>#,##0.00</c:formatCode>
                <c:ptCount val="5"/>
                <c:pt idx="0">
                  <c:v>-19092</c:v>
                </c:pt>
                <c:pt idx="1">
                  <c:v>-3759</c:v>
                </c:pt>
                <c:pt idx="2">
                  <c:v>-17652</c:v>
                </c:pt>
                <c:pt idx="3">
                  <c:v>-7361</c:v>
                </c:pt>
                <c:pt idx="4">
                  <c:v>-8687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A-43C0-9F1B-CAC9BB9D31B7}"/>
            </c:ext>
          </c:extLst>
        </c:ser>
        <c:ser>
          <c:idx val="2"/>
          <c:order val="2"/>
          <c:tx>
            <c:strRef>
              <c:f>Interconnection!$A$29</c:f>
              <c:strCache>
                <c:ptCount val="1"/>
                <c:pt idx="0">
                  <c:v> Receviable / debtors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Interconnection!$B$26:$F$26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Interconnection!$B$29:$F$29</c:f>
              <c:numCache>
                <c:formatCode>#,##0.00</c:formatCode>
                <c:ptCount val="5"/>
                <c:pt idx="0">
                  <c:v>3166</c:v>
                </c:pt>
                <c:pt idx="1">
                  <c:v>3333</c:v>
                </c:pt>
                <c:pt idx="2">
                  <c:v>6146</c:v>
                </c:pt>
                <c:pt idx="3">
                  <c:v>6000</c:v>
                </c:pt>
                <c:pt idx="4">
                  <c:v>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A-43C0-9F1B-CAC9BB9D31B7}"/>
            </c:ext>
          </c:extLst>
        </c:ser>
        <c:ser>
          <c:idx val="3"/>
          <c:order val="3"/>
          <c:tx>
            <c:strRef>
              <c:f>Interconnection!$A$30</c:f>
              <c:strCache>
                <c:ptCount val="1"/>
                <c:pt idx="0">
                  <c:v>Cash and Cash Equivalents at End of the year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Interconnection!$B$26:$F$26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Interconnection!$B$30:$F$30</c:f>
              <c:numCache>
                <c:formatCode>#,##0.00</c:formatCode>
                <c:ptCount val="5"/>
                <c:pt idx="0">
                  <c:v>3438</c:v>
                </c:pt>
                <c:pt idx="1">
                  <c:v>11121</c:v>
                </c:pt>
                <c:pt idx="2">
                  <c:v>7670</c:v>
                </c:pt>
                <c:pt idx="3">
                  <c:v>13668</c:v>
                </c:pt>
                <c:pt idx="4">
                  <c:v>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A-43C0-9F1B-CAC9BB9D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920584"/>
        <c:axId val="429916272"/>
      </c:lineChart>
      <c:catAx>
        <c:axId val="42992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16272"/>
        <c:crosses val="autoZero"/>
        <c:auto val="1"/>
        <c:lblAlgn val="ctr"/>
        <c:lblOffset val="100"/>
        <c:noMultiLvlLbl val="0"/>
      </c:catAx>
      <c:valAx>
        <c:axId val="4299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Altman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Z-Score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21747703412073491"/>
          <c:w val="0.93888888888888888"/>
          <c:h val="0.698271726450860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Altman!$B$14:$F$14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</c:numCache>
            </c:numRef>
          </c:cat>
          <c:val>
            <c:numRef>
              <c:f>Altman!$B$15:$F$15</c:f>
              <c:numCache>
                <c:formatCode>0.00</c:formatCode>
                <c:ptCount val="5"/>
                <c:pt idx="0">
                  <c:v>1.9151716387413158</c:v>
                </c:pt>
                <c:pt idx="1">
                  <c:v>2.2200857721853056</c:v>
                </c:pt>
                <c:pt idx="2">
                  <c:v>3.0693820599113657</c:v>
                </c:pt>
                <c:pt idx="3">
                  <c:v>2.6191623418747971</c:v>
                </c:pt>
                <c:pt idx="4">
                  <c:v>2.6695244140836332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9-4ED0-8084-040B67679F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9919016"/>
        <c:axId val="429914312"/>
      </c:barChart>
      <c:catAx>
        <c:axId val="42991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14312"/>
        <c:crosses val="autoZero"/>
        <c:auto val="1"/>
        <c:lblAlgn val="ctr"/>
        <c:lblOffset val="100"/>
        <c:noMultiLvlLbl val="0"/>
      </c:catAx>
      <c:valAx>
        <c:axId val="429914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2991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879509</xdr:colOff>
      <xdr:row>6</xdr:row>
      <xdr:rowOff>164231</xdr:rowOff>
    </xdr:from>
    <xdr:to>
      <xdr:col>5</xdr:col>
      <xdr:colOff>120316</xdr:colOff>
      <xdr:row>23</xdr:row>
      <xdr:rowOff>40106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5B1DD-4AEE-4B14-B7EC-D8CC758B2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30880</xdr:colOff>
      <xdr:row>6</xdr:row>
      <xdr:rowOff>35091</xdr:rowOff>
    </xdr:from>
    <xdr:to>
      <xdr:col>13</xdr:col>
      <xdr:colOff>120316</xdr:colOff>
      <xdr:row>21</xdr:row>
      <xdr:rowOff>104274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AFA8F-2137-42C2-926F-2C9EE059D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112296</xdr:colOff>
      <xdr:row>30</xdr:row>
      <xdr:rowOff>171048</xdr:rowOff>
    </xdr:from>
    <xdr:to>
      <xdr:col>4</xdr:col>
      <xdr:colOff>263091</xdr:colOff>
      <xdr:row>50</xdr:row>
      <xdr:rowOff>96251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CD83AC-D004-45D1-AD5B-218633857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0</xdr:colOff>
      <xdr:row>34</xdr:row>
      <xdr:rowOff>104273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946BBBC-AED5-4D87-892D-2EF899ECA1A1}"/>
            </a:ext>
          </a:extLst>
        </xdr:cNvPr>
        <xdr:cNvSpPr txBox="1"/>
      </xdr:nvSpPr>
      <xdr:spPr>
        <a:xfrm>
          <a:off x="8680784" y="722262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9645</xdr:colOff>
      <xdr:row>7</xdr:row>
      <xdr:rowOff>22183</xdr:rowOff>
    </xdr:from>
    <xdr:to>
      <xdr:col>12</xdr:col>
      <xdr:colOff>38583</xdr:colOff>
      <xdr:row>21</xdr:row>
      <xdr:rowOff>144683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A6FC5-3C54-4308-A803-F98DBF07B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462987</xdr:colOff>
      <xdr:row>16</xdr:row>
      <xdr:rowOff>9645</xdr:rowOff>
    </xdr:from>
    <xdr:ext cx="7803266" cy="208344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6819C7-5782-478E-A62D-5442E2CCFE2E}"/>
            </a:ext>
          </a:extLst>
        </xdr:cNvPr>
        <xdr:cNvSpPr txBox="1"/>
      </xdr:nvSpPr>
      <xdr:spPr>
        <a:xfrm>
          <a:off x="462987" y="3584695"/>
          <a:ext cx="7803266" cy="20834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endParaRPr lang="en-IN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1723/Downloads/Forecasting+model+of+Cement+Firm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ny Overview"/>
      <sheetName val="Industry Overview"/>
      <sheetName val="Balance sheet"/>
      <sheetName val="Profit and loss"/>
      <sheetName val="Sources"/>
      <sheetName val="Assumptions"/>
      <sheetName val="BS"/>
      <sheetName val="CF"/>
      <sheetName val="PL"/>
      <sheetName val="Financial Statements"/>
      <sheetName val="Supporting Schedule"/>
      <sheetName val="Beta"/>
      <sheetName val="WACC"/>
      <sheetName val="Sheet2"/>
      <sheetName val="DCF Valuation"/>
      <sheetName val="Ratio Analysis"/>
      <sheetName val="Relative Valuation"/>
      <sheetName val="Sheet1"/>
    </sheetNames>
    <sheetDataSet>
      <sheetData sheetId="0"/>
      <sheetData sheetId="1"/>
      <sheetData sheetId="2"/>
      <sheetData sheetId="3"/>
      <sheetData sheetId="4"/>
      <sheetData sheetId="5">
        <row r="15">
          <cell r="D15">
            <v>3492.01</v>
          </cell>
          <cell r="E15">
            <v>3711.9100000000003</v>
          </cell>
          <cell r="F15">
            <v>3438.18</v>
          </cell>
        </row>
        <row r="24">
          <cell r="D24">
            <v>548.09</v>
          </cell>
          <cell r="E24">
            <v>543.83000000000004</v>
          </cell>
          <cell r="F24">
            <v>521.16999999999996</v>
          </cell>
        </row>
        <row r="31">
          <cell r="G31">
            <v>0.25168000000000001</v>
          </cell>
          <cell r="H31">
            <v>0.25168000000000001</v>
          </cell>
          <cell r="I31">
            <v>0.25168000000000001</v>
          </cell>
          <cell r="J31">
            <v>0.25168000000000001</v>
          </cell>
          <cell r="K31">
            <v>0.25168000000000001</v>
          </cell>
        </row>
        <row r="34">
          <cell r="G34">
            <v>0.65173618329165084</v>
          </cell>
          <cell r="H34">
            <v>0.68886064469897257</v>
          </cell>
          <cell r="I34">
            <v>0.73764536196915276</v>
          </cell>
          <cell r="J34">
            <v>0.83176120916611163</v>
          </cell>
          <cell r="K34">
            <v>0.95914162167200201</v>
          </cell>
        </row>
      </sheetData>
      <sheetData sheetId="6"/>
      <sheetData sheetId="7"/>
      <sheetData sheetId="8"/>
      <sheetData sheetId="9">
        <row r="7">
          <cell r="D7">
            <v>11356.76</v>
          </cell>
        </row>
        <row r="25">
          <cell r="D25">
            <v>1506.0699999999997</v>
          </cell>
          <cell r="E25">
            <v>1948.0200000000009</v>
          </cell>
          <cell r="F25">
            <v>2414.3799999999983</v>
          </cell>
          <cell r="G25">
            <v>1986.5029151870581</v>
          </cell>
          <cell r="H25">
            <v>2186.903872620951</v>
          </cell>
          <cell r="I25">
            <v>2385.9034864490814</v>
          </cell>
          <cell r="J25">
            <v>2677.4970569075699</v>
          </cell>
          <cell r="K25">
            <v>2909.9068051271056</v>
          </cell>
        </row>
        <row r="30">
          <cell r="C30">
            <v>1249.5700000000011</v>
          </cell>
          <cell r="D30">
            <v>1487.0099999999998</v>
          </cell>
          <cell r="E30">
            <v>1528.5400000000009</v>
          </cell>
          <cell r="F30">
            <v>1790.0999999999983</v>
          </cell>
          <cell r="G30">
            <v>2486.4659688813367</v>
          </cell>
        </row>
        <row r="58">
          <cell r="D58">
            <v>5563.19</v>
          </cell>
          <cell r="E58">
            <v>5633.62</v>
          </cell>
          <cell r="F58">
            <v>5756.86</v>
          </cell>
          <cell r="G58">
            <v>6532.6951537424429</v>
          </cell>
          <cell r="H58">
            <v>6742.8080209009313</v>
          </cell>
          <cell r="I58">
            <v>7166.7106271753901</v>
          </cell>
          <cell r="J58">
            <v>7762.6771176812244</v>
          </cell>
          <cell r="K58">
            <v>8440.8580655046626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file:///D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E686-8681-4E43-AEA3-5EE4B39592F2}">
  <dimension ref="A1:AD43"/>
  <sheetViews>
    <sheetView zoomScale="46" workbookViewId="0">
      <selection activeCell="AA14" sqref="AA14"/>
    </sheetView>
  </sheetViews>
  <sheetFormatPr defaultRowHeight="14.5" x14ac:dyDescent="0.35"/>
  <cols>
    <col min="2" max="2" width="9" bestFit="1" customWidth="1"/>
    <col min="3" max="3" width="8.08984375" bestFit="1" customWidth="1"/>
    <col min="4" max="6" width="9" bestFit="1" customWidth="1"/>
    <col min="7" max="8" width="9.453125" bestFit="1" customWidth="1"/>
    <col min="9" max="10" width="8.81640625" bestFit="1" customWidth="1"/>
    <col min="11" max="11" width="8.81640625" customWidth="1"/>
    <col min="12" max="13" width="17.1796875" bestFit="1" customWidth="1"/>
    <col min="14" max="15" width="19.08984375" bestFit="1" customWidth="1"/>
    <col min="16" max="16" width="23.54296875" bestFit="1" customWidth="1"/>
    <col min="17" max="17" width="23.54296875" customWidth="1"/>
    <col min="18" max="18" width="13.54296875" bestFit="1" customWidth="1"/>
    <col min="19" max="19" width="21.90625" bestFit="1" customWidth="1"/>
    <col min="20" max="22" width="22" bestFit="1" customWidth="1"/>
    <col min="23" max="23" width="28" bestFit="1" customWidth="1"/>
    <col min="24" max="24" width="23.1796875" bestFit="1" customWidth="1"/>
    <col min="25" max="25" width="16.453125" bestFit="1" customWidth="1"/>
    <col min="26" max="28" width="15.453125" bestFit="1" customWidth="1"/>
    <col min="29" max="29" width="16.08984375" bestFit="1" customWidth="1"/>
    <col min="30" max="30" width="13.26953125" bestFit="1" customWidth="1"/>
  </cols>
  <sheetData>
    <row r="1" spans="1:30" ht="51" x14ac:dyDescent="0.6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4"/>
      <c r="K1" s="16"/>
      <c r="L1" s="6" t="s">
        <v>47</v>
      </c>
      <c r="M1" s="10"/>
      <c r="N1" s="10"/>
      <c r="O1" s="10"/>
      <c r="P1" s="10"/>
      <c r="Q1" s="10"/>
      <c r="R1" s="10"/>
      <c r="S1" s="11" t="s">
        <v>48</v>
      </c>
      <c r="T1" s="10"/>
      <c r="U1" s="10"/>
      <c r="V1" s="10"/>
      <c r="W1" s="10"/>
    </row>
    <row r="2" spans="1:30" ht="52" x14ac:dyDescent="0.6">
      <c r="A2" s="1" t="s">
        <v>1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t="s">
        <v>43</v>
      </c>
      <c r="H2" t="s">
        <v>44</v>
      </c>
      <c r="I2" t="s">
        <v>45</v>
      </c>
      <c r="J2" t="s">
        <v>46</v>
      </c>
      <c r="L2" s="8" t="str">
        <f>B2</f>
        <v>2020/03</v>
      </c>
      <c r="M2" s="8" t="str">
        <f t="shared" ref="M2:P2" si="0">C2</f>
        <v>2021/03</v>
      </c>
      <c r="N2" s="8" t="str">
        <f t="shared" si="0"/>
        <v>2022/03</v>
      </c>
      <c r="O2" s="8" t="str">
        <f t="shared" si="0"/>
        <v>2023/03</v>
      </c>
      <c r="P2" s="8" t="str">
        <f t="shared" si="0"/>
        <v>2024/03</v>
      </c>
      <c r="Q2" s="8"/>
      <c r="R2" s="19" t="str">
        <f>L2</f>
        <v>2020/03</v>
      </c>
      <c r="S2" s="8" t="str">
        <f t="shared" ref="S2:V2" si="1">M2</f>
        <v>2021/03</v>
      </c>
      <c r="T2" s="8" t="str">
        <f t="shared" si="1"/>
        <v>2022/03</v>
      </c>
      <c r="U2" s="8" t="str">
        <f t="shared" si="1"/>
        <v>2023/03</v>
      </c>
      <c r="V2" s="8" t="str">
        <f t="shared" si="1"/>
        <v>2024/03</v>
      </c>
      <c r="X2" s="135" t="s">
        <v>54</v>
      </c>
      <c r="Y2" s="136"/>
      <c r="Z2" s="136"/>
      <c r="AA2" s="136"/>
      <c r="AB2" s="136"/>
      <c r="AC2" s="137"/>
      <c r="AD2" s="20"/>
    </row>
    <row r="3" spans="1:30" ht="26" x14ac:dyDescent="0.6">
      <c r="A3" s="2" t="s">
        <v>2</v>
      </c>
      <c r="B3" s="3"/>
      <c r="C3" s="3"/>
      <c r="D3" s="3"/>
      <c r="E3" s="3"/>
      <c r="F3" s="3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X3" s="21"/>
      <c r="Y3" s="22">
        <v>2020</v>
      </c>
      <c r="Z3" s="22">
        <v>2021</v>
      </c>
      <c r="AA3" s="22">
        <v>2022</v>
      </c>
      <c r="AB3" s="22">
        <v>2023</v>
      </c>
      <c r="AC3" s="22">
        <v>2024</v>
      </c>
      <c r="AD3" s="7" t="s">
        <v>55</v>
      </c>
    </row>
    <row r="4" spans="1:30" ht="29" x14ac:dyDescent="0.6">
      <c r="A4" s="2" t="s">
        <v>3</v>
      </c>
      <c r="B4" s="4">
        <v>64262</v>
      </c>
      <c r="C4" s="4">
        <v>70727</v>
      </c>
      <c r="D4" s="4">
        <v>118820</v>
      </c>
      <c r="E4" s="4">
        <v>131687</v>
      </c>
      <c r="F4" s="4">
        <v>135180</v>
      </c>
      <c r="G4" s="5">
        <f>(C4/B4)-1</f>
        <v>0.10060377828265543</v>
      </c>
      <c r="H4" s="5">
        <f t="shared" ref="H4:J19" si="2">(D4/C4)-1</f>
        <v>0.67998077113407884</v>
      </c>
      <c r="I4" s="5">
        <f t="shared" si="2"/>
        <v>0.10828985019357007</v>
      </c>
      <c r="J4" s="5">
        <f t="shared" si="2"/>
        <v>2.6525017655501193E-2</v>
      </c>
      <c r="K4" s="5"/>
      <c r="L4" s="15">
        <f>B4/B4</f>
        <v>1</v>
      </c>
      <c r="M4" s="15">
        <f>C4/C4</f>
        <v>1</v>
      </c>
      <c r="N4" s="15">
        <f>D4/D4</f>
        <v>1</v>
      </c>
      <c r="O4" s="15">
        <f>E4/E4</f>
        <v>1</v>
      </c>
      <c r="P4" s="15">
        <f>F4/F4</f>
        <v>1</v>
      </c>
      <c r="Q4" s="15"/>
      <c r="R4" s="12"/>
      <c r="S4" s="17">
        <f>(C4/B4-1)</f>
        <v>0.10060377828265543</v>
      </c>
      <c r="T4" s="17">
        <f t="shared" ref="T4:V4" si="3">(D4/C4-1)</f>
        <v>0.67998077113407884</v>
      </c>
      <c r="U4" s="17">
        <f t="shared" si="3"/>
        <v>0.10828985019357007</v>
      </c>
      <c r="V4" s="17">
        <f t="shared" si="3"/>
        <v>2.6525017655501193E-2</v>
      </c>
      <c r="X4" s="23" t="s">
        <v>56</v>
      </c>
      <c r="Y4" s="27">
        <f>S4</f>
        <v>0.10060377828265543</v>
      </c>
      <c r="Z4" s="27">
        <f t="shared" ref="Z4:AB4" si="4">T4</f>
        <v>0.67998077113407884</v>
      </c>
      <c r="AA4" s="27">
        <f t="shared" si="4"/>
        <v>0.10828985019357007</v>
      </c>
      <c r="AB4" s="27">
        <f t="shared" si="4"/>
        <v>2.6525017655501193E-2</v>
      </c>
      <c r="AC4" s="24" t="s">
        <v>57</v>
      </c>
      <c r="AD4" s="20"/>
    </row>
    <row r="5" spans="1:30" ht="51" x14ac:dyDescent="0.6">
      <c r="A5" s="2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5" t="e">
        <f t="shared" ref="G5:G43" si="5">(C5/B5)-1</f>
        <v>#DIV/0!</v>
      </c>
      <c r="H5" s="5" t="e">
        <f t="shared" si="2"/>
        <v>#DIV/0!</v>
      </c>
      <c r="I5" s="5" t="e">
        <f t="shared" si="2"/>
        <v>#DIV/0!</v>
      </c>
      <c r="J5" s="5" t="e">
        <f t="shared" si="2"/>
        <v>#DIV/0!</v>
      </c>
      <c r="K5" s="5"/>
      <c r="L5" s="15">
        <f>B5/L$4</f>
        <v>0</v>
      </c>
      <c r="M5" s="15">
        <f>C5/M$4</f>
        <v>0</v>
      </c>
      <c r="N5" s="15">
        <f>D5/N$4</f>
        <v>0</v>
      </c>
      <c r="O5" s="15">
        <f>E5/O$4</f>
        <v>0</v>
      </c>
      <c r="P5" s="15">
        <f>F5/P$4</f>
        <v>0</v>
      </c>
      <c r="Q5" s="15"/>
      <c r="R5" s="12"/>
      <c r="S5" s="17" t="e">
        <f t="shared" ref="S5:S43" si="6">(C5/B5-1)</f>
        <v>#DIV/0!</v>
      </c>
      <c r="T5" s="17" t="e">
        <f t="shared" ref="T5:T43" si="7">(D5/C5-1)</f>
        <v>#DIV/0!</v>
      </c>
      <c r="U5" s="17" t="e">
        <f t="shared" ref="U5:U43" si="8">(E5/D5-1)</f>
        <v>#DIV/0!</v>
      </c>
      <c r="V5" s="17" t="e">
        <f t="shared" ref="V5:V43" si="9">(F5/E5-1)</f>
        <v>#DIV/0!</v>
      </c>
      <c r="X5" s="23" t="s">
        <v>58</v>
      </c>
      <c r="Y5" s="24">
        <f>B21/B6</f>
        <v>0.12159596651209113</v>
      </c>
      <c r="Z5" s="24">
        <f t="shared" ref="Z5:AC5" si="10">C21/C6</f>
        <v>0.22589675795665021</v>
      </c>
      <c r="AA5" s="24">
        <f t="shared" si="10"/>
        <v>0.24596869213937048</v>
      </c>
      <c r="AB5" s="24">
        <f t="shared" si="10"/>
        <v>9.0517666891948331E-2</v>
      </c>
      <c r="AC5" s="24">
        <f t="shared" si="10"/>
        <v>0.12973072939783992</v>
      </c>
      <c r="AD5" s="9"/>
    </row>
    <row r="6" spans="1:30" ht="51" x14ac:dyDescent="0.6">
      <c r="A6" s="14" t="s">
        <v>5</v>
      </c>
      <c r="B6" s="4">
        <v>64262</v>
      </c>
      <c r="C6" s="4">
        <v>70727</v>
      </c>
      <c r="D6" s="4">
        <v>118820</v>
      </c>
      <c r="E6" s="4">
        <v>131687</v>
      </c>
      <c r="F6" s="4">
        <v>135180</v>
      </c>
      <c r="G6" s="5">
        <f t="shared" si="5"/>
        <v>0.10060377828265543</v>
      </c>
      <c r="H6" s="5">
        <f t="shared" si="2"/>
        <v>0.67998077113407884</v>
      </c>
      <c r="I6" s="5">
        <f t="shared" si="2"/>
        <v>0.10828985019357007</v>
      </c>
      <c r="J6" s="5">
        <f t="shared" si="2"/>
        <v>2.6525017655501193E-2</v>
      </c>
      <c r="K6" s="5"/>
      <c r="L6" s="15">
        <f>B6/B$4</f>
        <v>1</v>
      </c>
      <c r="M6" s="15">
        <f t="shared" ref="M6:P6" si="11">C6/C$4</f>
        <v>1</v>
      </c>
      <c r="N6" s="15">
        <f t="shared" si="11"/>
        <v>1</v>
      </c>
      <c r="O6" s="15">
        <f t="shared" si="11"/>
        <v>1</v>
      </c>
      <c r="P6" s="15">
        <f t="shared" si="11"/>
        <v>1</v>
      </c>
      <c r="Q6" s="15"/>
      <c r="R6" s="12"/>
      <c r="S6" s="17">
        <f t="shared" si="6"/>
        <v>0.10060377828265543</v>
      </c>
      <c r="T6" s="17">
        <f t="shared" si="7"/>
        <v>0.67998077113407884</v>
      </c>
      <c r="U6" s="17">
        <f t="shared" si="8"/>
        <v>0.10828985019357007</v>
      </c>
      <c r="V6" s="17">
        <f t="shared" si="9"/>
        <v>2.6525017655501193E-2</v>
      </c>
      <c r="X6" s="23" t="s">
        <v>59</v>
      </c>
      <c r="Y6" s="24">
        <f>B19/B6</f>
        <v>0.1841834988017802</v>
      </c>
      <c r="Z6" s="24">
        <f t="shared" ref="Z6:AC6" si="12">C19/C6</f>
        <v>0.27630183663947289</v>
      </c>
      <c r="AA6" s="24">
        <f t="shared" si="12"/>
        <v>0.27836222858104698</v>
      </c>
      <c r="AB6" s="24">
        <f t="shared" si="12"/>
        <v>0.12866114346898327</v>
      </c>
      <c r="AC6" s="24">
        <f t="shared" si="12"/>
        <v>0.17491492824382304</v>
      </c>
      <c r="AD6" s="9"/>
    </row>
    <row r="7" spans="1:30" ht="51" x14ac:dyDescent="0.6">
      <c r="A7" s="2" t="s">
        <v>6</v>
      </c>
      <c r="B7" s="2">
        <v>628</v>
      </c>
      <c r="C7" s="2">
        <v>669</v>
      </c>
      <c r="D7" s="4">
        <v>1929</v>
      </c>
      <c r="E7" s="4">
        <v>1572</v>
      </c>
      <c r="F7" s="4">
        <v>3333</v>
      </c>
      <c r="G7" s="5">
        <f t="shared" si="5"/>
        <v>6.5286624203821697E-2</v>
      </c>
      <c r="H7" s="5">
        <f t="shared" si="2"/>
        <v>1.883408071748879</v>
      </c>
      <c r="I7" s="5">
        <f t="shared" si="2"/>
        <v>-0.18506998444790046</v>
      </c>
      <c r="J7" s="5">
        <f t="shared" si="2"/>
        <v>1.1202290076335877</v>
      </c>
      <c r="K7" s="5"/>
      <c r="L7" s="15">
        <f t="shared" ref="L7:L43" si="13">B7/B$4</f>
        <v>9.7724938532881018E-3</v>
      </c>
      <c r="M7" s="15">
        <f t="shared" ref="M7:M43" si="14">C7/C$4</f>
        <v>9.4589053685296982E-3</v>
      </c>
      <c r="N7" s="15">
        <f t="shared" ref="N7:N43" si="15">D7/D$4</f>
        <v>1.6234640632890086E-2</v>
      </c>
      <c r="O7" s="15">
        <f t="shared" ref="O7:O43" si="16">E7/E$4</f>
        <v>1.1937397009575737E-2</v>
      </c>
      <c r="P7" s="15">
        <f t="shared" ref="P7:P43" si="17">F7/F$4</f>
        <v>2.4656014203284511E-2</v>
      </c>
      <c r="Q7" s="15"/>
      <c r="R7" s="12"/>
      <c r="S7" s="17">
        <f t="shared" si="6"/>
        <v>6.5286624203821697E-2</v>
      </c>
      <c r="T7" s="17">
        <f t="shared" si="7"/>
        <v>1.883408071748879</v>
      </c>
      <c r="U7" s="17">
        <f t="shared" si="8"/>
        <v>-0.18506998444790046</v>
      </c>
      <c r="V7" s="17">
        <f t="shared" si="9"/>
        <v>1.1202290076335877</v>
      </c>
      <c r="X7" s="23" t="s">
        <v>60</v>
      </c>
      <c r="Y7" s="24">
        <f>B27/B6</f>
        <v>8.2334816843546724E-2</v>
      </c>
      <c r="Z7" s="24">
        <f t="shared" ref="Z7:AC7" si="18">C27/C6</f>
        <v>0.11866755270264538</v>
      </c>
      <c r="AA7" s="24">
        <f t="shared" si="18"/>
        <v>0.14056556135330753</v>
      </c>
      <c r="AB7" s="24">
        <f t="shared" si="18"/>
        <v>3.7490412872948735E-2</v>
      </c>
      <c r="AC7" s="24">
        <f t="shared" si="18"/>
        <v>5.9483651427725992E-2</v>
      </c>
      <c r="AD7" s="9"/>
    </row>
    <row r="8" spans="1:30" ht="51" x14ac:dyDescent="0.6">
      <c r="A8" s="2" t="s">
        <v>7</v>
      </c>
      <c r="B8" s="2">
        <v>27</v>
      </c>
      <c r="C8" s="2">
        <v>872</v>
      </c>
      <c r="D8" s="4">
        <v>3112</v>
      </c>
      <c r="E8" s="2">
        <v>590</v>
      </c>
      <c r="F8" s="4">
        <v>1736</v>
      </c>
      <c r="G8" s="5">
        <f t="shared" si="5"/>
        <v>31.296296296296298</v>
      </c>
      <c r="H8" s="5">
        <f t="shared" si="2"/>
        <v>2.5688073394495414</v>
      </c>
      <c r="I8" s="5">
        <f t="shared" si="2"/>
        <v>-0.81041131105398456</v>
      </c>
      <c r="J8" s="5">
        <f t="shared" si="2"/>
        <v>1.942372881355932</v>
      </c>
      <c r="K8" s="5"/>
      <c r="L8" s="15">
        <f t="shared" si="13"/>
        <v>4.2015499050760948E-4</v>
      </c>
      <c r="M8" s="15">
        <f t="shared" si="14"/>
        <v>1.232909638469043E-2</v>
      </c>
      <c r="N8" s="15">
        <f t="shared" si="15"/>
        <v>2.6190876956741289E-2</v>
      </c>
      <c r="O8" s="15">
        <f t="shared" si="16"/>
        <v>4.4803207605914027E-3</v>
      </c>
      <c r="P8" s="15">
        <f t="shared" si="17"/>
        <v>1.2842136410711644E-2</v>
      </c>
      <c r="Q8" s="15"/>
      <c r="R8" s="12"/>
      <c r="S8" s="17">
        <f t="shared" si="6"/>
        <v>31.296296296296298</v>
      </c>
      <c r="T8" s="17">
        <f t="shared" si="7"/>
        <v>2.5688073394495414</v>
      </c>
      <c r="U8" s="17">
        <f t="shared" si="8"/>
        <v>-0.81041131105398456</v>
      </c>
      <c r="V8" s="17">
        <f t="shared" si="9"/>
        <v>1.942372881355932</v>
      </c>
      <c r="X8" s="23" t="s">
        <v>61</v>
      </c>
      <c r="Y8" s="24">
        <f>B19/B6</f>
        <v>0.1841834988017802</v>
      </c>
      <c r="Z8" s="24">
        <f t="shared" ref="Z8:AC8" si="19">C19/C6</f>
        <v>0.27630183663947289</v>
      </c>
      <c r="AA8" s="24">
        <f t="shared" si="19"/>
        <v>0.27836222858104698</v>
      </c>
      <c r="AB8" s="24">
        <f t="shared" si="19"/>
        <v>0.12866114346898327</v>
      </c>
      <c r="AC8" s="24">
        <f t="shared" si="19"/>
        <v>0.17491492824382304</v>
      </c>
      <c r="AD8" s="9"/>
    </row>
    <row r="9" spans="1:30" ht="29" x14ac:dyDescent="0.6">
      <c r="A9" s="2" t="s">
        <v>8</v>
      </c>
      <c r="B9" s="4">
        <v>64917</v>
      </c>
      <c r="C9" s="4">
        <v>72268</v>
      </c>
      <c r="D9" s="4">
        <v>123861</v>
      </c>
      <c r="E9" s="4">
        <v>133849</v>
      </c>
      <c r="F9" s="4">
        <v>140249</v>
      </c>
      <c r="G9" s="5">
        <f t="shared" si="5"/>
        <v>0.11323690250627716</v>
      </c>
      <c r="H9" s="5">
        <f t="shared" si="2"/>
        <v>0.71391210494271329</v>
      </c>
      <c r="I9" s="5">
        <f t="shared" si="2"/>
        <v>8.0638780568540458E-2</v>
      </c>
      <c r="J9" s="5">
        <f t="shared" si="2"/>
        <v>4.7815075196676826E-2</v>
      </c>
      <c r="K9" s="5"/>
      <c r="L9" s="15">
        <f t="shared" si="13"/>
        <v>1.0101926488437958</v>
      </c>
      <c r="M9" s="15">
        <f t="shared" si="14"/>
        <v>1.0217880017532202</v>
      </c>
      <c r="N9" s="15">
        <f t="shared" si="15"/>
        <v>1.0424255175896313</v>
      </c>
      <c r="O9" s="15">
        <f t="shared" si="16"/>
        <v>1.0164177177701672</v>
      </c>
      <c r="P9" s="15">
        <f t="shared" si="17"/>
        <v>1.0374981506139962</v>
      </c>
      <c r="Q9" s="15"/>
      <c r="R9" s="12"/>
      <c r="S9" s="17">
        <f t="shared" si="6"/>
        <v>0.11323690250627716</v>
      </c>
      <c r="T9" s="17">
        <f t="shared" si="7"/>
        <v>0.71391210494271329</v>
      </c>
      <c r="U9" s="17">
        <f t="shared" si="8"/>
        <v>8.0638780568540458E-2</v>
      </c>
      <c r="V9" s="17">
        <f t="shared" si="9"/>
        <v>4.7815075196676826E-2</v>
      </c>
      <c r="X9" s="23" t="s">
        <v>62</v>
      </c>
      <c r="Y9" s="25">
        <f>B39</f>
        <v>17.579999999999998</v>
      </c>
      <c r="Z9" s="25">
        <f t="shared" ref="Z9:AC9" si="20">C39</f>
        <v>27.79</v>
      </c>
      <c r="AA9" s="25">
        <f t="shared" si="20"/>
        <v>55.49</v>
      </c>
      <c r="AB9" s="25">
        <f t="shared" si="20"/>
        <v>16.399999999999999</v>
      </c>
      <c r="AC9" s="25">
        <f t="shared" si="20"/>
        <v>26.36</v>
      </c>
      <c r="AD9" s="9"/>
    </row>
    <row r="10" spans="1:30" ht="126" x14ac:dyDescent="0.6">
      <c r="A10" s="2" t="s">
        <v>9</v>
      </c>
      <c r="B10" s="3"/>
      <c r="C10" s="3"/>
      <c r="D10" s="3"/>
      <c r="E10" s="3"/>
      <c r="F10" s="3"/>
      <c r="G10" s="5" t="e">
        <f t="shared" si="5"/>
        <v>#DIV/0!</v>
      </c>
      <c r="H10" s="5" t="e">
        <f t="shared" si="2"/>
        <v>#DIV/0!</v>
      </c>
      <c r="I10" s="5" t="e">
        <f t="shared" si="2"/>
        <v>#DIV/0!</v>
      </c>
      <c r="J10" s="5" t="e">
        <f t="shared" si="2"/>
        <v>#DIV/0!</v>
      </c>
      <c r="K10" s="5"/>
      <c r="L10" s="15">
        <f t="shared" si="13"/>
        <v>0</v>
      </c>
      <c r="M10" s="15">
        <f t="shared" si="14"/>
        <v>0</v>
      </c>
      <c r="N10" s="15">
        <f t="shared" si="15"/>
        <v>0</v>
      </c>
      <c r="O10" s="15">
        <f t="shared" si="16"/>
        <v>0</v>
      </c>
      <c r="P10" s="15">
        <f t="shared" si="17"/>
        <v>0</v>
      </c>
      <c r="Q10" s="15"/>
      <c r="R10" s="12"/>
      <c r="S10" s="17" t="e">
        <f t="shared" si="6"/>
        <v>#DIV/0!</v>
      </c>
      <c r="T10" s="17" t="e">
        <f t="shared" si="7"/>
        <v>#DIV/0!</v>
      </c>
      <c r="U10" s="17" t="e">
        <f t="shared" si="8"/>
        <v>#DIV/0!</v>
      </c>
      <c r="V10" s="17" t="e">
        <f t="shared" si="9"/>
        <v>#DIV/0!</v>
      </c>
      <c r="X10" s="23" t="s">
        <v>63</v>
      </c>
      <c r="Y10" s="24">
        <f>B18/B4</f>
        <v>0.82600915004201547</v>
      </c>
      <c r="Z10" s="24">
        <f t="shared" ref="Z10:AC10" si="21">C18/C4</f>
        <v>0.74548616511374721</v>
      </c>
      <c r="AA10" s="24">
        <f t="shared" si="21"/>
        <v>0.76406328900858445</v>
      </c>
      <c r="AB10" s="24">
        <f t="shared" si="21"/>
        <v>0.88775657430118382</v>
      </c>
      <c r="AC10" s="24">
        <f t="shared" si="21"/>
        <v>0.86258322237017315</v>
      </c>
      <c r="AD10" s="9"/>
    </row>
    <row r="11" spans="1:30" ht="101" x14ac:dyDescent="0.6">
      <c r="A11" s="2" t="s">
        <v>10</v>
      </c>
      <c r="B11" s="4">
        <v>33493</v>
      </c>
      <c r="C11" s="4">
        <v>28942</v>
      </c>
      <c r="D11" s="4">
        <v>51691</v>
      </c>
      <c r="E11" s="4">
        <v>76284</v>
      </c>
      <c r="F11" s="4">
        <v>72700</v>
      </c>
      <c r="G11" s="5">
        <f t="shared" si="5"/>
        <v>-0.13587913892455139</v>
      </c>
      <c r="H11" s="5">
        <f t="shared" si="2"/>
        <v>0.78602031649505899</v>
      </c>
      <c r="I11" s="5">
        <f t="shared" si="2"/>
        <v>0.47576947631115662</v>
      </c>
      <c r="J11" s="5">
        <f t="shared" si="2"/>
        <v>-4.698232919091816E-2</v>
      </c>
      <c r="K11" s="5"/>
      <c r="L11" s="15">
        <f t="shared" si="13"/>
        <v>0.52119448507671717</v>
      </c>
      <c r="M11" s="15">
        <f t="shared" si="14"/>
        <v>0.40920723344691562</v>
      </c>
      <c r="N11" s="15">
        <f t="shared" si="15"/>
        <v>0.43503618919373843</v>
      </c>
      <c r="O11" s="15">
        <f t="shared" si="16"/>
        <v>0.57928269305246527</v>
      </c>
      <c r="P11" s="15">
        <f t="shared" si="17"/>
        <v>0.53780144991862699</v>
      </c>
      <c r="Q11" s="15"/>
      <c r="R11" s="12"/>
      <c r="S11" s="17">
        <f t="shared" si="6"/>
        <v>-0.13587913892455139</v>
      </c>
      <c r="T11" s="17">
        <f t="shared" si="7"/>
        <v>0.78602031649505899</v>
      </c>
      <c r="U11" s="17">
        <f t="shared" si="8"/>
        <v>0.47576947631115662</v>
      </c>
      <c r="V11" s="17">
        <f t="shared" si="9"/>
        <v>-4.698232919091816E-2</v>
      </c>
      <c r="X11" s="23" t="s">
        <v>64</v>
      </c>
      <c r="Y11" s="28">
        <f>B20</f>
        <v>4022</v>
      </c>
      <c r="Z11" s="28">
        <f t="shared" ref="Z11:AC11" si="22">C20</f>
        <v>3565</v>
      </c>
      <c r="AA11" s="28">
        <f t="shared" si="22"/>
        <v>3849</v>
      </c>
      <c r="AB11" s="28">
        <f t="shared" si="22"/>
        <v>5023</v>
      </c>
      <c r="AC11" s="28">
        <f t="shared" si="22"/>
        <v>6108</v>
      </c>
      <c r="AD11" s="9"/>
    </row>
    <row r="12" spans="1:30" ht="51" x14ac:dyDescent="0.6">
      <c r="A12" s="2" t="s">
        <v>11</v>
      </c>
      <c r="B12" s="4">
        <v>5533</v>
      </c>
      <c r="C12" s="4">
        <v>5210</v>
      </c>
      <c r="D12" s="4">
        <v>8930</v>
      </c>
      <c r="E12" s="4">
        <v>13842</v>
      </c>
      <c r="F12" s="4">
        <v>11575</v>
      </c>
      <c r="G12" s="5">
        <f t="shared" si="5"/>
        <v>-5.8377010663292928E-2</v>
      </c>
      <c r="H12" s="5">
        <f t="shared" si="2"/>
        <v>0.71401151631477933</v>
      </c>
      <c r="I12" s="5">
        <f t="shared" si="2"/>
        <v>0.55005599104143332</v>
      </c>
      <c r="J12" s="5">
        <f t="shared" si="2"/>
        <v>-0.16377691085103308</v>
      </c>
      <c r="K12" s="5"/>
      <c r="L12" s="15">
        <f t="shared" si="13"/>
        <v>8.6100650462170483E-2</v>
      </c>
      <c r="M12" s="15">
        <f t="shared" si="14"/>
        <v>7.3663523124125163E-2</v>
      </c>
      <c r="N12" s="15">
        <f t="shared" si="15"/>
        <v>7.5155697693990914E-2</v>
      </c>
      <c r="O12" s="15">
        <f t="shared" si="16"/>
        <v>0.10511288130187491</v>
      </c>
      <c r="P12" s="15">
        <f t="shared" si="17"/>
        <v>8.5626571978103264E-2</v>
      </c>
      <c r="Q12" s="15"/>
      <c r="R12" s="12"/>
      <c r="S12" s="17">
        <f t="shared" si="6"/>
        <v>-5.8377010663292928E-2</v>
      </c>
      <c r="T12" s="17">
        <f t="shared" si="7"/>
        <v>0.71401151631477933</v>
      </c>
      <c r="U12" s="17">
        <f t="shared" si="8"/>
        <v>0.55005599104143332</v>
      </c>
      <c r="V12" s="17">
        <f t="shared" si="9"/>
        <v>-0.16377691085103308</v>
      </c>
      <c r="X12" s="23" t="s">
        <v>65</v>
      </c>
      <c r="Y12" s="26">
        <f>B19/B20</f>
        <v>2.9428145201392342</v>
      </c>
      <c r="Z12" s="26">
        <f t="shared" ref="Z12:AC12" si="23">C19/C20</f>
        <v>5.4816269284712487</v>
      </c>
      <c r="AA12" s="26">
        <f t="shared" si="23"/>
        <v>8.5931410756040538</v>
      </c>
      <c r="AB12" s="26">
        <f t="shared" si="23"/>
        <v>3.3730838144535138</v>
      </c>
      <c r="AC12" s="26">
        <f t="shared" si="23"/>
        <v>3.8711525867714474</v>
      </c>
      <c r="AD12" s="9"/>
    </row>
    <row r="13" spans="1:30" ht="29" x14ac:dyDescent="0.6">
      <c r="A13" s="2" t="s">
        <v>12</v>
      </c>
      <c r="B13" s="4">
        <v>1496</v>
      </c>
      <c r="C13" s="4">
        <v>1501</v>
      </c>
      <c r="D13" s="4">
        <v>1870</v>
      </c>
      <c r="E13" s="4">
        <v>1975</v>
      </c>
      <c r="F13" s="4">
        <v>2357</v>
      </c>
      <c r="G13" s="5">
        <f t="shared" si="5"/>
        <v>3.3422459893048817E-3</v>
      </c>
      <c r="H13" s="5">
        <f t="shared" si="2"/>
        <v>0.24583610926049304</v>
      </c>
      <c r="I13" s="5">
        <f t="shared" si="2"/>
        <v>5.6149732620320858E-2</v>
      </c>
      <c r="J13" s="5">
        <f t="shared" si="2"/>
        <v>0.1934177215189874</v>
      </c>
      <c r="K13" s="5"/>
      <c r="L13" s="15">
        <f t="shared" si="13"/>
        <v>2.3279698733310511E-2</v>
      </c>
      <c r="M13" s="15">
        <f t="shared" si="14"/>
        <v>2.1222446873188458E-2</v>
      </c>
      <c r="N13" s="15">
        <f t="shared" si="15"/>
        <v>1.5738091230432585E-2</v>
      </c>
      <c r="O13" s="15">
        <f t="shared" si="16"/>
        <v>1.4997683901979694E-2</v>
      </c>
      <c r="P13" s="15">
        <f t="shared" si="17"/>
        <v>1.7436011244266903E-2</v>
      </c>
      <c r="Q13" s="15"/>
      <c r="R13" s="12"/>
      <c r="S13" s="17">
        <f t="shared" si="6"/>
        <v>3.3422459893048817E-3</v>
      </c>
      <c r="T13" s="17">
        <f t="shared" si="7"/>
        <v>0.24583610926049304</v>
      </c>
      <c r="U13" s="17">
        <f t="shared" si="8"/>
        <v>5.6149732620320858E-2</v>
      </c>
      <c r="V13" s="17">
        <f t="shared" si="9"/>
        <v>0.1934177215189874</v>
      </c>
    </row>
    <row r="14" spans="1:30" ht="55" x14ac:dyDescent="0.6">
      <c r="A14" s="2" t="s">
        <v>13</v>
      </c>
      <c r="B14" s="4">
        <v>8770</v>
      </c>
      <c r="C14" s="4">
        <v>15038</v>
      </c>
      <c r="D14" s="4">
        <v>25187</v>
      </c>
      <c r="E14" s="4">
        <v>20723</v>
      </c>
      <c r="F14" s="4">
        <v>24744</v>
      </c>
      <c r="G14" s="5">
        <f t="shared" si="5"/>
        <v>0.71470923603192693</v>
      </c>
      <c r="H14" s="5">
        <f t="shared" si="2"/>
        <v>0.67489027796249501</v>
      </c>
      <c r="I14" s="5">
        <f t="shared" si="2"/>
        <v>-0.17723428752928094</v>
      </c>
      <c r="J14" s="5">
        <f t="shared" si="2"/>
        <v>0.19403561260435276</v>
      </c>
      <c r="K14" s="5"/>
      <c r="L14" s="15">
        <f t="shared" si="13"/>
        <v>0.13647256543524944</v>
      </c>
      <c r="M14" s="15">
        <f t="shared" si="14"/>
        <v>0.21262035714790675</v>
      </c>
      <c r="N14" s="15">
        <f t="shared" si="15"/>
        <v>0.21197609829994951</v>
      </c>
      <c r="O14" s="15">
        <f t="shared" si="16"/>
        <v>0.15736557139277227</v>
      </c>
      <c r="P14" s="15">
        <f t="shared" si="17"/>
        <v>0.18304482911673325</v>
      </c>
      <c r="Q14" s="15"/>
      <c r="R14" s="12"/>
      <c r="S14" s="17">
        <f t="shared" si="6"/>
        <v>0.71470923603192693</v>
      </c>
      <c r="T14" s="17">
        <f t="shared" si="7"/>
        <v>0.67489027796249501</v>
      </c>
      <c r="U14" s="17">
        <f t="shared" si="8"/>
        <v>-0.17723428752928094</v>
      </c>
      <c r="V14" s="17">
        <f t="shared" si="9"/>
        <v>0.19403561260435276</v>
      </c>
    </row>
    <row r="15" spans="1:30" ht="68" x14ac:dyDescent="0.6">
      <c r="A15" s="2" t="s">
        <v>14</v>
      </c>
      <c r="B15" s="2">
        <v>280</v>
      </c>
      <c r="C15" s="2">
        <v>247</v>
      </c>
      <c r="D15" s="2">
        <v>287</v>
      </c>
      <c r="E15" s="2">
        <v>484</v>
      </c>
      <c r="F15" s="2">
        <v>469</v>
      </c>
      <c r="G15" s="5">
        <f t="shared" si="5"/>
        <v>-0.11785714285714288</v>
      </c>
      <c r="H15" s="5">
        <f t="shared" si="2"/>
        <v>0.16194331983805665</v>
      </c>
      <c r="I15" s="5">
        <f t="shared" si="2"/>
        <v>0.68641114982578388</v>
      </c>
      <c r="J15" s="5">
        <f t="shared" si="2"/>
        <v>-3.0991735537190035E-2</v>
      </c>
      <c r="K15" s="5"/>
      <c r="L15" s="15">
        <f t="shared" si="13"/>
        <v>4.3571628645233578E-3</v>
      </c>
      <c r="M15" s="15">
        <f t="shared" si="14"/>
        <v>3.4923013841955688E-3</v>
      </c>
      <c r="N15" s="15">
        <f t="shared" si="15"/>
        <v>2.4154182797508838E-3</v>
      </c>
      <c r="O15" s="15">
        <f t="shared" si="16"/>
        <v>3.6753817764851502E-3</v>
      </c>
      <c r="P15" s="15">
        <f t="shared" si="17"/>
        <v>3.4694481432164521E-3</v>
      </c>
      <c r="Q15" s="15"/>
      <c r="R15" s="12"/>
      <c r="S15" s="17">
        <f t="shared" si="6"/>
        <v>-0.11785714285714288</v>
      </c>
      <c r="T15" s="17">
        <f t="shared" si="7"/>
        <v>0.16194331983805665</v>
      </c>
      <c r="U15" s="17">
        <f t="shared" si="8"/>
        <v>0.68641114982578388</v>
      </c>
      <c r="V15" s="17">
        <f t="shared" si="9"/>
        <v>-3.0991735537190035E-2</v>
      </c>
    </row>
    <row r="16" spans="1:30" ht="42" x14ac:dyDescent="0.6">
      <c r="A16" s="2" t="s">
        <v>15</v>
      </c>
      <c r="B16" s="4">
        <v>3509</v>
      </c>
      <c r="C16" s="4">
        <v>1788</v>
      </c>
      <c r="D16" s="4">
        <v>2821</v>
      </c>
      <c r="E16" s="4">
        <v>3598</v>
      </c>
      <c r="F16" s="4">
        <v>4759</v>
      </c>
      <c r="G16" s="5">
        <f t="shared" si="5"/>
        <v>-0.49045312054716439</v>
      </c>
      <c r="H16" s="5">
        <f t="shared" si="2"/>
        <v>0.57774049217002243</v>
      </c>
      <c r="I16" s="5">
        <f t="shared" si="2"/>
        <v>0.27543424317617871</v>
      </c>
      <c r="J16" s="5">
        <f t="shared" si="2"/>
        <v>0.32267926625903276</v>
      </c>
      <c r="K16" s="5"/>
      <c r="L16" s="15">
        <f t="shared" si="13"/>
        <v>5.4604587470044506E-2</v>
      </c>
      <c r="M16" s="15">
        <f t="shared" si="14"/>
        <v>2.5280303137415697E-2</v>
      </c>
      <c r="N16" s="15">
        <f t="shared" si="15"/>
        <v>2.3741794310722101E-2</v>
      </c>
      <c r="O16" s="15">
        <f t="shared" si="16"/>
        <v>2.7322362875606552E-2</v>
      </c>
      <c r="P16" s="15">
        <f t="shared" si="17"/>
        <v>3.5204911969226219E-2</v>
      </c>
      <c r="Q16" s="15"/>
      <c r="R16" s="12"/>
      <c r="S16" s="17">
        <f t="shared" si="6"/>
        <v>-0.49045312054716439</v>
      </c>
      <c r="T16" s="17">
        <f t="shared" si="7"/>
        <v>0.57774049217002243</v>
      </c>
      <c r="U16" s="17">
        <f t="shared" si="8"/>
        <v>0.27543424317617871</v>
      </c>
      <c r="V16" s="17">
        <f t="shared" si="9"/>
        <v>0.32267926625903276</v>
      </c>
    </row>
    <row r="17" spans="1:22" ht="68" x14ac:dyDescent="0.6">
      <c r="A17" s="2" t="s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5" t="e">
        <f t="shared" si="5"/>
        <v>#DIV/0!</v>
      </c>
      <c r="H17" s="5" t="e">
        <f t="shared" si="2"/>
        <v>#DIV/0!</v>
      </c>
      <c r="I17" s="5" t="e">
        <f t="shared" si="2"/>
        <v>#DIV/0!</v>
      </c>
      <c r="J17" s="5" t="e">
        <f t="shared" si="2"/>
        <v>#DIV/0!</v>
      </c>
      <c r="K17" s="5"/>
      <c r="L17" s="15">
        <f t="shared" si="13"/>
        <v>0</v>
      </c>
      <c r="M17" s="15">
        <f t="shared" si="14"/>
        <v>0</v>
      </c>
      <c r="N17" s="15">
        <f t="shared" si="15"/>
        <v>0</v>
      </c>
      <c r="O17" s="15">
        <f t="shared" si="16"/>
        <v>0</v>
      </c>
      <c r="P17" s="15">
        <f t="shared" si="17"/>
        <v>0</v>
      </c>
      <c r="Q17" s="15"/>
      <c r="R17" s="12"/>
      <c r="S17" s="17" t="e">
        <f t="shared" si="6"/>
        <v>#DIV/0!</v>
      </c>
      <c r="T17" s="17" t="e">
        <f t="shared" si="7"/>
        <v>#DIV/0!</v>
      </c>
      <c r="U17" s="17" t="e">
        <f t="shared" si="8"/>
        <v>#DIV/0!</v>
      </c>
      <c r="V17" s="17" t="e">
        <f t="shared" si="9"/>
        <v>#DIV/0!</v>
      </c>
    </row>
    <row r="18" spans="1:22" ht="42" x14ac:dyDescent="0.6">
      <c r="A18" s="2" t="s">
        <v>17</v>
      </c>
      <c r="B18" s="4">
        <v>53081</v>
      </c>
      <c r="C18" s="4">
        <v>52726</v>
      </c>
      <c r="D18" s="4">
        <v>90786</v>
      </c>
      <c r="E18" s="4">
        <v>116906</v>
      </c>
      <c r="F18" s="4">
        <v>116604</v>
      </c>
      <c r="G18" s="5">
        <f t="shared" si="5"/>
        <v>-6.6878920894481997E-3</v>
      </c>
      <c r="H18" s="5">
        <f t="shared" si="2"/>
        <v>0.72184501005196666</v>
      </c>
      <c r="I18" s="5">
        <f t="shared" si="2"/>
        <v>0.28770955874253734</v>
      </c>
      <c r="J18" s="5">
        <f t="shared" si="2"/>
        <v>-2.5832720305202228E-3</v>
      </c>
      <c r="K18" s="5"/>
      <c r="L18" s="15">
        <f t="shared" si="13"/>
        <v>0.82600915004201547</v>
      </c>
      <c r="M18" s="15">
        <f t="shared" si="14"/>
        <v>0.74548616511374721</v>
      </c>
      <c r="N18" s="15">
        <f t="shared" si="15"/>
        <v>0.76406328900858445</v>
      </c>
      <c r="O18" s="15">
        <f t="shared" si="16"/>
        <v>0.88775657430118382</v>
      </c>
      <c r="P18" s="15">
        <f t="shared" si="17"/>
        <v>0.86258322237017315</v>
      </c>
      <c r="Q18" s="15"/>
      <c r="R18" s="12"/>
      <c r="S18" s="17">
        <f t="shared" si="6"/>
        <v>-6.6878920894481997E-3</v>
      </c>
      <c r="T18" s="17">
        <f t="shared" si="7"/>
        <v>0.72184501005196666</v>
      </c>
      <c r="U18" s="17">
        <f t="shared" si="8"/>
        <v>0.28770955874253734</v>
      </c>
      <c r="V18" s="17">
        <f t="shared" si="9"/>
        <v>-2.5832720305202228E-3</v>
      </c>
    </row>
    <row r="19" spans="1:22" ht="29" x14ac:dyDescent="0.6">
      <c r="A19" s="2" t="s">
        <v>18</v>
      </c>
      <c r="B19" s="4">
        <v>11836</v>
      </c>
      <c r="C19" s="4">
        <v>19542</v>
      </c>
      <c r="D19" s="4">
        <v>33075</v>
      </c>
      <c r="E19" s="4">
        <v>16943</v>
      </c>
      <c r="F19" s="4">
        <v>23645</v>
      </c>
      <c r="G19" s="5">
        <f t="shared" si="5"/>
        <v>0.65106454883406562</v>
      </c>
      <c r="H19" s="5">
        <f t="shared" si="2"/>
        <v>0.69250844335277861</v>
      </c>
      <c r="I19" s="5">
        <f t="shared" si="2"/>
        <v>-0.48773998488284198</v>
      </c>
      <c r="J19" s="5">
        <f t="shared" si="2"/>
        <v>0.39556158885675496</v>
      </c>
      <c r="K19" s="5"/>
      <c r="L19" s="15">
        <f t="shared" si="13"/>
        <v>0.1841834988017802</v>
      </c>
      <c r="M19" s="15">
        <f t="shared" si="14"/>
        <v>0.27630183663947289</v>
      </c>
      <c r="N19" s="15">
        <f t="shared" si="15"/>
        <v>0.27836222858104698</v>
      </c>
      <c r="O19" s="15">
        <f t="shared" si="16"/>
        <v>0.12866114346898327</v>
      </c>
      <c r="P19" s="15">
        <f t="shared" si="17"/>
        <v>0.17491492824382304</v>
      </c>
      <c r="Q19" s="15"/>
      <c r="R19" s="12"/>
      <c r="S19" s="17">
        <f t="shared" si="6"/>
        <v>0.65106454883406562</v>
      </c>
      <c r="T19" s="17">
        <f t="shared" si="7"/>
        <v>0.69250844335277861</v>
      </c>
      <c r="U19" s="17">
        <f t="shared" si="8"/>
        <v>-0.48773998488284198</v>
      </c>
      <c r="V19" s="17">
        <f t="shared" si="9"/>
        <v>0.39556158885675496</v>
      </c>
    </row>
    <row r="20" spans="1:22" ht="26" x14ac:dyDescent="0.6">
      <c r="A20" s="2" t="s">
        <v>19</v>
      </c>
      <c r="B20" s="4">
        <v>4022</v>
      </c>
      <c r="C20" s="4">
        <v>3565</v>
      </c>
      <c r="D20" s="4">
        <v>3849</v>
      </c>
      <c r="E20" s="4">
        <v>5023</v>
      </c>
      <c r="F20" s="4">
        <v>6108</v>
      </c>
      <c r="G20" s="5">
        <f t="shared" si="5"/>
        <v>-0.11362506215813029</v>
      </c>
      <c r="H20" s="5">
        <f t="shared" ref="H20:H43" si="24">(D20/C20)-1</f>
        <v>7.9663394109396934E-2</v>
      </c>
      <c r="I20" s="5">
        <f t="shared" ref="I20:I43" si="25">(E20/D20)-1</f>
        <v>0.30501428942582498</v>
      </c>
      <c r="J20" s="5">
        <f t="shared" ref="J20:J43" si="26">(F20/E20)-1</f>
        <v>0.21600637069480388</v>
      </c>
      <c r="K20" s="5"/>
      <c r="L20" s="15">
        <f t="shared" si="13"/>
        <v>6.258753228968908E-2</v>
      </c>
      <c r="M20" s="15">
        <f t="shared" si="14"/>
        <v>5.0405078682822686E-2</v>
      </c>
      <c r="N20" s="15">
        <f t="shared" si="15"/>
        <v>3.2393536441676488E-2</v>
      </c>
      <c r="O20" s="15">
        <f t="shared" si="16"/>
        <v>3.8143476577034936E-2</v>
      </c>
      <c r="P20" s="15">
        <f t="shared" si="17"/>
        <v>4.5184198845983133E-2</v>
      </c>
      <c r="Q20" s="15"/>
      <c r="R20" s="12"/>
      <c r="S20" s="17">
        <f t="shared" si="6"/>
        <v>-0.11362506215813029</v>
      </c>
      <c r="T20" s="17">
        <f t="shared" si="7"/>
        <v>7.9663394109396934E-2</v>
      </c>
      <c r="U20" s="17">
        <f t="shared" si="8"/>
        <v>0.30501428942582498</v>
      </c>
      <c r="V20" s="17">
        <f t="shared" si="9"/>
        <v>0.21600637069480388</v>
      </c>
    </row>
    <row r="21" spans="1:22" ht="29" x14ac:dyDescent="0.6">
      <c r="A21" s="2" t="s">
        <v>20</v>
      </c>
      <c r="B21" s="4">
        <v>7814</v>
      </c>
      <c r="C21" s="4">
        <v>15977</v>
      </c>
      <c r="D21" s="4">
        <v>29226</v>
      </c>
      <c r="E21" s="4">
        <v>11920</v>
      </c>
      <c r="F21" s="4">
        <v>17537</v>
      </c>
      <c r="G21" s="5">
        <f t="shared" si="5"/>
        <v>1.0446634246224726</v>
      </c>
      <c r="H21" s="5">
        <f t="shared" si="24"/>
        <v>0.829254553420542</v>
      </c>
      <c r="I21" s="5">
        <f t="shared" si="25"/>
        <v>-0.59214398138643676</v>
      </c>
      <c r="J21" s="5">
        <f t="shared" si="26"/>
        <v>0.47122483221476519</v>
      </c>
      <c r="K21" s="5"/>
      <c r="L21" s="15">
        <f t="shared" si="13"/>
        <v>0.12159596651209113</v>
      </c>
      <c r="M21" s="15">
        <f t="shared" si="14"/>
        <v>0.22589675795665021</v>
      </c>
      <c r="N21" s="15">
        <f t="shared" si="15"/>
        <v>0.24596869213937048</v>
      </c>
      <c r="O21" s="15">
        <f t="shared" si="16"/>
        <v>9.0517666891948331E-2</v>
      </c>
      <c r="P21" s="15">
        <f t="shared" si="17"/>
        <v>0.12973072939783992</v>
      </c>
      <c r="Q21" s="15"/>
      <c r="R21" s="12"/>
      <c r="S21" s="17">
        <f t="shared" si="6"/>
        <v>1.0446634246224726</v>
      </c>
      <c r="T21" s="17">
        <f t="shared" si="7"/>
        <v>0.829254553420542</v>
      </c>
      <c r="U21" s="17">
        <f t="shared" si="8"/>
        <v>-0.59214398138643676</v>
      </c>
      <c r="V21" s="17">
        <f t="shared" si="9"/>
        <v>0.47122483221476519</v>
      </c>
    </row>
    <row r="22" spans="1:22" ht="29" x14ac:dyDescent="0.6">
      <c r="A22" s="2" t="s">
        <v>21</v>
      </c>
      <c r="B22" s="4">
        <v>3522</v>
      </c>
      <c r="C22" s="4">
        <v>3781</v>
      </c>
      <c r="D22" s="4">
        <v>4511</v>
      </c>
      <c r="E22" s="4">
        <v>4952</v>
      </c>
      <c r="F22" s="4">
        <v>5435</v>
      </c>
      <c r="G22" s="5">
        <f t="shared" si="5"/>
        <v>7.3537762634866555E-2</v>
      </c>
      <c r="H22" s="5">
        <f t="shared" si="24"/>
        <v>0.19307061623909028</v>
      </c>
      <c r="I22" s="5">
        <f t="shared" si="25"/>
        <v>9.7761028596763389E-2</v>
      </c>
      <c r="J22" s="5">
        <f t="shared" si="26"/>
        <v>9.7536348949919249E-2</v>
      </c>
      <c r="K22" s="5"/>
      <c r="L22" s="15">
        <f t="shared" si="13"/>
        <v>5.4806884317325943E-2</v>
      </c>
      <c r="M22" s="15">
        <f t="shared" si="14"/>
        <v>5.3459075034993711E-2</v>
      </c>
      <c r="N22" s="15">
        <f t="shared" si="15"/>
        <v>3.796498905908096E-2</v>
      </c>
      <c r="O22" s="15">
        <f t="shared" si="16"/>
        <v>3.7604319332963772E-2</v>
      </c>
      <c r="P22" s="15">
        <f t="shared" si="17"/>
        <v>4.0205651723627757E-2</v>
      </c>
      <c r="Q22" s="15"/>
      <c r="R22" s="12"/>
      <c r="S22" s="17">
        <f t="shared" si="6"/>
        <v>7.3537762634866555E-2</v>
      </c>
      <c r="T22" s="17">
        <f t="shared" si="7"/>
        <v>0.19307061623909028</v>
      </c>
      <c r="U22" s="17">
        <f t="shared" si="8"/>
        <v>9.7761028596763389E-2</v>
      </c>
      <c r="V22" s="17">
        <f t="shared" si="9"/>
        <v>9.7536348949919249E-2</v>
      </c>
    </row>
    <row r="23" spans="1:22" ht="42" x14ac:dyDescent="0.6">
      <c r="A23" s="2" t="s">
        <v>22</v>
      </c>
      <c r="B23" s="4">
        <v>4292</v>
      </c>
      <c r="C23" s="4">
        <v>12196</v>
      </c>
      <c r="D23" s="4">
        <v>24715</v>
      </c>
      <c r="E23" s="4">
        <v>6968</v>
      </c>
      <c r="F23" s="4">
        <v>12102</v>
      </c>
      <c r="G23" s="5">
        <f t="shared" si="5"/>
        <v>1.8415657036346693</v>
      </c>
      <c r="H23" s="5">
        <f t="shared" si="24"/>
        <v>1.0264840931452937</v>
      </c>
      <c r="I23" s="5">
        <f t="shared" si="25"/>
        <v>-0.71806595185110256</v>
      </c>
      <c r="J23" s="5">
        <f t="shared" si="26"/>
        <v>0.73679678530424808</v>
      </c>
      <c r="K23" s="5"/>
      <c r="L23" s="15">
        <f t="shared" si="13"/>
        <v>6.6789082194765176E-2</v>
      </c>
      <c r="M23" s="15">
        <f t="shared" si="14"/>
        <v>0.17243768292165651</v>
      </c>
      <c r="N23" s="15">
        <f t="shared" si="15"/>
        <v>0.20800370308028951</v>
      </c>
      <c r="O23" s="15">
        <f t="shared" si="16"/>
        <v>5.2913347558984559E-2</v>
      </c>
      <c r="P23" s="15">
        <f t="shared" si="17"/>
        <v>8.9525077674212167E-2</v>
      </c>
      <c r="Q23" s="15"/>
      <c r="R23" s="12"/>
      <c r="S23" s="17">
        <f t="shared" si="6"/>
        <v>1.8415657036346693</v>
      </c>
      <c r="T23" s="17">
        <f t="shared" si="7"/>
        <v>1.0264840931452937</v>
      </c>
      <c r="U23" s="17">
        <f t="shared" si="8"/>
        <v>-0.71806595185110256</v>
      </c>
      <c r="V23" s="17">
        <f t="shared" si="9"/>
        <v>0.73679678530424808</v>
      </c>
    </row>
    <row r="24" spans="1:22" ht="26" x14ac:dyDescent="0.6">
      <c r="A24" s="2" t="s">
        <v>23</v>
      </c>
      <c r="B24" s="2">
        <v>789</v>
      </c>
      <c r="C24" s="4">
        <v>2162</v>
      </c>
      <c r="D24" s="4">
        <v>4411</v>
      </c>
      <c r="E24" s="4">
        <v>1218</v>
      </c>
      <c r="F24" s="4">
        <v>3453</v>
      </c>
      <c r="G24" s="5">
        <f t="shared" si="5"/>
        <v>1.7401774397972116</v>
      </c>
      <c r="H24" s="5">
        <f t="shared" si="24"/>
        <v>1.040240518038853</v>
      </c>
      <c r="I24" s="5">
        <f t="shared" si="25"/>
        <v>-0.72387213783722504</v>
      </c>
      <c r="J24" s="5">
        <f t="shared" si="26"/>
        <v>1.8349753694581281</v>
      </c>
      <c r="K24" s="5"/>
      <c r="L24" s="15">
        <f t="shared" si="13"/>
        <v>1.2277862500389033E-2</v>
      </c>
      <c r="M24" s="15">
        <f t="shared" si="14"/>
        <v>3.056824126571182E-2</v>
      </c>
      <c r="N24" s="15">
        <f t="shared" si="15"/>
        <v>3.7123379902373341E-2</v>
      </c>
      <c r="O24" s="15">
        <f t="shared" si="16"/>
        <v>9.2492045532208949E-3</v>
      </c>
      <c r="P24" s="15">
        <f t="shared" si="17"/>
        <v>2.5543719485130935E-2</v>
      </c>
      <c r="Q24" s="15"/>
      <c r="R24" s="12"/>
      <c r="S24" s="17">
        <f t="shared" si="6"/>
        <v>1.7401774397972116</v>
      </c>
      <c r="T24" s="17">
        <f t="shared" si="7"/>
        <v>1.040240518038853</v>
      </c>
      <c r="U24" s="17">
        <f t="shared" si="8"/>
        <v>-0.72387213783722504</v>
      </c>
      <c r="V24" s="17">
        <f t="shared" si="9"/>
        <v>1.8349753694581281</v>
      </c>
    </row>
    <row r="25" spans="1:22" ht="42" x14ac:dyDescent="0.6">
      <c r="A25" s="2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5" t="e">
        <f t="shared" si="5"/>
        <v>#DIV/0!</v>
      </c>
      <c r="H25" s="5" t="e">
        <f t="shared" si="24"/>
        <v>#DIV/0!</v>
      </c>
      <c r="I25" s="5" t="e">
        <f t="shared" si="25"/>
        <v>#DIV/0!</v>
      </c>
      <c r="J25" s="5" t="e">
        <f t="shared" si="26"/>
        <v>#DIV/0!</v>
      </c>
      <c r="K25" s="5"/>
      <c r="L25" s="15">
        <f t="shared" si="13"/>
        <v>0</v>
      </c>
      <c r="M25" s="15">
        <f t="shared" si="14"/>
        <v>0</v>
      </c>
      <c r="N25" s="15">
        <f t="shared" si="15"/>
        <v>0</v>
      </c>
      <c r="O25" s="15">
        <f t="shared" si="16"/>
        <v>0</v>
      </c>
      <c r="P25" s="15">
        <f t="shared" si="17"/>
        <v>0</v>
      </c>
      <c r="Q25" s="15"/>
      <c r="R25" s="12"/>
      <c r="S25" s="17" t="e">
        <f t="shared" si="6"/>
        <v>#DIV/0!</v>
      </c>
      <c r="T25" s="17" t="e">
        <f t="shared" si="7"/>
        <v>#DIV/0!</v>
      </c>
      <c r="U25" s="17" t="e">
        <f t="shared" si="8"/>
        <v>#DIV/0!</v>
      </c>
      <c r="V25" s="17" t="e">
        <f t="shared" si="9"/>
        <v>#DIV/0!</v>
      </c>
    </row>
    <row r="26" spans="1:22" ht="29" x14ac:dyDescent="0.6">
      <c r="A26" s="2" t="s">
        <v>25</v>
      </c>
      <c r="B26" s="4">
        <v>-1788</v>
      </c>
      <c r="C26" s="4">
        <v>1641</v>
      </c>
      <c r="D26" s="4">
        <v>3602</v>
      </c>
      <c r="E26" s="2">
        <v>813</v>
      </c>
      <c r="F26" s="2">
        <v>608</v>
      </c>
      <c r="G26" s="5">
        <f t="shared" si="5"/>
        <v>-1.9177852348993287</v>
      </c>
      <c r="H26" s="5">
        <f t="shared" si="24"/>
        <v>1.1950030469226083</v>
      </c>
      <c r="I26" s="5">
        <f t="shared" si="25"/>
        <v>-0.77429205996668515</v>
      </c>
      <c r="J26" s="5">
        <f t="shared" si="26"/>
        <v>-0.25215252152521528</v>
      </c>
      <c r="K26" s="5"/>
      <c r="L26" s="15">
        <f t="shared" si="13"/>
        <v>-2.7823597149170584E-2</v>
      </c>
      <c r="M26" s="15">
        <f t="shared" si="14"/>
        <v>2.3201888953299304E-2</v>
      </c>
      <c r="N26" s="15">
        <f t="shared" si="15"/>
        <v>3.0314761824608651E-2</v>
      </c>
      <c r="O26" s="15">
        <f t="shared" si="16"/>
        <v>6.1737301328149323E-3</v>
      </c>
      <c r="P26" s="15">
        <f t="shared" si="17"/>
        <v>4.4977067613552303E-3</v>
      </c>
      <c r="Q26" s="15"/>
      <c r="R26" s="12"/>
      <c r="S26" s="17">
        <f t="shared" si="6"/>
        <v>-1.9177852348993287</v>
      </c>
      <c r="T26" s="17">
        <f t="shared" si="7"/>
        <v>1.1950030469226083</v>
      </c>
      <c r="U26" s="17">
        <f t="shared" si="8"/>
        <v>-0.77429205996668515</v>
      </c>
      <c r="V26" s="17">
        <f t="shared" si="9"/>
        <v>-0.25215252152521528</v>
      </c>
    </row>
    <row r="27" spans="1:22" ht="29" x14ac:dyDescent="0.6">
      <c r="A27" s="2" t="s">
        <v>26</v>
      </c>
      <c r="B27" s="4">
        <v>5291</v>
      </c>
      <c r="C27" s="4">
        <v>8393</v>
      </c>
      <c r="D27" s="4">
        <v>16702</v>
      </c>
      <c r="E27" s="4">
        <v>4937</v>
      </c>
      <c r="F27" s="4">
        <v>8041</v>
      </c>
      <c r="G27" s="5">
        <f t="shared" si="5"/>
        <v>0.5862785862785862</v>
      </c>
      <c r="H27" s="5">
        <f t="shared" si="24"/>
        <v>0.98999165971643044</v>
      </c>
      <c r="I27" s="5">
        <f t="shared" si="25"/>
        <v>-0.70440665788528323</v>
      </c>
      <c r="J27" s="5">
        <f t="shared" si="26"/>
        <v>0.62872189588819127</v>
      </c>
      <c r="K27" s="5"/>
      <c r="L27" s="15">
        <f t="shared" si="13"/>
        <v>8.2334816843546724E-2</v>
      </c>
      <c r="M27" s="15">
        <f t="shared" si="14"/>
        <v>0.11866755270264538</v>
      </c>
      <c r="N27" s="15">
        <f t="shared" si="15"/>
        <v>0.14056556135330753</v>
      </c>
      <c r="O27" s="15">
        <f t="shared" si="16"/>
        <v>3.7490412872948735E-2</v>
      </c>
      <c r="P27" s="15">
        <f t="shared" si="17"/>
        <v>5.9483651427725992E-2</v>
      </c>
      <c r="Q27" s="15"/>
      <c r="R27" s="12"/>
      <c r="S27" s="17">
        <f t="shared" si="6"/>
        <v>0.5862785862785862</v>
      </c>
      <c r="T27" s="17">
        <f t="shared" si="7"/>
        <v>0.98999165971643044</v>
      </c>
      <c r="U27" s="17">
        <f t="shared" si="8"/>
        <v>-0.70440665788528323</v>
      </c>
      <c r="V27" s="17">
        <f t="shared" si="9"/>
        <v>0.62872189588819127</v>
      </c>
    </row>
    <row r="28" spans="1:22" ht="42" x14ac:dyDescent="0.6">
      <c r="A28" s="2" t="s">
        <v>27</v>
      </c>
      <c r="B28" s="4">
        <v>-1088.77</v>
      </c>
      <c r="C28" s="2">
        <v>-286.27999999999997</v>
      </c>
      <c r="D28" s="2">
        <v>-529.80999999999995</v>
      </c>
      <c r="E28" s="2">
        <v>-43.22</v>
      </c>
      <c r="F28" s="2">
        <v>-89.96</v>
      </c>
      <c r="G28" s="5">
        <f t="shared" si="5"/>
        <v>-0.73706108728197872</v>
      </c>
      <c r="H28" s="5">
        <f t="shared" si="24"/>
        <v>0.85067067206930269</v>
      </c>
      <c r="I28" s="5">
        <f t="shared" si="25"/>
        <v>-0.91842358581378225</v>
      </c>
      <c r="J28" s="5">
        <f t="shared" si="26"/>
        <v>1.0814437760296158</v>
      </c>
      <c r="K28" s="5"/>
      <c r="L28" s="15">
        <f t="shared" si="13"/>
        <v>-1.6942672185739627E-2</v>
      </c>
      <c r="M28" s="15">
        <f t="shared" si="14"/>
        <v>-4.0476762763866697E-3</v>
      </c>
      <c r="N28" s="15">
        <f t="shared" si="15"/>
        <v>-4.4589294731526676E-3</v>
      </c>
      <c r="O28" s="15">
        <f t="shared" si="16"/>
        <v>-3.282024801233227E-4</v>
      </c>
      <c r="P28" s="15">
        <f t="shared" si="17"/>
        <v>-6.6548305962420469E-4</v>
      </c>
      <c r="Q28" s="15"/>
      <c r="R28" s="12"/>
      <c r="S28" s="17">
        <f t="shared" si="6"/>
        <v>-0.73706108728197872</v>
      </c>
      <c r="T28" s="17">
        <f t="shared" si="7"/>
        <v>0.85067067206930269</v>
      </c>
      <c r="U28" s="17">
        <f t="shared" si="8"/>
        <v>-0.91842358581378225</v>
      </c>
      <c r="V28" s="17">
        <f t="shared" si="9"/>
        <v>1.0814437760296158</v>
      </c>
    </row>
    <row r="29" spans="1:22" ht="29" x14ac:dyDescent="0.6">
      <c r="A29" s="2" t="s">
        <v>28</v>
      </c>
      <c r="B29" s="4">
        <v>6379.77</v>
      </c>
      <c r="C29" s="4">
        <v>8679.2800000000007</v>
      </c>
      <c r="D29" s="4">
        <v>17231.810000000001</v>
      </c>
      <c r="E29" s="4">
        <v>4980.22</v>
      </c>
      <c r="F29" s="4">
        <v>8130.96</v>
      </c>
      <c r="G29" s="5">
        <f t="shared" si="5"/>
        <v>0.36043775872797923</v>
      </c>
      <c r="H29" s="5">
        <f t="shared" si="24"/>
        <v>0.9853962540671577</v>
      </c>
      <c r="I29" s="5">
        <f t="shared" si="25"/>
        <v>-0.71098683191144751</v>
      </c>
      <c r="J29" s="5">
        <f t="shared" si="26"/>
        <v>0.63265076643200491</v>
      </c>
      <c r="K29" s="5"/>
      <c r="L29" s="15">
        <f t="shared" si="13"/>
        <v>9.9277489029286362E-2</v>
      </c>
      <c r="M29" s="15">
        <f t="shared" si="14"/>
        <v>0.12271522897903206</v>
      </c>
      <c r="N29" s="15">
        <f t="shared" si="15"/>
        <v>0.14502449082646021</v>
      </c>
      <c r="O29" s="15">
        <f t="shared" si="16"/>
        <v>3.7818615353072058E-2</v>
      </c>
      <c r="P29" s="15">
        <f t="shared" si="17"/>
        <v>6.0149134487350202E-2</v>
      </c>
      <c r="Q29" s="15"/>
      <c r="R29" s="12"/>
      <c r="S29" s="17">
        <f t="shared" si="6"/>
        <v>0.36043775872797923</v>
      </c>
      <c r="T29" s="17">
        <f t="shared" si="7"/>
        <v>0.9853962540671577</v>
      </c>
      <c r="U29" s="17">
        <f t="shared" si="8"/>
        <v>-0.71098683191144751</v>
      </c>
      <c r="V29" s="17">
        <f t="shared" si="9"/>
        <v>0.63265076643200491</v>
      </c>
    </row>
    <row r="30" spans="1:22" ht="42" x14ac:dyDescent="0.6">
      <c r="A30" s="2" t="s">
        <v>29</v>
      </c>
      <c r="B30" s="2">
        <v>-3</v>
      </c>
      <c r="C30" s="2">
        <v>59</v>
      </c>
      <c r="D30" s="2">
        <v>-564</v>
      </c>
      <c r="E30" s="2">
        <v>66</v>
      </c>
      <c r="F30" s="2">
        <v>10</v>
      </c>
      <c r="G30" s="5">
        <f t="shared" si="5"/>
        <v>-20.666666666666668</v>
      </c>
      <c r="H30" s="5">
        <f t="shared" si="24"/>
        <v>-10.559322033898304</v>
      </c>
      <c r="I30" s="5">
        <f t="shared" si="25"/>
        <v>-1.1170212765957448</v>
      </c>
      <c r="J30" s="5">
        <f t="shared" si="26"/>
        <v>-0.84848484848484851</v>
      </c>
      <c r="K30" s="5"/>
      <c r="L30" s="15">
        <f t="shared" si="13"/>
        <v>-4.6683887834178829E-5</v>
      </c>
      <c r="M30" s="15">
        <f t="shared" si="14"/>
        <v>8.3419344804671486E-4</v>
      </c>
      <c r="N30" s="15">
        <f t="shared" si="15"/>
        <v>-4.7466756438310047E-3</v>
      </c>
      <c r="O30" s="15">
        <f t="shared" si="16"/>
        <v>5.0118842406615682E-4</v>
      </c>
      <c r="P30" s="15">
        <f t="shared" si="17"/>
        <v>7.3975440153868915E-5</v>
      </c>
      <c r="Q30" s="15"/>
      <c r="R30" s="12"/>
      <c r="S30" s="17">
        <f t="shared" si="6"/>
        <v>-20.666666666666668</v>
      </c>
      <c r="T30" s="17">
        <f t="shared" si="7"/>
        <v>-10.559322033898304</v>
      </c>
      <c r="U30" s="17">
        <f t="shared" si="8"/>
        <v>-1.1170212765957448</v>
      </c>
      <c r="V30" s="17">
        <f t="shared" si="9"/>
        <v>-0.84848484848484851</v>
      </c>
    </row>
    <row r="31" spans="1:22" ht="55" x14ac:dyDescent="0.6">
      <c r="A31" s="2" t="s">
        <v>30</v>
      </c>
      <c r="B31" s="4">
        <v>13611</v>
      </c>
      <c r="C31" s="4">
        <v>17709</v>
      </c>
      <c r="D31" s="4">
        <v>25678</v>
      </c>
      <c r="E31" s="4">
        <v>40245</v>
      </c>
      <c r="F31" s="4">
        <v>41054</v>
      </c>
      <c r="G31" s="5">
        <f t="shared" si="5"/>
        <v>0.30108000881639851</v>
      </c>
      <c r="H31" s="5">
        <f t="shared" si="24"/>
        <v>0.44999717657688176</v>
      </c>
      <c r="I31" s="5">
        <f t="shared" si="25"/>
        <v>0.56729496066671858</v>
      </c>
      <c r="J31" s="5">
        <f t="shared" si="26"/>
        <v>2.0101876009442243E-2</v>
      </c>
      <c r="K31" s="5"/>
      <c r="L31" s="15">
        <f t="shared" si="13"/>
        <v>0.21180479910366937</v>
      </c>
      <c r="M31" s="15">
        <f t="shared" si="14"/>
        <v>0.25038528426202156</v>
      </c>
      <c r="N31" s="15">
        <f t="shared" si="15"/>
        <v>0.21610839925938394</v>
      </c>
      <c r="O31" s="15">
        <f t="shared" si="16"/>
        <v>0.30561103222034064</v>
      </c>
      <c r="P31" s="15">
        <f t="shared" si="17"/>
        <v>0.30369877200769346</v>
      </c>
      <c r="Q31" s="15"/>
      <c r="R31" s="13"/>
      <c r="S31" s="17">
        <f t="shared" si="6"/>
        <v>0.30108000881639851</v>
      </c>
      <c r="T31" s="17">
        <f t="shared" si="7"/>
        <v>0.44999717657688176</v>
      </c>
      <c r="U31" s="17">
        <f t="shared" si="8"/>
        <v>0.56729496066671858</v>
      </c>
      <c r="V31" s="17">
        <f t="shared" si="9"/>
        <v>2.0101876009442243E-2</v>
      </c>
    </row>
    <row r="32" spans="1:22" ht="42" x14ac:dyDescent="0.6">
      <c r="A32" s="2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5" t="e">
        <f t="shared" si="5"/>
        <v>#DIV/0!</v>
      </c>
      <c r="H32" s="5" t="e">
        <f t="shared" si="24"/>
        <v>#DIV/0!</v>
      </c>
      <c r="I32" s="5" t="e">
        <f t="shared" si="25"/>
        <v>#DIV/0!</v>
      </c>
      <c r="J32" s="5" t="e">
        <f t="shared" si="26"/>
        <v>#DIV/0!</v>
      </c>
      <c r="K32" s="5"/>
      <c r="L32" s="15">
        <f t="shared" si="13"/>
        <v>0</v>
      </c>
      <c r="M32" s="15">
        <f t="shared" si="14"/>
        <v>0</v>
      </c>
      <c r="N32" s="15">
        <f t="shared" si="15"/>
        <v>0</v>
      </c>
      <c r="O32" s="15">
        <f t="shared" si="16"/>
        <v>0</v>
      </c>
      <c r="P32" s="15">
        <f t="shared" si="17"/>
        <v>0</v>
      </c>
      <c r="Q32" s="15"/>
      <c r="R32" s="13"/>
      <c r="S32" s="17" t="e">
        <f t="shared" si="6"/>
        <v>#DIV/0!</v>
      </c>
      <c r="T32" s="17" t="e">
        <f t="shared" si="7"/>
        <v>#DIV/0!</v>
      </c>
      <c r="U32" s="17" t="e">
        <f t="shared" si="8"/>
        <v>#DIV/0!</v>
      </c>
      <c r="V32" s="17" t="e">
        <f t="shared" si="9"/>
        <v>#DIV/0!</v>
      </c>
    </row>
    <row r="33" spans="1:22" ht="29" x14ac:dyDescent="0.6">
      <c r="A33" s="2" t="s">
        <v>32</v>
      </c>
      <c r="B33" s="4">
        <v>1190</v>
      </c>
      <c r="C33" s="2">
        <v>483</v>
      </c>
      <c r="D33" s="4">
        <v>1571</v>
      </c>
      <c r="E33" s="4">
        <v>4194</v>
      </c>
      <c r="F33" s="2">
        <v>632</v>
      </c>
      <c r="G33" s="5">
        <f t="shared" si="5"/>
        <v>-0.59411764705882353</v>
      </c>
      <c r="H33" s="5">
        <f t="shared" si="24"/>
        <v>2.2525879917184266</v>
      </c>
      <c r="I33" s="5">
        <f t="shared" si="25"/>
        <v>1.669637173774666</v>
      </c>
      <c r="J33" s="5">
        <f t="shared" si="26"/>
        <v>-0.84930853600381495</v>
      </c>
      <c r="K33" s="5"/>
      <c r="L33" s="15">
        <f t="shared" si="13"/>
        <v>1.8517942174224269E-2</v>
      </c>
      <c r="M33" s="15">
        <f t="shared" si="14"/>
        <v>6.8290751763824282E-3</v>
      </c>
      <c r="N33" s="15">
        <f t="shared" si="15"/>
        <v>1.3221679851876788E-2</v>
      </c>
      <c r="O33" s="15">
        <f t="shared" si="16"/>
        <v>3.184824622020397E-2</v>
      </c>
      <c r="P33" s="15">
        <f t="shared" si="17"/>
        <v>4.6752478177245153E-3</v>
      </c>
      <c r="Q33" s="15"/>
      <c r="R33" s="13"/>
      <c r="S33" s="17">
        <f t="shared" si="6"/>
        <v>-0.59411764705882353</v>
      </c>
      <c r="T33" s="17">
        <f t="shared" si="7"/>
        <v>2.2525879917184266</v>
      </c>
      <c r="U33" s="17">
        <f t="shared" si="8"/>
        <v>1.669637173774666</v>
      </c>
      <c r="V33" s="17">
        <f t="shared" si="9"/>
        <v>-0.84930853600381495</v>
      </c>
    </row>
    <row r="34" spans="1:22" ht="55" x14ac:dyDescent="0.6">
      <c r="A34" s="2" t="s">
        <v>33</v>
      </c>
      <c r="B34" s="4">
        <v>17709</v>
      </c>
      <c r="C34" s="4">
        <v>25678</v>
      </c>
      <c r="D34" s="4">
        <v>40245</v>
      </c>
      <c r="E34" s="4">
        <v>41054</v>
      </c>
      <c r="F34" s="4">
        <v>48473</v>
      </c>
      <c r="G34" s="5">
        <f t="shared" si="5"/>
        <v>0.44999717657688176</v>
      </c>
      <c r="H34" s="5">
        <f t="shared" si="24"/>
        <v>0.56729496066671858</v>
      </c>
      <c r="I34" s="5">
        <f t="shared" si="25"/>
        <v>2.0101876009442243E-2</v>
      </c>
      <c r="J34" s="5">
        <f t="shared" si="26"/>
        <v>0.18071320699566429</v>
      </c>
      <c r="K34" s="5"/>
      <c r="L34" s="15">
        <f t="shared" si="13"/>
        <v>0.27557498988515766</v>
      </c>
      <c r="M34" s="15">
        <f t="shared" si="14"/>
        <v>0.36305795523633122</v>
      </c>
      <c r="N34" s="15">
        <f t="shared" si="15"/>
        <v>0.33870560511698367</v>
      </c>
      <c r="O34" s="15">
        <f t="shared" si="16"/>
        <v>0.3117543872971516</v>
      </c>
      <c r="P34" s="15">
        <f t="shared" si="17"/>
        <v>0.35858115105784877</v>
      </c>
      <c r="Q34" s="15"/>
      <c r="R34" s="13"/>
      <c r="S34" s="17">
        <f t="shared" si="6"/>
        <v>0.44999717657688176</v>
      </c>
      <c r="T34" s="17">
        <f t="shared" si="7"/>
        <v>0.56729496066671858</v>
      </c>
      <c r="U34" s="17">
        <f t="shared" si="8"/>
        <v>2.0101876009442243E-2</v>
      </c>
      <c r="V34" s="17">
        <f t="shared" si="9"/>
        <v>0.18071320699566429</v>
      </c>
    </row>
    <row r="35" spans="1:22" ht="26" x14ac:dyDescent="0.6">
      <c r="A35" s="2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5" t="e">
        <f t="shared" si="5"/>
        <v>#DIV/0!</v>
      </c>
      <c r="H35" s="5" t="e">
        <f t="shared" si="24"/>
        <v>#DIV/0!</v>
      </c>
      <c r="I35" s="5" t="e">
        <f t="shared" si="25"/>
        <v>#DIV/0!</v>
      </c>
      <c r="J35" s="5" t="e">
        <f t="shared" si="26"/>
        <v>#DIV/0!</v>
      </c>
      <c r="K35" s="5"/>
      <c r="L35" s="15">
        <f t="shared" si="13"/>
        <v>0</v>
      </c>
      <c r="M35" s="15">
        <f t="shared" si="14"/>
        <v>0</v>
      </c>
      <c r="N35" s="15">
        <f t="shared" si="15"/>
        <v>0</v>
      </c>
      <c r="O35" s="15">
        <f t="shared" si="16"/>
        <v>0</v>
      </c>
      <c r="P35" s="15">
        <f t="shared" si="17"/>
        <v>0</v>
      </c>
      <c r="Q35" s="15"/>
      <c r="R35" s="13"/>
      <c r="S35" s="17" t="e">
        <f t="shared" si="6"/>
        <v>#DIV/0!</v>
      </c>
      <c r="T35" s="17" t="e">
        <f t="shared" si="7"/>
        <v>#DIV/0!</v>
      </c>
      <c r="U35" s="17" t="e">
        <f t="shared" si="8"/>
        <v>#DIV/0!</v>
      </c>
      <c r="V35" s="17" t="e">
        <f t="shared" si="9"/>
        <v>#DIV/0!</v>
      </c>
    </row>
    <row r="36" spans="1:22" ht="42" x14ac:dyDescent="0.6">
      <c r="A36" s="2" t="s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5" t="e">
        <f t="shared" si="5"/>
        <v>#DIV/0!</v>
      </c>
      <c r="H36" s="5" t="e">
        <f t="shared" si="24"/>
        <v>#DIV/0!</v>
      </c>
      <c r="I36" s="5" t="e">
        <f t="shared" si="25"/>
        <v>#DIV/0!</v>
      </c>
      <c r="J36" s="5" t="e">
        <f t="shared" si="26"/>
        <v>#DIV/0!</v>
      </c>
      <c r="K36" s="5"/>
      <c r="L36" s="15">
        <f t="shared" si="13"/>
        <v>0</v>
      </c>
      <c r="M36" s="15">
        <f t="shared" si="14"/>
        <v>0</v>
      </c>
      <c r="N36" s="15">
        <f t="shared" si="15"/>
        <v>0</v>
      </c>
      <c r="O36" s="15">
        <f t="shared" si="16"/>
        <v>0</v>
      </c>
      <c r="P36" s="15">
        <f t="shared" si="17"/>
        <v>0</v>
      </c>
      <c r="Q36" s="15"/>
      <c r="R36" s="13"/>
      <c r="S36" s="17" t="e">
        <f t="shared" si="6"/>
        <v>#DIV/0!</v>
      </c>
      <c r="T36" s="17" t="e">
        <f t="shared" si="7"/>
        <v>#DIV/0!</v>
      </c>
      <c r="U36" s="17" t="e">
        <f t="shared" si="8"/>
        <v>#DIV/0!</v>
      </c>
      <c r="V36" s="17" t="e">
        <f t="shared" si="9"/>
        <v>#DIV/0!</v>
      </c>
    </row>
    <row r="37" spans="1:22" ht="42" x14ac:dyDescent="0.6">
      <c r="A37" s="2" t="s">
        <v>36</v>
      </c>
      <c r="B37" s="2">
        <v>200</v>
      </c>
      <c r="C37" s="2">
        <v>650</v>
      </c>
      <c r="D37" s="4">
        <v>1735</v>
      </c>
      <c r="E37" s="2">
        <v>340</v>
      </c>
      <c r="F37" s="2">
        <v>730</v>
      </c>
      <c r="G37" s="5">
        <f t="shared" si="5"/>
        <v>2.25</v>
      </c>
      <c r="H37" s="5">
        <f t="shared" si="24"/>
        <v>1.6692307692307691</v>
      </c>
      <c r="I37" s="5">
        <f t="shared" si="25"/>
        <v>-0.80403458213256485</v>
      </c>
      <c r="J37" s="5">
        <f t="shared" si="26"/>
        <v>1.1470588235294117</v>
      </c>
      <c r="K37" s="5"/>
      <c r="L37" s="15">
        <f t="shared" si="13"/>
        <v>3.1122591889452553E-3</v>
      </c>
      <c r="M37" s="15">
        <f t="shared" si="14"/>
        <v>9.1902668005146553E-3</v>
      </c>
      <c r="N37" s="15">
        <f t="shared" si="15"/>
        <v>1.4601918868877293E-2</v>
      </c>
      <c r="O37" s="15">
        <f t="shared" si="16"/>
        <v>2.5818797603408081E-3</v>
      </c>
      <c r="P37" s="15">
        <f t="shared" si="17"/>
        <v>5.4002071312324309E-3</v>
      </c>
      <c r="Q37" s="15"/>
      <c r="R37" s="13"/>
      <c r="S37" s="17">
        <f t="shared" si="6"/>
        <v>2.25</v>
      </c>
      <c r="T37" s="17">
        <f t="shared" si="7"/>
        <v>1.6692307692307691</v>
      </c>
      <c r="U37" s="17">
        <f t="shared" si="8"/>
        <v>-0.80403458213256485</v>
      </c>
      <c r="V37" s="17">
        <f t="shared" si="9"/>
        <v>1.1470588235294117</v>
      </c>
    </row>
    <row r="38" spans="1:22" ht="42" x14ac:dyDescent="0.6">
      <c r="A38" s="2" t="s">
        <v>37</v>
      </c>
      <c r="B38" s="2">
        <v>2</v>
      </c>
      <c r="C38" s="2">
        <v>6.5</v>
      </c>
      <c r="D38" s="2">
        <v>17.350000000000001</v>
      </c>
      <c r="E38" s="2">
        <v>3.4</v>
      </c>
      <c r="F38" s="2">
        <v>7.3</v>
      </c>
      <c r="G38" s="5">
        <f t="shared" si="5"/>
        <v>2.25</v>
      </c>
      <c r="H38" s="5">
        <f t="shared" si="24"/>
        <v>1.6692307692307695</v>
      </c>
      <c r="I38" s="5">
        <f t="shared" si="25"/>
        <v>-0.80403458213256485</v>
      </c>
      <c r="J38" s="5">
        <f t="shared" si="26"/>
        <v>1.1470588235294117</v>
      </c>
      <c r="K38" s="5"/>
      <c r="L38" s="15">
        <f t="shared" si="13"/>
        <v>3.1122591889452555E-5</v>
      </c>
      <c r="M38" s="15">
        <f t="shared" si="14"/>
        <v>9.1902668005146548E-5</v>
      </c>
      <c r="N38" s="15">
        <f t="shared" si="15"/>
        <v>1.4601918868877294E-4</v>
      </c>
      <c r="O38" s="15">
        <f t="shared" si="16"/>
        <v>2.581879760340808E-5</v>
      </c>
      <c r="P38" s="15">
        <f t="shared" si="17"/>
        <v>5.4002071312324307E-5</v>
      </c>
      <c r="Q38" s="15"/>
      <c r="R38" s="13"/>
      <c r="S38" s="17">
        <f t="shared" si="6"/>
        <v>2.25</v>
      </c>
      <c r="T38" s="17">
        <f t="shared" si="7"/>
        <v>1.6692307692307695</v>
      </c>
      <c r="U38" s="17">
        <f t="shared" si="8"/>
        <v>-0.80403458213256485</v>
      </c>
      <c r="V38" s="17">
        <f t="shared" si="9"/>
        <v>1.1470588235294117</v>
      </c>
    </row>
    <row r="39" spans="1:22" ht="42" x14ac:dyDescent="0.6">
      <c r="A39" s="2" t="s">
        <v>38</v>
      </c>
      <c r="B39" s="2">
        <v>17.579999999999998</v>
      </c>
      <c r="C39" s="2">
        <v>27.79</v>
      </c>
      <c r="D39" s="2">
        <v>55.49</v>
      </c>
      <c r="E39" s="2">
        <v>16.399999999999999</v>
      </c>
      <c r="F39" s="2">
        <v>26.36</v>
      </c>
      <c r="G39" s="5">
        <f t="shared" si="5"/>
        <v>0.58077360637087616</v>
      </c>
      <c r="H39" s="5">
        <f t="shared" si="24"/>
        <v>0.9967614249730119</v>
      </c>
      <c r="I39" s="5">
        <f t="shared" si="25"/>
        <v>-0.70445125247792406</v>
      </c>
      <c r="J39" s="5">
        <f t="shared" si="26"/>
        <v>0.6073170731707318</v>
      </c>
      <c r="K39" s="5"/>
      <c r="L39" s="15">
        <f t="shared" si="13"/>
        <v>2.7356758270828793E-4</v>
      </c>
      <c r="M39" s="15">
        <f t="shared" si="14"/>
        <v>3.9291925290200347E-4</v>
      </c>
      <c r="N39" s="15">
        <f t="shared" si="15"/>
        <v>4.6700892105706112E-4</v>
      </c>
      <c r="O39" s="15">
        <f t="shared" si="16"/>
        <v>1.2453772961643897E-4</v>
      </c>
      <c r="P39" s="15">
        <f t="shared" si="17"/>
        <v>1.9499926024559846E-4</v>
      </c>
      <c r="Q39" s="15"/>
      <c r="R39" s="13"/>
      <c r="S39" s="17">
        <f t="shared" si="6"/>
        <v>0.58077360637087616</v>
      </c>
      <c r="T39" s="17">
        <f t="shared" si="7"/>
        <v>0.9967614249730119</v>
      </c>
      <c r="U39" s="17">
        <f t="shared" si="8"/>
        <v>-0.70445125247792406</v>
      </c>
      <c r="V39" s="17">
        <f t="shared" si="9"/>
        <v>0.6073170731707318</v>
      </c>
    </row>
    <row r="40" spans="1:22" ht="55" x14ac:dyDescent="0.6">
      <c r="A40" s="2" t="s">
        <v>39</v>
      </c>
      <c r="B40" s="2">
        <v>17.579999999999998</v>
      </c>
      <c r="C40" s="2">
        <v>27.79</v>
      </c>
      <c r="D40" s="2">
        <v>55.49</v>
      </c>
      <c r="E40" s="2">
        <v>16.399999999999999</v>
      </c>
      <c r="F40" s="2">
        <v>26.36</v>
      </c>
      <c r="G40" s="5">
        <f t="shared" si="5"/>
        <v>0.58077360637087616</v>
      </c>
      <c r="H40" s="5">
        <f t="shared" si="24"/>
        <v>0.9967614249730119</v>
      </c>
      <c r="I40" s="5">
        <f t="shared" si="25"/>
        <v>-0.70445125247792406</v>
      </c>
      <c r="J40" s="5">
        <f t="shared" si="26"/>
        <v>0.6073170731707318</v>
      </c>
      <c r="K40" s="5"/>
      <c r="L40" s="15">
        <f t="shared" si="13"/>
        <v>2.7356758270828793E-4</v>
      </c>
      <c r="M40" s="15">
        <f t="shared" si="14"/>
        <v>3.9291925290200347E-4</v>
      </c>
      <c r="N40" s="15">
        <f t="shared" si="15"/>
        <v>4.6700892105706112E-4</v>
      </c>
      <c r="O40" s="15">
        <f t="shared" si="16"/>
        <v>1.2453772961643897E-4</v>
      </c>
      <c r="P40" s="15">
        <f t="shared" si="17"/>
        <v>1.9499926024559846E-4</v>
      </c>
      <c r="Q40" s="18"/>
      <c r="S40" s="17">
        <f t="shared" si="6"/>
        <v>0.58077360637087616</v>
      </c>
      <c r="T40" s="17">
        <f t="shared" si="7"/>
        <v>0.9967614249730119</v>
      </c>
      <c r="U40" s="17">
        <f t="shared" si="8"/>
        <v>-0.70445125247792406</v>
      </c>
      <c r="V40" s="17">
        <f t="shared" si="9"/>
        <v>0.6073170731707318</v>
      </c>
    </row>
    <row r="41" spans="1:22" ht="42" x14ac:dyDescent="0.6">
      <c r="A41" s="2" t="s">
        <v>40</v>
      </c>
      <c r="B41" s="2">
        <v>127.45</v>
      </c>
      <c r="C41" s="2">
        <v>155.55000000000001</v>
      </c>
      <c r="D41" s="2">
        <v>210.97</v>
      </c>
      <c r="E41" s="2">
        <v>211.49</v>
      </c>
      <c r="F41" s="2">
        <v>246.83</v>
      </c>
      <c r="G41" s="5">
        <f t="shared" si="5"/>
        <v>0.22047861906630062</v>
      </c>
      <c r="H41" s="5">
        <f t="shared" si="24"/>
        <v>0.35628415300546434</v>
      </c>
      <c r="I41" s="5">
        <f t="shared" si="25"/>
        <v>2.4648054225719918E-3</v>
      </c>
      <c r="J41" s="5">
        <f t="shared" si="26"/>
        <v>0.16710009929547498</v>
      </c>
      <c r="K41" s="5"/>
      <c r="L41" s="15">
        <f t="shared" si="13"/>
        <v>1.983287168155364E-3</v>
      </c>
      <c r="M41" s="15">
        <f t="shared" si="14"/>
        <v>2.199301539723161E-3</v>
      </c>
      <c r="N41" s="15">
        <f t="shared" si="15"/>
        <v>1.7755428379060765E-3</v>
      </c>
      <c r="O41" s="15">
        <f t="shared" si="16"/>
        <v>1.6060051485719928E-3</v>
      </c>
      <c r="P41" s="15">
        <f t="shared" si="17"/>
        <v>1.8259357893179466E-3</v>
      </c>
      <c r="Q41" s="18"/>
      <c r="S41" s="17">
        <f t="shared" si="6"/>
        <v>0.22047861906630062</v>
      </c>
      <c r="T41" s="17">
        <f t="shared" si="7"/>
        <v>0.35628415300546434</v>
      </c>
      <c r="U41" s="17">
        <f t="shared" si="8"/>
        <v>2.4648054225719918E-3</v>
      </c>
      <c r="V41" s="17">
        <f t="shared" si="9"/>
        <v>0.16710009929547498</v>
      </c>
    </row>
    <row r="42" spans="1:22" ht="42" x14ac:dyDescent="0.6">
      <c r="A42" s="2" t="s">
        <v>41</v>
      </c>
      <c r="B42" s="2">
        <v>127.45</v>
      </c>
      <c r="C42" s="2">
        <v>155.55000000000001</v>
      </c>
      <c r="D42" s="2">
        <v>210.97</v>
      </c>
      <c r="E42" s="2">
        <v>211.49</v>
      </c>
      <c r="F42" s="2">
        <v>246.83</v>
      </c>
      <c r="G42" s="5">
        <f t="shared" si="5"/>
        <v>0.22047861906630062</v>
      </c>
      <c r="H42" s="5">
        <f t="shared" si="24"/>
        <v>0.35628415300546434</v>
      </c>
      <c r="I42" s="5">
        <f t="shared" si="25"/>
        <v>2.4648054225719918E-3</v>
      </c>
      <c r="J42" s="5">
        <f t="shared" si="26"/>
        <v>0.16710009929547498</v>
      </c>
      <c r="K42" s="5"/>
      <c r="L42" s="15">
        <f t="shared" si="13"/>
        <v>1.983287168155364E-3</v>
      </c>
      <c r="M42" s="15">
        <f t="shared" si="14"/>
        <v>2.199301539723161E-3</v>
      </c>
      <c r="N42" s="15">
        <f t="shared" si="15"/>
        <v>1.7755428379060765E-3</v>
      </c>
      <c r="O42" s="15">
        <f t="shared" si="16"/>
        <v>1.6060051485719928E-3</v>
      </c>
      <c r="P42" s="15">
        <f t="shared" si="17"/>
        <v>1.8259357893179466E-3</v>
      </c>
      <c r="Q42" s="18"/>
      <c r="S42" s="17">
        <f t="shared" si="6"/>
        <v>0.22047861906630062</v>
      </c>
      <c r="T42" s="17">
        <f t="shared" si="7"/>
        <v>0.35628415300546434</v>
      </c>
      <c r="U42" s="17">
        <f t="shared" si="8"/>
        <v>2.4648054225719918E-3</v>
      </c>
      <c r="V42" s="17">
        <f t="shared" si="9"/>
        <v>0.16710009929547498</v>
      </c>
    </row>
    <row r="43" spans="1:22" ht="42" x14ac:dyDescent="0.6">
      <c r="A43" s="2" t="s">
        <v>42</v>
      </c>
      <c r="B43" s="2">
        <v>2</v>
      </c>
      <c r="C43" s="2">
        <v>6.5</v>
      </c>
      <c r="D43" s="2">
        <v>17.350000000000001</v>
      </c>
      <c r="E43" s="2">
        <v>3.4</v>
      </c>
      <c r="F43" s="2">
        <v>7.3</v>
      </c>
      <c r="G43" s="5">
        <f t="shared" si="5"/>
        <v>2.25</v>
      </c>
      <c r="H43" s="5">
        <f t="shared" si="24"/>
        <v>1.6692307692307695</v>
      </c>
      <c r="I43" s="5">
        <f t="shared" si="25"/>
        <v>-0.80403458213256485</v>
      </c>
      <c r="J43" s="5">
        <f t="shared" si="26"/>
        <v>1.1470588235294117</v>
      </c>
      <c r="K43" s="5"/>
      <c r="L43" s="15">
        <f t="shared" si="13"/>
        <v>3.1122591889452555E-5</v>
      </c>
      <c r="M43" s="15">
        <f t="shared" si="14"/>
        <v>9.1902668005146548E-5</v>
      </c>
      <c r="N43" s="15">
        <f t="shared" si="15"/>
        <v>1.4601918868877294E-4</v>
      </c>
      <c r="O43" s="15">
        <f t="shared" si="16"/>
        <v>2.581879760340808E-5</v>
      </c>
      <c r="P43" s="15">
        <f t="shared" si="17"/>
        <v>5.4002071312324307E-5</v>
      </c>
      <c r="Q43" s="18"/>
      <c r="S43" s="17">
        <f t="shared" si="6"/>
        <v>2.25</v>
      </c>
      <c r="T43" s="17">
        <f t="shared" si="7"/>
        <v>1.6692307692307695</v>
      </c>
      <c r="U43" s="17">
        <f t="shared" si="8"/>
        <v>-0.80403458213256485</v>
      </c>
      <c r="V43" s="17">
        <f t="shared" si="9"/>
        <v>1.1470588235294117</v>
      </c>
    </row>
  </sheetData>
  <mergeCells count="2">
    <mergeCell ref="A1:J1"/>
    <mergeCell ref="X2:AC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3" displayEmptyCellsAs="gap" xr2:uid="{2473F962-D47A-405D-BC4B-C7822889A9DA}">
          <x14:colorSeries theme="5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'INCOME STATEMENT '!Y4:AB4</xm:f>
              <xm:sqref>AD4</xm:sqref>
            </x14:sparkline>
            <x14:sparkline>
              <xm:f>'INCOME STATEMENT '!Y5:AB5</xm:f>
              <xm:sqref>AD5</xm:sqref>
            </x14:sparkline>
            <x14:sparkline>
              <xm:f>'INCOME STATEMENT '!Y6:AB6</xm:f>
              <xm:sqref>AD6</xm:sqref>
            </x14:sparkline>
            <x14:sparkline>
              <xm:f>'INCOME STATEMENT '!Y7:AB7</xm:f>
              <xm:sqref>AD7</xm:sqref>
            </x14:sparkline>
            <x14:sparkline>
              <xm:f>'INCOME STATEMENT '!Y8:AB8</xm:f>
              <xm:sqref>AD8</xm:sqref>
            </x14:sparkline>
            <x14:sparkline>
              <xm:f>'INCOME STATEMENT '!Y9:AB9</xm:f>
              <xm:sqref>AD9</xm:sqref>
            </x14:sparkline>
            <x14:sparkline>
              <xm:f>'INCOME STATEMENT '!Y10:AB10</xm:f>
              <xm:sqref>AD10</xm:sqref>
            </x14:sparkline>
            <x14:sparkline>
              <xm:f>'INCOME STATEMENT '!Y11:AB11</xm:f>
              <xm:sqref>AD11</xm:sqref>
            </x14:sparkline>
            <x14:sparkline>
              <xm:f>'INCOME STATEMENT '!Y12:AB12</xm:f>
              <xm:sqref>AD12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7CBA-9C50-4892-9D55-71D0FCD3AB0A}">
  <dimension ref="A1:D9"/>
  <sheetViews>
    <sheetView workbookViewId="0">
      <selection activeCell="B9" sqref="B9"/>
    </sheetView>
  </sheetViews>
  <sheetFormatPr defaultRowHeight="14.5" x14ac:dyDescent="0.35"/>
  <cols>
    <col min="2" max="2" width="11" bestFit="1" customWidth="1"/>
  </cols>
  <sheetData>
    <row r="1" spans="1:4" x14ac:dyDescent="0.35">
      <c r="A1" s="84" t="s">
        <v>288</v>
      </c>
      <c r="B1" s="84"/>
      <c r="C1" s="84"/>
      <c r="D1" s="84"/>
    </row>
    <row r="3" spans="1:4" x14ac:dyDescent="0.35">
      <c r="A3" s="143" t="s">
        <v>289</v>
      </c>
      <c r="B3" s="144"/>
    </row>
    <row r="4" spans="1:4" x14ac:dyDescent="0.35">
      <c r="A4" s="124" t="s">
        <v>75</v>
      </c>
      <c r="B4" s="125">
        <f>'BALANCE SHEET'!F11</f>
        <v>61180</v>
      </c>
    </row>
    <row r="5" spans="1:4" x14ac:dyDescent="0.35">
      <c r="A5" s="124" t="s">
        <v>290</v>
      </c>
      <c r="B5" s="125">
        <f>'BALANCE SHEET'!F8</f>
        <v>75283</v>
      </c>
    </row>
    <row r="6" spans="1:4" x14ac:dyDescent="0.35">
      <c r="A6" s="126" t="s">
        <v>291</v>
      </c>
      <c r="B6" s="127">
        <f>SUM(B4:B5)</f>
        <v>136463</v>
      </c>
    </row>
    <row r="7" spans="1:4" x14ac:dyDescent="0.35">
      <c r="A7" s="128" t="s">
        <v>292</v>
      </c>
      <c r="B7" s="129">
        <f>B4/B6</f>
        <v>0.44832665264577209</v>
      </c>
    </row>
    <row r="8" spans="1:4" x14ac:dyDescent="0.35">
      <c r="A8" s="128" t="s">
        <v>293</v>
      </c>
      <c r="B8" s="129">
        <f>B5/B6</f>
        <v>0.55167334735422791</v>
      </c>
    </row>
    <row r="9" spans="1:4" x14ac:dyDescent="0.35">
      <c r="A9" s="130" t="s">
        <v>294</v>
      </c>
      <c r="B9" s="131">
        <f>B4/B5</f>
        <v>0.81266687034257401</v>
      </c>
    </row>
  </sheetData>
  <mergeCells count="1">
    <mergeCell ref="A3: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FBD7-0925-4598-A2C9-CFAC6C695E87}">
  <dimension ref="B1:J12"/>
  <sheetViews>
    <sheetView tabSelected="1" workbookViewId="0">
      <selection activeCell="E7" sqref="E7"/>
    </sheetView>
  </sheetViews>
  <sheetFormatPr defaultRowHeight="14.5" x14ac:dyDescent="0.35"/>
  <cols>
    <col min="5" max="5" width="11.81640625" bestFit="1" customWidth="1"/>
    <col min="6" max="6" width="12.453125" bestFit="1" customWidth="1"/>
    <col min="7" max="7" width="11.81640625" bestFit="1" customWidth="1"/>
    <col min="8" max="8" width="13.7265625" bestFit="1" customWidth="1"/>
    <col min="9" max="10" width="11.81640625" bestFit="1" customWidth="1"/>
  </cols>
  <sheetData>
    <row r="1" spans="2:10" ht="15" thickBot="1" x14ac:dyDescent="0.4"/>
    <row r="2" spans="2:10" x14ac:dyDescent="0.35">
      <c r="B2" s="146" t="s">
        <v>297</v>
      </c>
      <c r="C2" s="146"/>
      <c r="D2" s="147"/>
      <c r="E2" s="147"/>
      <c r="F2" s="147"/>
      <c r="G2" s="147"/>
      <c r="H2" s="147"/>
      <c r="I2" s="147"/>
      <c r="J2" s="147"/>
    </row>
    <row r="3" spans="2:10" x14ac:dyDescent="0.35">
      <c r="B3" s="148"/>
      <c r="C3" s="148"/>
      <c r="D3" s="149" t="s">
        <v>298</v>
      </c>
      <c r="E3" s="149" t="s">
        <v>299</v>
      </c>
      <c r="F3" s="149" t="s">
        <v>300</v>
      </c>
      <c r="G3" s="149" t="s">
        <v>301</v>
      </c>
      <c r="H3" s="149" t="s">
        <v>302</v>
      </c>
      <c r="I3" s="149" t="s">
        <v>303</v>
      </c>
      <c r="J3" s="149" t="s">
        <v>304</v>
      </c>
    </row>
    <row r="4" spans="2:10" ht="31.5" x14ac:dyDescent="0.35">
      <c r="B4" s="150"/>
      <c r="C4" s="150"/>
      <c r="E4" s="151" t="s">
        <v>305</v>
      </c>
      <c r="F4" s="151" t="s">
        <v>305</v>
      </c>
      <c r="G4" s="151" t="s">
        <v>305</v>
      </c>
      <c r="H4" s="151" t="s">
        <v>305</v>
      </c>
      <c r="I4" s="151" t="s">
        <v>305</v>
      </c>
      <c r="J4" s="151" t="s">
        <v>305</v>
      </c>
    </row>
    <row r="5" spans="2:10" x14ac:dyDescent="0.35">
      <c r="B5" s="152" t="s">
        <v>306</v>
      </c>
      <c r="C5" s="152"/>
      <c r="D5" s="153"/>
      <c r="E5" s="153"/>
      <c r="F5" s="153"/>
      <c r="G5" s="153"/>
      <c r="H5" s="153"/>
      <c r="I5" s="153"/>
      <c r="J5" s="153"/>
    </row>
    <row r="6" spans="2:10" x14ac:dyDescent="0.35">
      <c r="B6" s="150"/>
      <c r="C6" s="150" t="s">
        <v>307</v>
      </c>
      <c r="D6">
        <v>0.337276260103473</v>
      </c>
      <c r="E6" s="154">
        <v>0.54469999999999996</v>
      </c>
      <c r="F6" s="154">
        <v>0.1298</v>
      </c>
      <c r="G6" s="154">
        <v>0.337276260103473</v>
      </c>
      <c r="H6">
        <v>0.337276260103473</v>
      </c>
      <c r="I6">
        <v>0.337276260103473</v>
      </c>
      <c r="J6">
        <v>0.337276260103473</v>
      </c>
    </row>
    <row r="7" spans="2:10" x14ac:dyDescent="0.35">
      <c r="B7" s="150"/>
      <c r="C7" s="150" t="s">
        <v>308</v>
      </c>
      <c r="D7">
        <v>0.95521605075971305</v>
      </c>
      <c r="E7">
        <v>0.95521605075971305</v>
      </c>
      <c r="F7">
        <v>0.95521605075971305</v>
      </c>
      <c r="G7">
        <v>0.95521605075971305</v>
      </c>
      <c r="H7" s="154">
        <v>1.2675000000000001</v>
      </c>
      <c r="I7" s="154">
        <v>0.64290000000000003</v>
      </c>
      <c r="J7" s="154">
        <v>0.95521605075971305</v>
      </c>
    </row>
    <row r="8" spans="2:10" x14ac:dyDescent="0.35">
      <c r="B8" s="152" t="s">
        <v>309</v>
      </c>
      <c r="C8" s="152"/>
      <c r="D8" s="153"/>
      <c r="E8" s="153"/>
      <c r="F8" s="153"/>
      <c r="G8" s="153"/>
      <c r="H8" s="153"/>
      <c r="I8" s="153"/>
      <c r="J8" s="153"/>
    </row>
    <row r="9" spans="2:10" ht="15" thickBot="1" x14ac:dyDescent="0.4">
      <c r="B9" s="155"/>
      <c r="C9" s="155" t="s">
        <v>310</v>
      </c>
      <c r="D9" s="156">
        <v>1125.2798149212799</v>
      </c>
      <c r="E9" s="156">
        <v>3862.28169607873</v>
      </c>
      <c r="F9" s="156">
        <v>-1612.41508192128</v>
      </c>
      <c r="G9" s="156">
        <v>1125.2798149212799</v>
      </c>
      <c r="H9" s="156">
        <v>1174.9267171715001</v>
      </c>
      <c r="I9" s="156">
        <v>1075.6278091715001</v>
      </c>
      <c r="J9" s="156">
        <v>1125.2798149212799</v>
      </c>
    </row>
    <row r="10" spans="2:10" x14ac:dyDescent="0.35">
      <c r="B10" t="s">
        <v>311</v>
      </c>
    </row>
    <row r="11" spans="2:10" x14ac:dyDescent="0.35">
      <c r="B11" t="s">
        <v>312</v>
      </c>
    </row>
    <row r="12" spans="2:10" x14ac:dyDescent="0.35">
      <c r="B12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BD03-19BC-49E4-94F9-721298AD562D}">
  <dimension ref="B1:G12"/>
  <sheetViews>
    <sheetView workbookViewId="0">
      <selection activeCell="I4" sqref="I4"/>
    </sheetView>
  </sheetViews>
  <sheetFormatPr defaultRowHeight="14.5" x14ac:dyDescent="0.35"/>
  <sheetData>
    <row r="1" spans="2:7" ht="15" thickBot="1" x14ac:dyDescent="0.4"/>
    <row r="2" spans="2:7" x14ac:dyDescent="0.35">
      <c r="B2" s="146" t="s">
        <v>297</v>
      </c>
      <c r="C2" s="146"/>
      <c r="D2" s="147"/>
      <c r="E2" s="147"/>
      <c r="F2" s="147"/>
      <c r="G2" s="147"/>
    </row>
    <row r="3" spans="2:7" x14ac:dyDescent="0.35">
      <c r="B3" s="148"/>
      <c r="C3" s="148"/>
      <c r="D3" s="149" t="s">
        <v>298</v>
      </c>
      <c r="E3" s="149" t="s">
        <v>299</v>
      </c>
      <c r="F3" s="149" t="s">
        <v>301</v>
      </c>
      <c r="G3" s="149" t="s">
        <v>314</v>
      </c>
    </row>
    <row r="4" spans="2:7" ht="63" x14ac:dyDescent="0.35">
      <c r="B4" s="150"/>
      <c r="C4" s="150"/>
      <c r="E4" s="151" t="s">
        <v>315</v>
      </c>
      <c r="F4" s="151" t="s">
        <v>315</v>
      </c>
      <c r="G4" s="151" t="s">
        <v>305</v>
      </c>
    </row>
    <row r="5" spans="2:7" x14ac:dyDescent="0.35">
      <c r="B5" s="152" t="s">
        <v>306</v>
      </c>
      <c r="C5" s="152"/>
      <c r="D5" s="153"/>
      <c r="E5" s="153"/>
      <c r="F5" s="153"/>
      <c r="G5" s="153"/>
    </row>
    <row r="6" spans="2:7" x14ac:dyDescent="0.35">
      <c r="B6" s="150"/>
      <c r="C6" s="150" t="s">
        <v>307</v>
      </c>
      <c r="D6" s="157">
        <v>0.337276260103473</v>
      </c>
      <c r="E6" s="158">
        <v>0.54469999999999996</v>
      </c>
      <c r="F6" s="158">
        <v>0.337276260103473</v>
      </c>
      <c r="G6" s="158">
        <v>0.1298</v>
      </c>
    </row>
    <row r="7" spans="2:7" x14ac:dyDescent="0.35">
      <c r="B7" s="150"/>
      <c r="C7" s="150" t="s">
        <v>308</v>
      </c>
      <c r="D7" s="157">
        <v>0.95521605075971305</v>
      </c>
      <c r="E7" s="158">
        <v>1.2675000000000001</v>
      </c>
      <c r="F7" s="158">
        <v>0.95521605075971305</v>
      </c>
      <c r="G7" s="158">
        <v>0.64290000000000003</v>
      </c>
    </row>
    <row r="8" spans="2:7" x14ac:dyDescent="0.35">
      <c r="B8" s="152" t="s">
        <v>309</v>
      </c>
      <c r="C8" s="152"/>
      <c r="D8" s="153"/>
      <c r="E8" s="153"/>
      <c r="F8" s="153"/>
      <c r="G8" s="153"/>
    </row>
    <row r="9" spans="2:7" ht="15" thickBot="1" x14ac:dyDescent="0.4">
      <c r="B9" s="155"/>
      <c r="C9" s="155" t="s">
        <v>310</v>
      </c>
      <c r="D9" s="156">
        <v>1125.2798149212799</v>
      </c>
      <c r="E9" s="156">
        <v>3911.9285983289501</v>
      </c>
      <c r="F9" s="156">
        <v>1125.2798149212799</v>
      </c>
      <c r="G9" s="156">
        <v>-1662.0670876710501</v>
      </c>
    </row>
    <row r="10" spans="2:7" x14ac:dyDescent="0.35">
      <c r="B10" t="s">
        <v>311</v>
      </c>
    </row>
    <row r="11" spans="2:7" x14ac:dyDescent="0.35">
      <c r="B11" t="s">
        <v>312</v>
      </c>
    </row>
    <row r="12" spans="2:7" x14ac:dyDescent="0.35">
      <c r="B12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8404-BFFA-4023-89C9-8F1E974F14D9}">
  <dimension ref="A1:J41"/>
  <sheetViews>
    <sheetView topLeftCell="A3" workbookViewId="0">
      <selection activeCell="L5" sqref="L5"/>
    </sheetView>
  </sheetViews>
  <sheetFormatPr defaultRowHeight="14.5" x14ac:dyDescent="0.35"/>
  <cols>
    <col min="2" max="6" width="9" bestFit="1" customWidth="1"/>
    <col min="7" max="10" width="8.08984375" bestFit="1" customWidth="1"/>
  </cols>
  <sheetData>
    <row r="1" spans="1:10" x14ac:dyDescent="0.35">
      <c r="A1" s="132" t="s">
        <v>66</v>
      </c>
      <c r="B1" s="133"/>
      <c r="C1" s="133"/>
      <c r="D1" s="133"/>
      <c r="E1" s="133"/>
      <c r="F1" s="133"/>
      <c r="G1" s="133"/>
      <c r="H1" s="133"/>
      <c r="I1" s="133"/>
      <c r="J1" s="134"/>
    </row>
    <row r="2" spans="1:10" x14ac:dyDescent="0.35">
      <c r="A2" s="1" t="s">
        <v>1</v>
      </c>
      <c r="B2" s="1">
        <v>202003</v>
      </c>
      <c r="C2" s="1">
        <v>202103</v>
      </c>
      <c r="D2" s="1">
        <v>202203</v>
      </c>
      <c r="E2" s="1">
        <v>202303</v>
      </c>
      <c r="F2" s="1">
        <v>202403</v>
      </c>
      <c r="G2" t="s">
        <v>43</v>
      </c>
      <c r="H2" t="s">
        <v>44</v>
      </c>
      <c r="I2" t="s">
        <v>45</v>
      </c>
      <c r="J2" t="s">
        <v>46</v>
      </c>
    </row>
    <row r="3" spans="1:10" ht="39.5" x14ac:dyDescent="0.35">
      <c r="A3" s="2" t="s">
        <v>67</v>
      </c>
      <c r="B3" s="3"/>
      <c r="C3" s="3"/>
      <c r="D3" s="3"/>
      <c r="E3" s="3"/>
      <c r="F3" s="3"/>
    </row>
    <row r="4" spans="1:10" ht="26.5" x14ac:dyDescent="0.35">
      <c r="A4" s="2" t="s">
        <v>68</v>
      </c>
      <c r="B4" s="2">
        <v>301</v>
      </c>
      <c r="C4" s="2">
        <v>302</v>
      </c>
      <c r="D4" s="2">
        <v>301</v>
      </c>
      <c r="E4" s="2">
        <v>301</v>
      </c>
      <c r="F4" s="2">
        <v>305</v>
      </c>
      <c r="G4">
        <f>(C4-B4)/B4*100</f>
        <v>0.33222591362126247</v>
      </c>
      <c r="H4">
        <f t="shared" ref="H4:J4" si="0">(D4-C4)/C4*100</f>
        <v>-0.33112582781456956</v>
      </c>
      <c r="I4">
        <f t="shared" si="0"/>
        <v>0</v>
      </c>
      <c r="J4">
        <f t="shared" si="0"/>
        <v>1.3289036544850499</v>
      </c>
    </row>
    <row r="5" spans="1:10" ht="26.5" x14ac:dyDescent="0.35">
      <c r="A5" s="2" t="s">
        <v>69</v>
      </c>
      <c r="B5" s="4">
        <v>38061</v>
      </c>
      <c r="C5" s="4">
        <v>46675</v>
      </c>
      <c r="D5" s="4">
        <v>63200</v>
      </c>
      <c r="E5" s="4">
        <v>63358</v>
      </c>
      <c r="F5" s="4">
        <v>74978</v>
      </c>
      <c r="G5">
        <f t="shared" ref="G5:G41" si="1">(C5-B5)/B5*100</f>
        <v>22.632090591419036</v>
      </c>
      <c r="H5">
        <f t="shared" ref="H5:H41" si="2">(D5-C5)/C5*100</f>
        <v>35.404392072844139</v>
      </c>
      <c r="I5">
        <f t="shared" ref="I5:I41" si="3">(E5-D5)/D5*100</f>
        <v>0.25</v>
      </c>
      <c r="J5">
        <f t="shared" ref="J5:J41" si="4">(F5-E5)/E5*100</f>
        <v>18.340225385902333</v>
      </c>
    </row>
    <row r="6" spans="1:10" ht="39.5" x14ac:dyDescent="0.35">
      <c r="A6" s="2" t="s">
        <v>70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10" ht="39.5" x14ac:dyDescent="0.35">
      <c r="A7" s="2" t="s">
        <v>71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10" ht="39.5" x14ac:dyDescent="0.35">
      <c r="A8" s="2" t="s">
        <v>72</v>
      </c>
      <c r="B8" s="4">
        <v>38362</v>
      </c>
      <c r="C8" s="4">
        <v>46977</v>
      </c>
      <c r="D8" s="4">
        <v>63501</v>
      </c>
      <c r="E8" s="4">
        <v>63659</v>
      </c>
      <c r="F8" s="4">
        <v>75283</v>
      </c>
      <c r="G8">
        <f t="shared" si="1"/>
        <v>22.457119024034199</v>
      </c>
      <c r="H8">
        <f t="shared" si="2"/>
        <v>35.174659939970624</v>
      </c>
      <c r="I8">
        <f t="shared" si="3"/>
        <v>0.24881497929166471</v>
      </c>
      <c r="J8">
        <f t="shared" si="4"/>
        <v>18.259790445969934</v>
      </c>
    </row>
    <row r="9" spans="1:10" ht="26.5" x14ac:dyDescent="0.35">
      <c r="A9" s="2" t="s">
        <v>73</v>
      </c>
      <c r="B9" s="4">
        <v>21852</v>
      </c>
      <c r="C9" s="4">
        <v>24257</v>
      </c>
      <c r="D9" s="4">
        <v>18631</v>
      </c>
      <c r="E9" s="4">
        <v>24124</v>
      </c>
      <c r="F9" s="4">
        <v>24435</v>
      </c>
      <c r="G9">
        <f t="shared" si="1"/>
        <v>11.005857587406187</v>
      </c>
      <c r="H9">
        <f t="shared" si="2"/>
        <v>-23.193305025353506</v>
      </c>
      <c r="I9">
        <f t="shared" si="3"/>
        <v>29.48311953196286</v>
      </c>
      <c r="J9">
        <f t="shared" si="4"/>
        <v>1.2891726081910131</v>
      </c>
    </row>
    <row r="10" spans="1:10" ht="26.5" x14ac:dyDescent="0.35">
      <c r="A10" s="2" t="s">
        <v>74</v>
      </c>
      <c r="B10" s="4">
        <v>32858</v>
      </c>
      <c r="C10" s="4">
        <v>30705</v>
      </c>
      <c r="D10" s="4">
        <v>34555</v>
      </c>
      <c r="E10" s="4">
        <v>33079</v>
      </c>
      <c r="F10" s="4">
        <v>36745</v>
      </c>
      <c r="G10">
        <f t="shared" si="1"/>
        <v>-6.5524377624931516</v>
      </c>
      <c r="H10">
        <f t="shared" si="2"/>
        <v>12.538674482983229</v>
      </c>
      <c r="I10">
        <f t="shared" si="3"/>
        <v>-4.2714513095065838</v>
      </c>
      <c r="J10">
        <f t="shared" si="4"/>
        <v>11.082559932283322</v>
      </c>
    </row>
    <row r="11" spans="1:10" ht="26.5" x14ac:dyDescent="0.35">
      <c r="A11" s="2" t="s">
        <v>75</v>
      </c>
      <c r="B11" s="4">
        <v>54710</v>
      </c>
      <c r="C11" s="4">
        <v>54962</v>
      </c>
      <c r="D11" s="4">
        <v>53186</v>
      </c>
      <c r="E11" s="4">
        <v>57203</v>
      </c>
      <c r="F11" s="4">
        <v>61180</v>
      </c>
      <c r="G11">
        <f t="shared" si="1"/>
        <v>0.46061049168342166</v>
      </c>
      <c r="H11">
        <f t="shared" si="2"/>
        <v>-3.231323459844984</v>
      </c>
      <c r="I11">
        <f t="shared" si="3"/>
        <v>7.5527394427104877</v>
      </c>
      <c r="J11">
        <f t="shared" si="4"/>
        <v>6.9524325647256262</v>
      </c>
    </row>
    <row r="12" spans="1:10" ht="26.5" x14ac:dyDescent="0.35">
      <c r="A12" s="2" t="s">
        <v>76</v>
      </c>
      <c r="B12" s="4">
        <v>4808</v>
      </c>
      <c r="C12" s="4">
        <v>4156</v>
      </c>
      <c r="D12" s="4">
        <v>3357</v>
      </c>
      <c r="E12" s="4">
        <v>2458</v>
      </c>
      <c r="F12" s="4">
        <v>2166</v>
      </c>
      <c r="G12">
        <f t="shared" si="1"/>
        <v>-13.560732113144757</v>
      </c>
      <c r="H12">
        <f t="shared" si="2"/>
        <v>-19.225216554379209</v>
      </c>
      <c r="I12">
        <f t="shared" si="3"/>
        <v>-26.779862972892467</v>
      </c>
      <c r="J12">
        <f t="shared" si="4"/>
        <v>-11.879576891781937</v>
      </c>
    </row>
    <row r="13" spans="1:10" ht="26.5" x14ac:dyDescent="0.35">
      <c r="A13" s="2" t="s">
        <v>77</v>
      </c>
      <c r="B13" s="4">
        <v>97880</v>
      </c>
      <c r="C13" s="4">
        <v>106095</v>
      </c>
      <c r="D13" s="4">
        <v>120044</v>
      </c>
      <c r="E13" s="4">
        <v>123320</v>
      </c>
      <c r="F13" s="4">
        <v>138629</v>
      </c>
      <c r="G13">
        <f t="shared" si="1"/>
        <v>8.3929301185124636</v>
      </c>
      <c r="H13">
        <f t="shared" si="2"/>
        <v>13.147650690418963</v>
      </c>
      <c r="I13">
        <f t="shared" si="3"/>
        <v>2.7289993668988037</v>
      </c>
      <c r="J13">
        <f t="shared" si="4"/>
        <v>12.414044761595848</v>
      </c>
    </row>
    <row r="14" spans="1:10" ht="39.5" x14ac:dyDescent="0.35">
      <c r="A14" s="2" t="s">
        <v>78</v>
      </c>
      <c r="B14" s="3"/>
      <c r="C14" s="3"/>
      <c r="D14" s="3"/>
      <c r="E14" s="3"/>
      <c r="F14" s="3"/>
      <c r="G14" t="e">
        <f t="shared" si="1"/>
        <v>#DIV/0!</v>
      </c>
      <c r="H14" t="e">
        <f t="shared" si="2"/>
        <v>#DIV/0!</v>
      </c>
      <c r="I14" t="e">
        <f t="shared" si="3"/>
        <v>#DIV/0!</v>
      </c>
      <c r="J14" t="e">
        <f t="shared" si="4"/>
        <v>#DIV/0!</v>
      </c>
    </row>
    <row r="15" spans="1:10" ht="26.5" x14ac:dyDescent="0.35">
      <c r="A15" s="2" t="s">
        <v>79</v>
      </c>
      <c r="B15" s="4">
        <v>64175</v>
      </c>
      <c r="C15" s="4">
        <v>68371</v>
      </c>
      <c r="D15" s="4">
        <v>91762</v>
      </c>
      <c r="E15" s="4">
        <v>99453</v>
      </c>
      <c r="F15" s="4">
        <v>108780</v>
      </c>
      <c r="G15">
        <f t="shared" si="1"/>
        <v>6.5383716400467478</v>
      </c>
      <c r="H15">
        <f t="shared" si="2"/>
        <v>34.211873455119864</v>
      </c>
      <c r="I15">
        <f t="shared" si="3"/>
        <v>8.3814650944835556</v>
      </c>
      <c r="J15">
        <f t="shared" si="4"/>
        <v>9.37829929715544</v>
      </c>
    </row>
    <row r="16" spans="1:10" ht="65.5" x14ac:dyDescent="0.35">
      <c r="A16" s="2" t="s">
        <v>80</v>
      </c>
      <c r="B16" s="4">
        <v>13633</v>
      </c>
      <c r="C16" s="4">
        <v>16429</v>
      </c>
      <c r="D16" s="4">
        <v>20116</v>
      </c>
      <c r="E16" s="4">
        <v>24397</v>
      </c>
      <c r="F16" s="4">
        <v>29194</v>
      </c>
      <c r="G16">
        <f t="shared" si="1"/>
        <v>20.50905890119563</v>
      </c>
      <c r="H16">
        <f t="shared" si="2"/>
        <v>22.442023251567349</v>
      </c>
      <c r="I16">
        <f t="shared" si="3"/>
        <v>21.281566911910918</v>
      </c>
      <c r="J16">
        <f t="shared" si="4"/>
        <v>19.662253555765052</v>
      </c>
    </row>
    <row r="17" spans="1:10" ht="39.5" x14ac:dyDescent="0.35">
      <c r="A17" s="2" t="s">
        <v>81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t="e">
        <f t="shared" si="1"/>
        <v>#DIV/0!</v>
      </c>
      <c r="H17" t="e">
        <f t="shared" si="2"/>
        <v>#DIV/0!</v>
      </c>
      <c r="I17" t="e">
        <f t="shared" si="3"/>
        <v>#DIV/0!</v>
      </c>
      <c r="J17" t="e">
        <f t="shared" si="4"/>
        <v>#DIV/0!</v>
      </c>
    </row>
    <row r="18" spans="1:10" x14ac:dyDescent="0.35">
      <c r="A18" s="2" t="s">
        <v>82</v>
      </c>
      <c r="B18" s="4">
        <v>50542</v>
      </c>
      <c r="C18" s="4">
        <v>51942</v>
      </c>
      <c r="D18" s="4">
        <v>71646</v>
      </c>
      <c r="E18" s="4">
        <v>75056</v>
      </c>
      <c r="F18" s="4">
        <v>79586</v>
      </c>
      <c r="G18">
        <f t="shared" si="1"/>
        <v>2.7699734873966206</v>
      </c>
      <c r="H18">
        <f t="shared" si="2"/>
        <v>37.934619383158136</v>
      </c>
      <c r="I18">
        <f t="shared" si="3"/>
        <v>4.7595120453340032</v>
      </c>
      <c r="J18">
        <f t="shared" si="4"/>
        <v>6.0354934981880195</v>
      </c>
    </row>
    <row r="19" spans="1:10" ht="39.5" x14ac:dyDescent="0.35">
      <c r="A19" s="2" t="s">
        <v>83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t="e">
        <f t="shared" si="1"/>
        <v>#DIV/0!</v>
      </c>
      <c r="H19" t="e">
        <f t="shared" si="2"/>
        <v>#DIV/0!</v>
      </c>
      <c r="I19" t="e">
        <f t="shared" si="3"/>
        <v>#DIV/0!</v>
      </c>
      <c r="J19" t="e">
        <f t="shared" si="4"/>
        <v>#DIV/0!</v>
      </c>
    </row>
    <row r="20" spans="1:10" ht="39.5" x14ac:dyDescent="0.35">
      <c r="A20" s="2" t="s">
        <v>84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t="e">
        <f t="shared" si="1"/>
        <v>#DIV/0!</v>
      </c>
      <c r="H20" t="e">
        <f t="shared" si="2"/>
        <v>#DIV/0!</v>
      </c>
      <c r="I20" t="e">
        <f t="shared" si="3"/>
        <v>#DIV/0!</v>
      </c>
      <c r="J20" t="e">
        <f t="shared" si="4"/>
        <v>#DIV/0!</v>
      </c>
    </row>
    <row r="21" spans="1:10" ht="39.5" x14ac:dyDescent="0.35">
      <c r="A21" s="2" t="s">
        <v>85</v>
      </c>
      <c r="B21" s="4">
        <v>24141</v>
      </c>
      <c r="C21" s="4">
        <v>29042</v>
      </c>
      <c r="D21" s="4">
        <v>12599</v>
      </c>
      <c r="E21" s="4">
        <v>10506</v>
      </c>
      <c r="F21" s="4">
        <v>10856</v>
      </c>
      <c r="G21">
        <f t="shared" si="1"/>
        <v>20.301561658589122</v>
      </c>
      <c r="H21">
        <f t="shared" si="2"/>
        <v>-56.618001515047176</v>
      </c>
      <c r="I21">
        <f t="shared" si="3"/>
        <v>-16.612429557901422</v>
      </c>
      <c r="J21">
        <f t="shared" si="4"/>
        <v>3.3314296592423376</v>
      </c>
    </row>
    <row r="22" spans="1:10" ht="26.5" x14ac:dyDescent="0.35">
      <c r="A22" s="2" t="s">
        <v>86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t="e">
        <f t="shared" si="1"/>
        <v>#DIV/0!</v>
      </c>
      <c r="H22" t="e">
        <f t="shared" si="2"/>
        <v>#DIV/0!</v>
      </c>
      <c r="I22" t="e">
        <f t="shared" si="3"/>
        <v>#DIV/0!</v>
      </c>
      <c r="J22" t="e">
        <f t="shared" si="4"/>
        <v>#DIV/0!</v>
      </c>
    </row>
    <row r="23" spans="1:10" ht="26.5" x14ac:dyDescent="0.35">
      <c r="A23" s="2" t="s">
        <v>87</v>
      </c>
      <c r="B23" s="4">
        <v>5999</v>
      </c>
      <c r="C23" s="4">
        <v>12458</v>
      </c>
      <c r="D23" s="4">
        <v>18028</v>
      </c>
      <c r="E23" s="4">
        <v>24320</v>
      </c>
      <c r="F23" s="4">
        <v>30141</v>
      </c>
      <c r="G23">
        <f t="shared" si="1"/>
        <v>107.66794465744292</v>
      </c>
      <c r="H23">
        <f t="shared" si="2"/>
        <v>44.710226360571518</v>
      </c>
      <c r="I23">
        <f t="shared" si="3"/>
        <v>34.901264699356553</v>
      </c>
      <c r="J23">
        <f t="shared" si="4"/>
        <v>23.935032894736842</v>
      </c>
    </row>
    <row r="24" spans="1:10" ht="52.5" x14ac:dyDescent="0.35">
      <c r="A24" s="2" t="s">
        <v>88</v>
      </c>
      <c r="B24" s="3"/>
      <c r="C24" s="3"/>
      <c r="D24" s="3"/>
      <c r="E24" s="3"/>
      <c r="F24" s="3"/>
      <c r="G24" t="e">
        <f t="shared" si="1"/>
        <v>#DIV/0!</v>
      </c>
      <c r="H24" t="e">
        <f t="shared" si="2"/>
        <v>#DIV/0!</v>
      </c>
      <c r="I24" t="e">
        <f t="shared" si="3"/>
        <v>#DIV/0!</v>
      </c>
      <c r="J24" t="e">
        <f t="shared" si="4"/>
        <v>#DIV/0!</v>
      </c>
    </row>
    <row r="25" spans="1:10" ht="26.5" x14ac:dyDescent="0.35">
      <c r="A25" s="2" t="s">
        <v>89</v>
      </c>
      <c r="B25" s="4">
        <v>9623</v>
      </c>
      <c r="C25" s="4">
        <v>10692</v>
      </c>
      <c r="D25" s="4">
        <v>21028</v>
      </c>
      <c r="E25" s="4">
        <v>19517</v>
      </c>
      <c r="F25" s="4">
        <v>23234</v>
      </c>
      <c r="G25">
        <f t="shared" si="1"/>
        <v>11.108801828951471</v>
      </c>
      <c r="H25">
        <f t="shared" si="2"/>
        <v>96.67040778151889</v>
      </c>
      <c r="I25">
        <f t="shared" si="3"/>
        <v>-7.1856572189461678</v>
      </c>
      <c r="J25">
        <f t="shared" si="4"/>
        <v>19.044935184710766</v>
      </c>
    </row>
    <row r="26" spans="1:10" ht="26.5" x14ac:dyDescent="0.35">
      <c r="A26" s="2" t="s">
        <v>90</v>
      </c>
      <c r="B26" s="4">
        <v>3166</v>
      </c>
      <c r="C26" s="4">
        <v>3333</v>
      </c>
      <c r="D26" s="4">
        <v>6146</v>
      </c>
      <c r="E26" s="4">
        <v>6000</v>
      </c>
      <c r="F26" s="4">
        <v>6498</v>
      </c>
      <c r="G26">
        <f t="shared" si="1"/>
        <v>5.2747946936197092</v>
      </c>
      <c r="H26">
        <f t="shared" si="2"/>
        <v>84.398439843984391</v>
      </c>
      <c r="I26">
        <f t="shared" si="3"/>
        <v>-2.3755287992190044</v>
      </c>
      <c r="J26">
        <f t="shared" si="4"/>
        <v>8.3000000000000007</v>
      </c>
    </row>
    <row r="27" spans="1:10" ht="26.5" x14ac:dyDescent="0.35">
      <c r="A27" s="2" t="s">
        <v>91</v>
      </c>
      <c r="B27" s="4">
        <v>11401</v>
      </c>
      <c r="C27" s="4">
        <v>11746</v>
      </c>
      <c r="D27" s="4">
        <v>15527</v>
      </c>
      <c r="E27" s="4">
        <v>18716</v>
      </c>
      <c r="F27" s="4">
        <v>8129</v>
      </c>
      <c r="G27">
        <f t="shared" si="1"/>
        <v>3.0260503464608366</v>
      </c>
      <c r="H27">
        <f t="shared" si="2"/>
        <v>32.189681593734036</v>
      </c>
      <c r="I27">
        <f t="shared" si="3"/>
        <v>20.538416951117409</v>
      </c>
      <c r="J27">
        <f t="shared" si="4"/>
        <v>-56.566574054285098</v>
      </c>
    </row>
    <row r="28" spans="1:10" ht="39.5" x14ac:dyDescent="0.35">
      <c r="A28" s="2" t="s">
        <v>92</v>
      </c>
      <c r="B28" s="4">
        <v>5185</v>
      </c>
      <c r="C28" s="4">
        <v>3932</v>
      </c>
      <c r="D28" s="4">
        <v>4784</v>
      </c>
      <c r="E28" s="4">
        <v>4911</v>
      </c>
      <c r="F28" s="4">
        <v>5233</v>
      </c>
      <c r="G28">
        <f t="shared" si="1"/>
        <v>-24.16586306653809</v>
      </c>
      <c r="H28">
        <f t="shared" si="2"/>
        <v>21.668362156663274</v>
      </c>
      <c r="I28">
        <f t="shared" si="3"/>
        <v>2.6546822742474916</v>
      </c>
      <c r="J28">
        <f t="shared" si="4"/>
        <v>6.5567094278151092</v>
      </c>
    </row>
    <row r="29" spans="1:10" ht="39.5" x14ac:dyDescent="0.35">
      <c r="A29" s="2" t="s">
        <v>93</v>
      </c>
      <c r="B29" s="4">
        <v>29375</v>
      </c>
      <c r="C29" s="4">
        <v>29703</v>
      </c>
      <c r="D29" s="4">
        <v>47485</v>
      </c>
      <c r="E29" s="4">
        <v>49144</v>
      </c>
      <c r="F29" s="4">
        <v>43094</v>
      </c>
      <c r="G29">
        <f t="shared" si="1"/>
        <v>1.116595744680851</v>
      </c>
      <c r="H29">
        <f t="shared" si="2"/>
        <v>59.866006800659868</v>
      </c>
      <c r="I29">
        <f t="shared" si="3"/>
        <v>3.49373486364115</v>
      </c>
      <c r="J29">
        <f t="shared" si="4"/>
        <v>-12.310760214878725</v>
      </c>
    </row>
    <row r="30" spans="1:10" ht="65.5" x14ac:dyDescent="0.35">
      <c r="A30" s="2" t="s">
        <v>94</v>
      </c>
      <c r="B30" s="3"/>
      <c r="C30" s="3"/>
      <c r="D30" s="3"/>
      <c r="E30" s="3"/>
      <c r="F30" s="3"/>
      <c r="G30" t="e">
        <f t="shared" si="1"/>
        <v>#DIV/0!</v>
      </c>
      <c r="H30" t="e">
        <f t="shared" si="2"/>
        <v>#DIV/0!</v>
      </c>
      <c r="I30" t="e">
        <f t="shared" si="3"/>
        <v>#DIV/0!</v>
      </c>
      <c r="J30" t="e">
        <f t="shared" si="4"/>
        <v>#DIV/0!</v>
      </c>
    </row>
    <row r="31" spans="1:10" ht="26.5" x14ac:dyDescent="0.35">
      <c r="A31" s="2" t="s">
        <v>95</v>
      </c>
      <c r="B31" s="4">
        <v>22664</v>
      </c>
      <c r="C31" s="4">
        <v>23262</v>
      </c>
      <c r="D31" s="4">
        <v>35279</v>
      </c>
      <c r="E31" s="4">
        <v>40532</v>
      </c>
      <c r="F31" s="4">
        <v>36767</v>
      </c>
      <c r="G31">
        <f t="shared" si="1"/>
        <v>2.6385457112601483</v>
      </c>
      <c r="H31">
        <f t="shared" si="2"/>
        <v>51.659358610609573</v>
      </c>
      <c r="I31">
        <f t="shared" si="3"/>
        <v>14.889877831004281</v>
      </c>
      <c r="J31">
        <f t="shared" si="4"/>
        <v>-9.2889568735813679</v>
      </c>
    </row>
    <row r="32" spans="1:10" ht="26.5" x14ac:dyDescent="0.35">
      <c r="A32" s="2" t="s">
        <v>96</v>
      </c>
      <c r="B32" s="2">
        <v>183</v>
      </c>
      <c r="C32" s="2">
        <v>780</v>
      </c>
      <c r="D32" s="2">
        <v>612</v>
      </c>
      <c r="E32" s="4">
        <v>1529</v>
      </c>
      <c r="F32" s="2">
        <v>722</v>
      </c>
      <c r="G32">
        <f t="shared" si="1"/>
        <v>326.22950819672127</v>
      </c>
      <c r="H32">
        <f t="shared" si="2"/>
        <v>-21.53846153846154</v>
      </c>
      <c r="I32">
        <f t="shared" si="3"/>
        <v>149.83660130718954</v>
      </c>
      <c r="J32">
        <f t="shared" si="4"/>
        <v>-52.779594506213215</v>
      </c>
    </row>
    <row r="33" spans="1:10" ht="39.5" x14ac:dyDescent="0.35">
      <c r="A33" s="2" t="s">
        <v>97</v>
      </c>
      <c r="B33" s="4">
        <v>22847</v>
      </c>
      <c r="C33" s="4">
        <v>24042</v>
      </c>
      <c r="D33" s="4">
        <v>35891</v>
      </c>
      <c r="E33" s="4">
        <v>42061</v>
      </c>
      <c r="F33" s="4">
        <v>37489</v>
      </c>
      <c r="G33">
        <f t="shared" si="1"/>
        <v>5.230446010417122</v>
      </c>
      <c r="H33">
        <f t="shared" si="2"/>
        <v>49.284585309042512</v>
      </c>
      <c r="I33">
        <f t="shared" si="3"/>
        <v>17.190939232676715</v>
      </c>
      <c r="J33">
        <f t="shared" si="4"/>
        <v>-10.869927010770072</v>
      </c>
    </row>
    <row r="34" spans="1:10" ht="39.5" x14ac:dyDescent="0.35">
      <c r="A34" s="2" t="s">
        <v>98</v>
      </c>
      <c r="B34" s="4">
        <v>6528</v>
      </c>
      <c r="C34" s="4">
        <v>5661</v>
      </c>
      <c r="D34" s="4">
        <v>11594</v>
      </c>
      <c r="E34" s="4">
        <v>7083</v>
      </c>
      <c r="F34" s="4">
        <v>5605</v>
      </c>
      <c r="G34">
        <f t="shared" si="1"/>
        <v>-13.28125</v>
      </c>
      <c r="H34">
        <f t="shared" si="2"/>
        <v>104.8048048048048</v>
      </c>
      <c r="I34">
        <f t="shared" si="3"/>
        <v>-38.90805589097809</v>
      </c>
      <c r="J34">
        <f t="shared" si="4"/>
        <v>-20.866864323026967</v>
      </c>
    </row>
    <row r="35" spans="1:10" ht="78.5" x14ac:dyDescent="0.35">
      <c r="A35" s="2" t="s">
        <v>99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t="e">
        <f t="shared" si="1"/>
        <v>#DIV/0!</v>
      </c>
      <c r="H35" t="e">
        <f t="shared" si="2"/>
        <v>#DIV/0!</v>
      </c>
      <c r="I35" t="e">
        <f t="shared" si="3"/>
        <v>#DIV/0!</v>
      </c>
      <c r="J35" t="e">
        <f t="shared" si="4"/>
        <v>#DIV/0!</v>
      </c>
    </row>
    <row r="36" spans="1:10" ht="26.5" x14ac:dyDescent="0.35">
      <c r="A36" s="2" t="s">
        <v>100</v>
      </c>
      <c r="B36" s="2">
        <v>0</v>
      </c>
      <c r="C36" s="4">
        <v>5458</v>
      </c>
      <c r="D36" s="4">
        <v>3363</v>
      </c>
      <c r="E36" s="4">
        <v>3054</v>
      </c>
      <c r="F36" s="4">
        <v>1695</v>
      </c>
      <c r="G36" t="e">
        <f t="shared" si="1"/>
        <v>#DIV/0!</v>
      </c>
      <c r="H36">
        <f t="shared" si="2"/>
        <v>-38.384023451813853</v>
      </c>
      <c r="I36">
        <f t="shared" si="3"/>
        <v>-9.1882247992863508</v>
      </c>
      <c r="J36">
        <f t="shared" si="4"/>
        <v>-44.49901768172888</v>
      </c>
    </row>
    <row r="37" spans="1:10" ht="39.5" x14ac:dyDescent="0.35">
      <c r="A37" s="2" t="s">
        <v>101</v>
      </c>
      <c r="B37" s="4">
        <v>1315</v>
      </c>
      <c r="C37" s="4">
        <v>8553</v>
      </c>
      <c r="D37" s="4">
        <v>10298</v>
      </c>
      <c r="E37" s="4">
        <v>10514</v>
      </c>
      <c r="F37" s="4">
        <v>11015</v>
      </c>
      <c r="G37">
        <f t="shared" si="1"/>
        <v>550.41825095057038</v>
      </c>
      <c r="H37">
        <f t="shared" si="2"/>
        <v>20.402198059160529</v>
      </c>
      <c r="I37">
        <f t="shared" si="3"/>
        <v>2.097494659157118</v>
      </c>
      <c r="J37">
        <f t="shared" si="4"/>
        <v>4.7650751379113565</v>
      </c>
    </row>
    <row r="38" spans="1:10" ht="39.5" x14ac:dyDescent="0.35">
      <c r="A38" s="2" t="s">
        <v>102</v>
      </c>
      <c r="B38" s="4">
        <v>-1315</v>
      </c>
      <c r="C38" s="4">
        <v>-3095</v>
      </c>
      <c r="D38" s="4">
        <v>-6935</v>
      </c>
      <c r="E38" s="4">
        <v>-7460</v>
      </c>
      <c r="F38" s="4">
        <v>-9320</v>
      </c>
      <c r="G38">
        <f t="shared" si="1"/>
        <v>135.36121673003802</v>
      </c>
      <c r="H38">
        <f t="shared" si="2"/>
        <v>124.07108239095315</v>
      </c>
      <c r="I38">
        <f t="shared" si="3"/>
        <v>7.5702956020187449</v>
      </c>
      <c r="J38">
        <f t="shared" si="4"/>
        <v>24.932975871313673</v>
      </c>
    </row>
    <row r="39" spans="1:10" ht="26.5" x14ac:dyDescent="0.35">
      <c r="A39" s="2" t="s">
        <v>103</v>
      </c>
      <c r="B39" s="4">
        <v>11985</v>
      </c>
      <c r="C39" s="4">
        <v>10087</v>
      </c>
      <c r="D39" s="4">
        <v>13112</v>
      </c>
      <c r="E39" s="4">
        <v>13815</v>
      </c>
      <c r="F39" s="4">
        <v>21761</v>
      </c>
      <c r="G39">
        <f t="shared" si="1"/>
        <v>-15.836462244472257</v>
      </c>
      <c r="H39">
        <f t="shared" si="2"/>
        <v>29.989094874591061</v>
      </c>
      <c r="I39">
        <f t="shared" si="3"/>
        <v>5.36150091519219</v>
      </c>
      <c r="J39">
        <f t="shared" si="4"/>
        <v>57.517191458559537</v>
      </c>
    </row>
    <row r="40" spans="1:10" ht="26.5" x14ac:dyDescent="0.35">
      <c r="A40" s="2" t="s">
        <v>104</v>
      </c>
      <c r="B40" s="4">
        <v>97880</v>
      </c>
      <c r="C40" s="4">
        <v>106095</v>
      </c>
      <c r="D40" s="4">
        <v>120044</v>
      </c>
      <c r="E40" s="4">
        <v>123320</v>
      </c>
      <c r="F40" s="4">
        <v>138629</v>
      </c>
      <c r="G40">
        <f t="shared" si="1"/>
        <v>8.3929301185124636</v>
      </c>
      <c r="H40">
        <f t="shared" si="2"/>
        <v>13.147650690418963</v>
      </c>
      <c r="I40">
        <f t="shared" si="3"/>
        <v>2.7289993668988037</v>
      </c>
      <c r="J40">
        <f t="shared" si="4"/>
        <v>12.414044761595848</v>
      </c>
    </row>
    <row r="41" spans="1:10" ht="39.5" x14ac:dyDescent="0.35">
      <c r="A41" s="2" t="s">
        <v>105</v>
      </c>
      <c r="B41" s="4">
        <v>3474</v>
      </c>
      <c r="C41" s="4">
        <v>3675</v>
      </c>
      <c r="D41" s="4">
        <v>3899</v>
      </c>
      <c r="E41" s="4">
        <v>4105</v>
      </c>
      <c r="F41" s="4">
        <v>3652</v>
      </c>
      <c r="G41">
        <f t="shared" si="1"/>
        <v>5.785837651122625</v>
      </c>
      <c r="H41">
        <f t="shared" si="2"/>
        <v>6.0952380952380949</v>
      </c>
      <c r="I41">
        <f t="shared" si="3"/>
        <v>5.2834060015388564</v>
      </c>
      <c r="J41">
        <f t="shared" si="4"/>
        <v>-11.035322777101095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1E38-B69C-406C-8C23-1E2B7803F7B8}">
  <dimension ref="A1:G34"/>
  <sheetViews>
    <sheetView topLeftCell="A23" zoomScale="76" workbookViewId="0">
      <selection activeCell="B32" sqref="B32:F32"/>
    </sheetView>
  </sheetViews>
  <sheetFormatPr defaultRowHeight="14.5" x14ac:dyDescent="0.35"/>
  <cols>
    <col min="1" max="1" width="84.81640625" bestFit="1" customWidth="1"/>
    <col min="2" max="6" width="13.1796875" bestFit="1" customWidth="1"/>
    <col min="7" max="7" width="8" bestFit="1" customWidth="1"/>
  </cols>
  <sheetData>
    <row r="1" spans="1:7" ht="21" x14ac:dyDescent="0.5">
      <c r="A1" s="29" t="s">
        <v>106</v>
      </c>
      <c r="B1" s="30"/>
      <c r="C1" s="30"/>
      <c r="D1" s="30"/>
      <c r="E1" s="30"/>
      <c r="F1" s="30"/>
      <c r="G1" s="31" t="s">
        <v>107</v>
      </c>
    </row>
    <row r="2" spans="1:7" ht="17.5" x14ac:dyDescent="0.35">
      <c r="A2" s="32" t="s">
        <v>108</v>
      </c>
      <c r="B2" s="32">
        <v>2020</v>
      </c>
      <c r="C2" s="32">
        <v>2021</v>
      </c>
      <c r="D2" s="32">
        <v>2022</v>
      </c>
      <c r="E2" s="32">
        <v>2023</v>
      </c>
      <c r="F2" s="33">
        <v>2024</v>
      </c>
      <c r="G2" s="34"/>
    </row>
    <row r="3" spans="1:7" ht="18" x14ac:dyDescent="0.4">
      <c r="A3" s="35" t="s">
        <v>109</v>
      </c>
      <c r="B3" s="36">
        <f>'BALANCE SHEET'!B11/'BALANCE SHEET'!B8</f>
        <v>1.4261508784734893</v>
      </c>
      <c r="C3" s="36">
        <f>'BALANCE SHEET'!C11/'BALANCE SHEET'!C8</f>
        <v>1.1699767971560551</v>
      </c>
      <c r="D3" s="36">
        <f>'BALANCE SHEET'!D11/'BALANCE SHEET'!D8</f>
        <v>0.83756161320294165</v>
      </c>
      <c r="E3" s="36">
        <f>'BALANCE SHEET'!E11/'BALANCE SHEET'!E8</f>
        <v>0.89858464631866664</v>
      </c>
      <c r="F3" s="36">
        <f>'BALANCE SHEET'!F11/'BALANCE SHEET'!F8</f>
        <v>0.81266687034257401</v>
      </c>
      <c r="G3" s="34"/>
    </row>
    <row r="4" spans="1:7" ht="18" x14ac:dyDescent="0.4">
      <c r="A4" s="35" t="s">
        <v>110</v>
      </c>
      <c r="B4" s="36">
        <f>'BALANCE SHEET'!B11/'BALANCE SHEET'!B40</f>
        <v>0.55894973436861461</v>
      </c>
      <c r="C4" s="36">
        <f>'BALANCE SHEET'!C11/'BALANCE SHEET'!C40</f>
        <v>0.51804514821622127</v>
      </c>
      <c r="D4" s="36">
        <f>'BALANCE SHEET'!D11/'BALANCE SHEET'!D40</f>
        <v>0.44305421345506646</v>
      </c>
      <c r="E4" s="36">
        <f>'BALANCE SHEET'!E11/'BALANCE SHEET'!E40</f>
        <v>0.4638582549464807</v>
      </c>
      <c r="F4" s="36">
        <f>'BALANCE SHEET'!F11/'BALANCE SHEET'!F40</f>
        <v>0.4413218013546949</v>
      </c>
      <c r="G4" s="34"/>
    </row>
    <row r="5" spans="1:7" ht="18" x14ac:dyDescent="0.4">
      <c r="A5" s="35" t="s">
        <v>111</v>
      </c>
      <c r="B5" s="36">
        <f>'BALANCE SHEET'!B9/'BALANCE SHEET'!B40</f>
        <v>0.22325296281160606</v>
      </c>
      <c r="C5" s="36">
        <f>'BALANCE SHEET'!C9/'BALANCE SHEET'!C40</f>
        <v>0.2286347141712616</v>
      </c>
      <c r="D5" s="36">
        <f>'BALANCE SHEET'!D9/'BALANCE SHEET'!D40</f>
        <v>0.1552014261437473</v>
      </c>
      <c r="E5" s="36">
        <f>'BALANCE SHEET'!E9/'BALANCE SHEET'!E40</f>
        <v>0.19562114823224133</v>
      </c>
      <c r="F5" s="36">
        <f>'BALANCE SHEET'!F9/'BALANCE SHEET'!F40</f>
        <v>0.17626182111967914</v>
      </c>
      <c r="G5" s="34"/>
    </row>
    <row r="6" spans="1:7" ht="18" x14ac:dyDescent="0.4">
      <c r="A6" s="35" t="s">
        <v>112</v>
      </c>
      <c r="B6" s="36">
        <f>'BALANCE SHEET'!B10/'BALANCE SHEET'!B40</f>
        <v>0.33569677155700856</v>
      </c>
      <c r="C6" s="36">
        <f>'BALANCE SHEET'!C10/'BALANCE SHEET'!C40</f>
        <v>0.2894104340449597</v>
      </c>
      <c r="D6" s="36">
        <f>'BALANCE SHEET'!D10/'BALANCE SHEET'!D40</f>
        <v>0.28785278731131919</v>
      </c>
      <c r="E6" s="36">
        <f>'BALANCE SHEET'!E10/'BALANCE SHEET'!E40</f>
        <v>0.26823710671423939</v>
      </c>
      <c r="F6" s="36">
        <f>'BALANCE SHEET'!F10/'BALANCE SHEET'!F40</f>
        <v>0.26505998023501576</v>
      </c>
      <c r="G6" s="34"/>
    </row>
    <row r="7" spans="1:7" ht="18" x14ac:dyDescent="0.4">
      <c r="A7" s="35" t="s">
        <v>113</v>
      </c>
      <c r="B7" s="36">
        <f>'BALANCE SHEET'!B40/'BALANCE SHEET'!B8</f>
        <v>2.5514832386215525</v>
      </c>
      <c r="C7" s="36">
        <f>'BALANCE SHEET'!C40/'BALANCE SHEET'!C8</f>
        <v>2.2584456223258189</v>
      </c>
      <c r="D7" s="36">
        <f>'BALANCE SHEET'!D40/'BALANCE SHEET'!D8</f>
        <v>1.8904269224106707</v>
      </c>
      <c r="E7" s="36">
        <f>'BALANCE SHEET'!E40/'BALANCE SHEET'!E8</f>
        <v>1.9371966257716897</v>
      </c>
      <c r="F7" s="36">
        <f>'BALANCE SHEET'!F40/'BALANCE SHEET'!F8</f>
        <v>1.8414383061248887</v>
      </c>
      <c r="G7" s="34"/>
    </row>
    <row r="8" spans="1:7" ht="18" x14ac:dyDescent="0.4">
      <c r="A8" s="35" t="s">
        <v>114</v>
      </c>
      <c r="B8" s="37">
        <f>'INCOME STATEMENT '!B19/'INCOME STATEMENT '!B20</f>
        <v>2.9428145201392342</v>
      </c>
      <c r="C8" s="37">
        <f>'INCOME STATEMENT '!C19/'INCOME STATEMENT '!C20</f>
        <v>5.4816269284712487</v>
      </c>
      <c r="D8" s="37">
        <f>'INCOME STATEMENT '!D19/'INCOME STATEMENT '!D20</f>
        <v>8.5931410756040538</v>
      </c>
      <c r="E8" s="37">
        <f>'INCOME STATEMENT '!E19/'INCOME STATEMENT '!E20</f>
        <v>3.3730838144535138</v>
      </c>
      <c r="F8" s="37">
        <f>'INCOME STATEMENT '!F19/'INCOME STATEMENT '!F20</f>
        <v>3.8711525867714474</v>
      </c>
      <c r="G8" s="34"/>
    </row>
    <row r="9" spans="1:7" ht="18" x14ac:dyDescent="0.4">
      <c r="A9" s="38"/>
      <c r="B9" s="39"/>
      <c r="C9" s="39"/>
      <c r="D9" s="39"/>
      <c r="E9" s="39"/>
      <c r="F9" s="39"/>
    </row>
    <row r="10" spans="1:7" ht="18.5" x14ac:dyDescent="0.45">
      <c r="A10" s="40" t="s">
        <v>115</v>
      </c>
      <c r="B10" s="44">
        <f>B2</f>
        <v>2020</v>
      </c>
      <c r="C10" s="44">
        <f t="shared" ref="C10:F10" si="0">C2</f>
        <v>2021</v>
      </c>
      <c r="D10" s="44">
        <f t="shared" si="0"/>
        <v>2022</v>
      </c>
      <c r="E10" s="44">
        <f t="shared" si="0"/>
        <v>2023</v>
      </c>
      <c r="F10" s="44">
        <f t="shared" si="0"/>
        <v>2024</v>
      </c>
      <c r="G10" s="34"/>
    </row>
    <row r="11" spans="1:7" ht="18" x14ac:dyDescent="0.4">
      <c r="A11" s="35" t="s">
        <v>116</v>
      </c>
      <c r="B11" s="36">
        <f>'BALANCE SHEET'!B29/'BALANCE SHEET'!B33</f>
        <v>1.2857267912636232</v>
      </c>
      <c r="C11" s="36">
        <f>'BALANCE SHEET'!C29/'BALANCE SHEET'!C33</f>
        <v>1.2354629398552532</v>
      </c>
      <c r="D11" s="36">
        <f>'BALANCE SHEET'!D29/'BALANCE SHEET'!D33</f>
        <v>1.3230336296007355</v>
      </c>
      <c r="E11" s="36">
        <f>'BALANCE SHEET'!E29/'BALANCE SHEET'!E33</f>
        <v>1.1683982786904734</v>
      </c>
      <c r="F11" s="36">
        <f>'BALANCE SHEET'!F29/'BALANCE SHEET'!F33</f>
        <v>1.1495105230867722</v>
      </c>
      <c r="G11" s="34"/>
    </row>
    <row r="12" spans="1:7" ht="18" x14ac:dyDescent="0.4">
      <c r="A12" s="35" t="s">
        <v>117</v>
      </c>
      <c r="B12" s="36">
        <f>('BALANCE SHEET'!B29-'BALANCE SHEET'!B25)/'BALANCE SHEET'!B33</f>
        <v>0.86453363680133055</v>
      </c>
      <c r="C12" s="36">
        <f>('BALANCE SHEET'!C29-'BALANCE SHEET'!C25)/'BALANCE SHEET'!C33</f>
        <v>0.79074120289493388</v>
      </c>
      <c r="D12" s="36">
        <f>('BALANCE SHEET'!D29-'BALANCE SHEET'!D25)/'BALANCE SHEET'!D33</f>
        <v>0.73714858878270317</v>
      </c>
      <c r="E12" s="36">
        <f>('BALANCE SHEET'!E29-'BALANCE SHEET'!E25)/'BALANCE SHEET'!E33</f>
        <v>0.70438173129502391</v>
      </c>
      <c r="F12" s="36">
        <f>('BALANCE SHEET'!F29-'BALANCE SHEET'!F25)/'BALANCE SHEET'!F33</f>
        <v>0.529755394915842</v>
      </c>
      <c r="G12" s="34"/>
    </row>
    <row r="13" spans="1:7" ht="18" x14ac:dyDescent="0.4">
      <c r="A13" s="35" t="s">
        <v>118</v>
      </c>
      <c r="B13" s="46">
        <f>'BALANCE SHEET'!B27+'BALANCE SHEET'!B31</f>
        <v>34065</v>
      </c>
      <c r="C13" s="46">
        <f>'BALANCE SHEET'!C27+'BALANCE SHEET'!C31</f>
        <v>35008</v>
      </c>
      <c r="D13" s="46">
        <f>'BALANCE SHEET'!D27+'BALANCE SHEET'!D31</f>
        <v>50806</v>
      </c>
      <c r="E13" s="46">
        <f>'BALANCE SHEET'!E27+'BALANCE SHEET'!E31</f>
        <v>59248</v>
      </c>
      <c r="F13" s="46">
        <f>'BALANCE SHEET'!F27+'BALANCE SHEET'!F31</f>
        <v>44896</v>
      </c>
      <c r="G13" s="34"/>
    </row>
    <row r="14" spans="1:7" ht="18" x14ac:dyDescent="0.4">
      <c r="A14" s="35" t="s">
        <v>119</v>
      </c>
      <c r="B14" s="36">
        <f>('BALANCE SHEET'!B29-'BALANCE SHEET'!B25)/'BALANCE SHEET'!B27</f>
        <v>1.732479607052013</v>
      </c>
      <c r="C14" s="36">
        <f>('BALANCE SHEET'!C29-'BALANCE SHEET'!C25)/'BALANCE SHEET'!C27</f>
        <v>1.6185084284011579</v>
      </c>
      <c r="D14" s="36">
        <f>('BALANCE SHEET'!D29-'BALANCE SHEET'!D25)/'BALANCE SHEET'!D27</f>
        <v>1.7039350808269467</v>
      </c>
      <c r="E14" s="36">
        <f>('BALANCE SHEET'!E29-'BALANCE SHEET'!E25)/'BALANCE SHEET'!E27</f>
        <v>1.5829771318657833</v>
      </c>
      <c r="F14" s="36">
        <f>('BALANCE SHEET'!F29-'BALANCE SHEET'!F25)/'BALANCE SHEET'!F27</f>
        <v>2.443104932956083</v>
      </c>
      <c r="G14" s="34"/>
    </row>
    <row r="15" spans="1:7" ht="18" x14ac:dyDescent="0.4">
      <c r="A15" s="35" t="s">
        <v>120</v>
      </c>
      <c r="B15" s="46">
        <f>'BALANCE SHEET'!B29-'BALANCE SHEET'!B33</f>
        <v>6528</v>
      </c>
      <c r="C15" s="46">
        <f>'BALANCE SHEET'!C29-'BALANCE SHEET'!C33</f>
        <v>5661</v>
      </c>
      <c r="D15" s="46">
        <f>'BALANCE SHEET'!D29-'BALANCE SHEET'!D33</f>
        <v>11594</v>
      </c>
      <c r="E15" s="46">
        <f>'BALANCE SHEET'!E29-'BALANCE SHEET'!E33</f>
        <v>7083</v>
      </c>
      <c r="F15" s="46">
        <f>'BALANCE SHEET'!F29-'BALANCE SHEET'!F33</f>
        <v>5605</v>
      </c>
      <c r="G15" s="34"/>
    </row>
    <row r="16" spans="1:7" ht="18" x14ac:dyDescent="0.4">
      <c r="A16" s="35"/>
      <c r="B16" s="36"/>
      <c r="C16" s="36"/>
      <c r="D16" s="36"/>
      <c r="E16" s="36"/>
      <c r="F16" s="36"/>
    </row>
    <row r="17" spans="1:7" ht="17.5" x14ac:dyDescent="0.35">
      <c r="A17" s="40" t="s">
        <v>121</v>
      </c>
      <c r="B17" s="45">
        <f>B10</f>
        <v>2020</v>
      </c>
      <c r="C17" s="45">
        <f t="shared" ref="C17:F17" si="1">C10</f>
        <v>2021</v>
      </c>
      <c r="D17" s="45">
        <f t="shared" si="1"/>
        <v>2022</v>
      </c>
      <c r="E17" s="45">
        <f t="shared" si="1"/>
        <v>2023</v>
      </c>
      <c r="F17" s="45">
        <f t="shared" si="1"/>
        <v>2024</v>
      </c>
      <c r="G17" s="34"/>
    </row>
    <row r="18" spans="1:7" ht="18.5" x14ac:dyDescent="0.45">
      <c r="A18" s="35" t="s">
        <v>122</v>
      </c>
      <c r="B18" s="41">
        <f>'INCOME STATEMENT '!B29/'BALANCE SHEET'!B4</f>
        <v>21.195249169435218</v>
      </c>
      <c r="C18" s="41">
        <f>'INCOME STATEMENT '!C29/'BALANCE SHEET'!C4</f>
        <v>28.739337748344372</v>
      </c>
      <c r="D18" s="41">
        <f>'INCOME STATEMENT '!D29/'BALANCE SHEET'!D4</f>
        <v>57.248538205980068</v>
      </c>
      <c r="E18" s="41">
        <f>'INCOME STATEMENT '!E29/'BALANCE SHEET'!E4</f>
        <v>16.545581395348837</v>
      </c>
      <c r="F18" s="41">
        <f>'INCOME STATEMENT '!F29/'BALANCE SHEET'!F4</f>
        <v>26.65888524590164</v>
      </c>
      <c r="G18" s="34"/>
    </row>
    <row r="19" spans="1:7" ht="18" x14ac:dyDescent="0.4">
      <c r="A19" s="35" t="s">
        <v>123</v>
      </c>
      <c r="B19" s="36">
        <f>'INCOME STATEMENT '!B23/('BALANCE SHEET'!B8+'BALANCE SHEET'!B13)</f>
        <v>3.1502767134951044E-2</v>
      </c>
      <c r="C19" s="36">
        <f>'INCOME STATEMENT '!C23/('BALANCE SHEET'!C8+'BALANCE SHEET'!C13)</f>
        <v>7.9674924218668342E-2</v>
      </c>
      <c r="D19" s="36">
        <f>'INCOME STATEMENT '!D23/('BALANCE SHEET'!D8+'BALANCE SHEET'!D13)</f>
        <v>0.13465362717589691</v>
      </c>
      <c r="E19" s="36">
        <f>'INCOME STATEMENT '!E23/('BALANCE SHEET'!E8+'BALANCE SHEET'!E13)</f>
        <v>3.7266217061809083E-2</v>
      </c>
      <c r="F19" s="36">
        <f>'INCOME STATEMENT '!F23/('BALANCE SHEET'!F8+'BALANCE SHEET'!F13)</f>
        <v>5.6574666217883991E-2</v>
      </c>
      <c r="G19" s="34"/>
    </row>
    <row r="20" spans="1:7" ht="18" x14ac:dyDescent="0.4">
      <c r="A20" s="35" t="s">
        <v>124</v>
      </c>
      <c r="B20" s="36">
        <f>'INCOME STATEMENT '!B23/'BALANCE SHEET'!B40</f>
        <v>4.3849611769513692E-2</v>
      </c>
      <c r="C20" s="36">
        <f>'INCOME STATEMENT '!C23/'BALANCE SHEET'!C40</f>
        <v>0.1149535793392714</v>
      </c>
      <c r="D20" s="36">
        <f>'INCOME STATEMENT '!D23/'BALANCE SHEET'!D40</f>
        <v>0.20588284295758222</v>
      </c>
      <c r="E20" s="36">
        <f>'INCOME STATEMENT '!E23/'BALANCE SHEET'!E40</f>
        <v>5.6503405773597144E-2</v>
      </c>
      <c r="F20" s="36">
        <f>'INCOME STATEMENT '!F23/'BALANCE SHEET'!F40</f>
        <v>8.7297751552705416E-2</v>
      </c>
      <c r="G20" s="34"/>
    </row>
    <row r="21" spans="1:7" ht="18" x14ac:dyDescent="0.4">
      <c r="A21" s="35" t="s">
        <v>125</v>
      </c>
      <c r="B21" s="36">
        <f>'INCOME STATEMENT '!B23/('BALANCE SHEET'!B21+'BALANCE SHEET'!B25+'BALANCE SHEET'!B27)</f>
        <v>9.5029336875899484E-2</v>
      </c>
      <c r="C21" s="36">
        <f>'INCOME STATEMENT '!C23/('BALANCE SHEET'!C21+'BALANCE SHEET'!C25+'BALANCE SHEET'!C27)</f>
        <v>0.23690753690753691</v>
      </c>
      <c r="D21" s="36">
        <f>'INCOME STATEMENT '!D23/('BALANCE SHEET'!D21+'BALANCE SHEET'!D25+'BALANCE SHEET'!D27)</f>
        <v>0.5028075029499125</v>
      </c>
      <c r="E21" s="36">
        <f>'INCOME STATEMENT '!E23/('BALANCE SHEET'!E21+'BALANCE SHEET'!E25+'BALANCE SHEET'!E27)</f>
        <v>0.1429655922361969</v>
      </c>
      <c r="F21" s="36">
        <f>'INCOME STATEMENT '!F23/('BALANCE SHEET'!F21+'BALANCE SHEET'!F25+'BALANCE SHEET'!F27)</f>
        <v>0.28664819157251475</v>
      </c>
      <c r="G21" s="34"/>
    </row>
    <row r="22" spans="1:7" ht="18" x14ac:dyDescent="0.4">
      <c r="A22" s="35"/>
      <c r="B22" s="36"/>
      <c r="C22" s="36"/>
      <c r="D22" s="36"/>
      <c r="E22" s="36"/>
      <c r="F22" s="36"/>
    </row>
    <row r="23" spans="1:7" ht="18" x14ac:dyDescent="0.4">
      <c r="A23" s="35"/>
      <c r="B23" s="36"/>
      <c r="C23" s="36"/>
      <c r="D23" s="36"/>
      <c r="E23" s="36"/>
      <c r="F23" s="36"/>
    </row>
    <row r="24" spans="1:7" ht="17.5" x14ac:dyDescent="0.35">
      <c r="A24" s="42" t="s">
        <v>126</v>
      </c>
      <c r="B24" s="45">
        <f>B17</f>
        <v>2020</v>
      </c>
      <c r="C24" s="45">
        <f t="shared" ref="C24:F24" si="2">C17</f>
        <v>2021</v>
      </c>
      <c r="D24" s="45">
        <f t="shared" si="2"/>
        <v>2022</v>
      </c>
      <c r="E24" s="45">
        <f t="shared" si="2"/>
        <v>2023</v>
      </c>
      <c r="F24" s="45">
        <f t="shared" si="2"/>
        <v>2024</v>
      </c>
      <c r="G24" s="34"/>
    </row>
    <row r="25" spans="1:7" ht="18" x14ac:dyDescent="0.4">
      <c r="A25" s="43" t="s">
        <v>127</v>
      </c>
      <c r="B25" s="36">
        <f>('INCOME STATEMENT '!B11+'INCOME STATEMENT '!B12+'INCOME STATEMENT '!B14)/('BALANCE SHEET'!B25+'BALANCE SHEET'!C25)/2</f>
        <v>1.1763721388136845</v>
      </c>
      <c r="C25" s="36">
        <f>('INCOME STATEMENT '!C11+'INCOME STATEMENT '!C12+'INCOME STATEMENT '!C14)/('BALANCE SHEET'!C25+'BALANCE SHEET'!D25)/2</f>
        <v>0.77537831021437575</v>
      </c>
      <c r="D25" s="36">
        <f>('INCOME STATEMENT '!D11+'INCOME STATEMENT '!D12+'INCOME STATEMENT '!D14)/('BALANCE SHEET'!D25+'BALANCE SHEET'!E25)/2</f>
        <v>1.0581822666173388</v>
      </c>
      <c r="E25" s="36">
        <f>('INCOME STATEMENT '!E11+'INCOME STATEMENT '!E12+'INCOME STATEMENT '!E14)/('BALANCE SHEET'!E25+'BALANCE SHEET'!F25)/2</f>
        <v>1.2964492058665293</v>
      </c>
      <c r="F25" s="36">
        <f>('INCOME STATEMENT '!F11+'INCOME STATEMENT '!F12+'INCOME STATEMENT '!F14)/('BALANCE SHEET'!F25+'BALANCE SHEET'!G25)/2</f>
        <v>2.344987948419976</v>
      </c>
      <c r="G25" s="34"/>
    </row>
    <row r="26" spans="1:7" ht="18" x14ac:dyDescent="0.4">
      <c r="A26" s="35" t="s">
        <v>128</v>
      </c>
      <c r="B26" s="36">
        <f>365/B25</f>
        <v>310.27596451585907</v>
      </c>
      <c r="C26" s="36">
        <f t="shared" ref="C26:F26" si="3">365/C25</f>
        <v>470.73795486887582</v>
      </c>
      <c r="D26" s="36">
        <f t="shared" si="3"/>
        <v>344.93112530300203</v>
      </c>
      <c r="E26" s="36">
        <f t="shared" si="3"/>
        <v>281.53821865781379</v>
      </c>
      <c r="F26" s="36">
        <f t="shared" si="3"/>
        <v>155.65111976201518</v>
      </c>
      <c r="G26" s="34"/>
    </row>
    <row r="27" spans="1:7" ht="18" x14ac:dyDescent="0.4">
      <c r="A27" s="35" t="s">
        <v>129</v>
      </c>
      <c r="B27" s="36">
        <f>'INCOME STATEMENT '!B4/('BALANCE SHEET'!B26+'BALANCE SHEET'!C26/2)</f>
        <v>13.297878944645628</v>
      </c>
      <c r="C27" s="36">
        <f>'INCOME STATEMENT '!C4/('BALANCE SHEET'!C26+'BALANCE SHEET'!D26/2)</f>
        <v>11.04074305338745</v>
      </c>
      <c r="D27" s="36">
        <f>'INCOME STATEMENT '!D4/('BALANCE SHEET'!D26+'BALANCE SHEET'!E26/2)</f>
        <v>12.991471681609447</v>
      </c>
      <c r="E27" s="36">
        <f>'INCOME STATEMENT '!E4/('BALANCE SHEET'!E26+'BALANCE SHEET'!F26/2)</f>
        <v>14.237971672613256</v>
      </c>
      <c r="F27" s="36">
        <f>'INCOME STATEMENT '!F4/('BALANCE SHEET'!F26+'BALANCE SHEET'!G26/2)</f>
        <v>20.794883907103138</v>
      </c>
      <c r="G27" s="34"/>
    </row>
    <row r="28" spans="1:7" ht="18" x14ac:dyDescent="0.4">
      <c r="A28" s="35" t="s">
        <v>130</v>
      </c>
      <c r="B28" s="36">
        <f>365/B27</f>
        <v>27.447986368304754</v>
      </c>
      <c r="C28" s="36">
        <f t="shared" ref="C28:F28" si="4">365/C27</f>
        <v>33.059369123531326</v>
      </c>
      <c r="D28" s="36">
        <f t="shared" si="4"/>
        <v>28.095354317454973</v>
      </c>
      <c r="E28" s="36">
        <f t="shared" si="4"/>
        <v>25.635673984523908</v>
      </c>
      <c r="F28" s="36">
        <f t="shared" si="4"/>
        <v>17.552394215354237</v>
      </c>
      <c r="G28" s="34"/>
    </row>
    <row r="29" spans="1:7" ht="18" x14ac:dyDescent="0.4">
      <c r="A29" s="35" t="s">
        <v>131</v>
      </c>
      <c r="B29" s="36">
        <f>('INCOME STATEMENT '!B11+'INCOME STATEMENT '!B12+'INCOME STATEMENT '!B13+'INCOME STATEMENT '!B14)/(SUM('BALANCE SHEET'!B26:C26)/2)</f>
        <v>15.16910293891368</v>
      </c>
      <c r="C29" s="36">
        <f>('INCOME STATEMENT '!C11+'INCOME STATEMENT '!C12+'INCOME STATEMENT '!C13+'INCOME STATEMENT '!C14)/(SUM('BALANCE SHEET'!C26:D26)/2)</f>
        <v>10.695432007595738</v>
      </c>
      <c r="D29" s="36">
        <f>('INCOME STATEMENT '!D11+'INCOME STATEMENT '!D12+'INCOME STATEMENT '!D13+'INCOME STATEMENT '!D14)/(SUM('BALANCE SHEET'!D26:E26)/2)</f>
        <v>14.43734562819035</v>
      </c>
      <c r="E29" s="36">
        <f>('INCOME STATEMENT '!E11+'INCOME STATEMENT '!E12+'INCOME STATEMENT '!E13+'INCOME STATEMENT '!E14)/(SUM('BALANCE SHEET'!E26:F26)/2)</f>
        <v>18.054728756601055</v>
      </c>
      <c r="F29" s="36">
        <f>('INCOME STATEMENT '!F11+'INCOME STATEMENT '!F12+'INCOME STATEMENT '!F13+'INCOME STATEMENT '!F14)/(SUM('BALANCE SHEET'!F26:G26)/2)</f>
        <v>34.252281663040847</v>
      </c>
    </row>
    <row r="30" spans="1:7" ht="18" x14ac:dyDescent="0.4">
      <c r="A30" s="35" t="s">
        <v>132</v>
      </c>
      <c r="B30" s="36">
        <f>365/B29</f>
        <v>24.062068895561143</v>
      </c>
      <c r="C30" s="36">
        <f t="shared" ref="C30:F30" si="5">365/C29</f>
        <v>34.126718746917597</v>
      </c>
      <c r="D30" s="36">
        <f t="shared" si="5"/>
        <v>25.281655603458109</v>
      </c>
      <c r="E30" s="36">
        <f t="shared" si="5"/>
        <v>20.216310359497982</v>
      </c>
      <c r="F30" s="36">
        <f t="shared" si="5"/>
        <v>10.656224411287761</v>
      </c>
    </row>
    <row r="31" spans="1:7" ht="18" x14ac:dyDescent="0.4">
      <c r="A31" s="35" t="s">
        <v>133</v>
      </c>
      <c r="B31" s="36">
        <f>'INCOME STATEMENT '!B4/'BALANCE SHEET'!B27</f>
        <v>5.636523112007719</v>
      </c>
      <c r="C31" s="36">
        <f>'INCOME STATEMENT '!C4/'BALANCE SHEET'!C27</f>
        <v>6.0213689766729095</v>
      </c>
      <c r="D31" s="36">
        <f>'INCOME STATEMENT '!D4/'BALANCE SHEET'!D27</f>
        <v>7.6524763315514912</v>
      </c>
      <c r="E31" s="36">
        <f>'INCOME STATEMENT '!E4/'BALANCE SHEET'!E27</f>
        <v>7.0360653985894421</v>
      </c>
      <c r="F31" s="36">
        <f>'INCOME STATEMENT '!F4/'BALANCE SHEET'!F27</f>
        <v>16.629351703776603</v>
      </c>
      <c r="G31" s="34"/>
    </row>
    <row r="32" spans="1:7" ht="18" x14ac:dyDescent="0.4">
      <c r="A32" s="35" t="s">
        <v>134</v>
      </c>
      <c r="B32" s="36">
        <f>B26+B28-B30</f>
        <v>313.66188198860272</v>
      </c>
      <c r="C32" s="36">
        <f t="shared" ref="C32:F32" si="6">C26+C28-C30</f>
        <v>469.67060524548953</v>
      </c>
      <c r="D32" s="36">
        <f t="shared" si="6"/>
        <v>347.7448240169989</v>
      </c>
      <c r="E32" s="36">
        <f t="shared" si="6"/>
        <v>286.95758228283972</v>
      </c>
      <c r="F32" s="36">
        <f t="shared" si="6"/>
        <v>162.54728956608167</v>
      </c>
      <c r="G32" s="34"/>
    </row>
    <row r="33" spans="1:7" ht="18" x14ac:dyDescent="0.4">
      <c r="A33" s="35" t="s">
        <v>135</v>
      </c>
      <c r="B33" s="36">
        <f>'INCOME STATEMENT '!B4/'BALANCE SHEET'!B40</f>
        <v>0.65653861871679609</v>
      </c>
      <c r="C33" s="36">
        <f>'INCOME STATEMENT '!C4/'BALANCE SHEET'!C40</f>
        <v>0.66663839012206039</v>
      </c>
      <c r="D33" s="36">
        <f>'INCOME STATEMENT '!D4/'BALANCE SHEET'!D40</f>
        <v>0.98980373862916926</v>
      </c>
      <c r="E33" s="36">
        <f>'INCOME STATEMENT '!E4/'BALANCE SHEET'!E40</f>
        <v>1.0678478754459941</v>
      </c>
      <c r="F33" s="36">
        <f>'INCOME STATEMENT '!F4/'BALANCE SHEET'!F40</f>
        <v>0.97512064575233182</v>
      </c>
      <c r="G33" s="34"/>
    </row>
    <row r="34" spans="1:7" ht="18" x14ac:dyDescent="0.4">
      <c r="A34" s="35" t="s">
        <v>136</v>
      </c>
      <c r="B34" s="36">
        <f>'INCOME STATEMENT '!B4/RATIO!B15</f>
        <v>9.8440563725490193</v>
      </c>
      <c r="C34" s="36">
        <f>'INCOME STATEMENT '!C4/RATIO!C15</f>
        <v>12.493729023140787</v>
      </c>
      <c r="D34" s="36">
        <f>'INCOME STATEMENT '!D4/RATIO!D15</f>
        <v>10.248404347076074</v>
      </c>
      <c r="E34" s="36">
        <f>'INCOME STATEMENT '!E4/RATIO!E15</f>
        <v>18.591980799096429</v>
      </c>
      <c r="F34" s="36">
        <f>'INCOME STATEMENT '!F4/RATIO!F15</f>
        <v>24.117752007136485</v>
      </c>
      <c r="G34" s="3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B69D685-C204-4D0C-9E85-2DAF8FE5275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RATIO!B3:F3</xm:f>
              <xm:sqref>G3</xm:sqref>
            </x14:sparkline>
            <x14:sparkline>
              <xm:f>RATIO!B4:F4</xm:f>
              <xm:sqref>G4</xm:sqref>
            </x14:sparkline>
            <x14:sparkline>
              <xm:f>RATIO!B5:F5</xm:f>
              <xm:sqref>G5</xm:sqref>
            </x14:sparkline>
            <x14:sparkline>
              <xm:f>RATIO!B6:F6</xm:f>
              <xm:sqref>G6</xm:sqref>
            </x14:sparkline>
            <x14:sparkline>
              <xm:f>RATIO!B7:F7</xm:f>
              <xm:sqref>G7</xm:sqref>
            </x14:sparkline>
            <x14:sparkline>
              <xm:f>RATIO!B8:F8</xm:f>
              <xm:sqref>G8</xm:sqref>
            </x14:sparkline>
          </x14:sparklines>
        </x14:sparklineGroup>
        <x14:sparklineGroup type="column" displayEmptyCellsAs="gap" xr2:uid="{8BCFA45A-CFC5-4526-9532-990C4AF6AB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RATIO!B11:F11</xm:f>
              <xm:sqref>G11</xm:sqref>
            </x14:sparkline>
            <x14:sparkline>
              <xm:f>RATIO!B12:F12</xm:f>
              <xm:sqref>G12</xm:sqref>
            </x14:sparkline>
            <x14:sparkline>
              <xm:f>RATIO!B13:F13</xm:f>
              <xm:sqref>G13</xm:sqref>
            </x14:sparkline>
            <x14:sparkline>
              <xm:f>RATIO!B14:F14</xm:f>
              <xm:sqref>G14</xm:sqref>
            </x14:sparkline>
            <x14:sparkline>
              <xm:f>RATIO!B15:F15</xm:f>
              <xm:sqref>G15</xm:sqref>
            </x14:sparkline>
          </x14:sparklines>
        </x14:sparklineGroup>
        <x14:sparklineGroup type="column" displayEmptyCellsAs="gap" xr2:uid="{1C704FBF-0933-47BC-8265-75A3D2A0EC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RATIO!B19:F19</xm:f>
              <xm:sqref>G19</xm:sqref>
            </x14:sparkline>
            <x14:sparkline>
              <xm:f>RATIO!B20:F20</xm:f>
              <xm:sqref>G20</xm:sqref>
            </x14:sparkline>
            <x14:sparkline>
              <xm:f>RATIO!B21:F21</xm:f>
              <xm:sqref>G21</xm:sqref>
            </x14:sparkline>
          </x14:sparklines>
        </x14:sparklineGroup>
        <x14:sparklineGroup type="column" displayEmptyCellsAs="gap" xr2:uid="{B9D0FE3E-26FD-4D09-9049-B2A5E37A18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RATIO!B25:E25</xm:f>
              <xm:sqref>G25</xm:sqref>
            </x14:sparkline>
            <x14:sparkline>
              <xm:f>RATIO!B26:E26</xm:f>
              <xm:sqref>G26</xm:sqref>
            </x14:sparkline>
            <x14:sparkline>
              <xm:f>RATIO!B27:E27</xm:f>
              <xm:sqref>G27</xm:sqref>
            </x14:sparkline>
            <x14:sparkline>
              <xm:f>RATIO!B28:E28</xm:f>
              <xm:sqref>G28</xm:sqref>
            </x14:sparkline>
            <x14:sparkline>
              <xm:f>RATIO!B29:E29</xm:f>
              <xm:sqref>G29</xm:sqref>
            </x14:sparkline>
            <x14:sparkline>
              <xm:f>RATIO!B30:E30</xm:f>
              <xm:sqref>G30</xm:sqref>
            </x14:sparkline>
            <x14:sparkline>
              <xm:f>RATIO!B31:E31</xm:f>
              <xm:sqref>G31</xm:sqref>
            </x14:sparkline>
            <x14:sparkline>
              <xm:f>RATIO!B32:E32</xm:f>
              <xm:sqref>G32</xm:sqref>
            </x14:sparkline>
            <x14:sparkline>
              <xm:f>RATIO!B33:E33</xm:f>
              <xm:sqref>G33</xm:sqref>
            </x14:sparkline>
            <x14:sparkline>
              <xm:f>RATIO!B34:E34</xm:f>
              <xm:sqref>G34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3CA6-40B0-417A-AF08-476CEAAC7EC0}">
  <dimension ref="A1:J25"/>
  <sheetViews>
    <sheetView workbookViewId="0">
      <selection activeCell="E27" sqref="E27"/>
    </sheetView>
  </sheetViews>
  <sheetFormatPr defaultRowHeight="14.5" x14ac:dyDescent="0.35"/>
  <cols>
    <col min="1" max="1" width="71.26953125" bestFit="1" customWidth="1"/>
    <col min="2" max="2" width="10.453125" bestFit="1" customWidth="1"/>
    <col min="3" max="6" width="11.90625" bestFit="1" customWidth="1"/>
    <col min="7" max="7" width="26.7265625" customWidth="1"/>
  </cols>
  <sheetData>
    <row r="1" spans="1:10" x14ac:dyDescent="0.35">
      <c r="A1" s="132" t="s">
        <v>137</v>
      </c>
      <c r="B1" s="133"/>
      <c r="C1" s="133"/>
      <c r="D1" s="133"/>
      <c r="E1" s="133"/>
      <c r="F1" s="133"/>
      <c r="G1" s="133"/>
      <c r="H1" s="133"/>
      <c r="I1" s="133"/>
      <c r="J1" s="134"/>
    </row>
    <row r="2" spans="1:10" x14ac:dyDescent="0.35">
      <c r="A2" s="1" t="s">
        <v>1</v>
      </c>
      <c r="B2" s="1">
        <v>202003</v>
      </c>
      <c r="C2" s="1">
        <v>202103</v>
      </c>
      <c r="D2" s="1">
        <v>202203</v>
      </c>
      <c r="E2" s="1">
        <v>202303</v>
      </c>
      <c r="F2" s="1">
        <v>202403</v>
      </c>
      <c r="G2" t="str">
        <f>G11</f>
        <v>TREND</v>
      </c>
    </row>
    <row r="3" spans="1:10" x14ac:dyDescent="0.35">
      <c r="A3" s="2" t="s">
        <v>138</v>
      </c>
      <c r="B3" s="3"/>
      <c r="C3" s="3"/>
      <c r="D3" s="3"/>
      <c r="E3" s="3"/>
      <c r="F3" s="3"/>
    </row>
    <row r="4" spans="1:10" ht="20.5" x14ac:dyDescent="0.45">
      <c r="A4" s="2" t="s">
        <v>139</v>
      </c>
      <c r="B4" s="4">
        <v>5366</v>
      </c>
      <c r="C4" s="4">
        <v>3438</v>
      </c>
      <c r="D4" s="4">
        <v>11121</v>
      </c>
      <c r="E4" s="4">
        <v>7670</v>
      </c>
      <c r="F4" s="4">
        <v>13668</v>
      </c>
      <c r="G4" s="47"/>
    </row>
    <row r="5" spans="1:10" ht="20.5" x14ac:dyDescent="0.45">
      <c r="A5" s="2" t="s">
        <v>140</v>
      </c>
      <c r="B5" s="4">
        <v>14110</v>
      </c>
      <c r="C5" s="4">
        <v>17557</v>
      </c>
      <c r="D5" s="4">
        <v>23335</v>
      </c>
      <c r="E5" s="4">
        <v>20444</v>
      </c>
      <c r="F5" s="4">
        <v>5449</v>
      </c>
      <c r="G5" s="47"/>
    </row>
    <row r="6" spans="1:10" ht="20.5" x14ac:dyDescent="0.45">
      <c r="A6" s="2" t="s">
        <v>141</v>
      </c>
      <c r="B6" s="4">
        <v>-19092</v>
      </c>
      <c r="C6" s="4">
        <v>-3759</v>
      </c>
      <c r="D6" s="4">
        <v>-17652</v>
      </c>
      <c r="E6" s="4">
        <v>-7361</v>
      </c>
      <c r="F6" s="4">
        <v>-8687</v>
      </c>
      <c r="G6" s="47"/>
    </row>
    <row r="7" spans="1:10" ht="20.5" x14ac:dyDescent="0.45">
      <c r="A7" s="2" t="s">
        <v>142</v>
      </c>
      <c r="B7" s="4">
        <v>3054</v>
      </c>
      <c r="C7" s="4">
        <v>-6115</v>
      </c>
      <c r="D7" s="4">
        <v>-9134</v>
      </c>
      <c r="E7" s="4">
        <v>-7085</v>
      </c>
      <c r="F7" s="4">
        <v>-5477</v>
      </c>
      <c r="G7" s="47"/>
    </row>
    <row r="8" spans="1:10" ht="20.5" x14ac:dyDescent="0.45">
      <c r="A8" s="2" t="s">
        <v>143</v>
      </c>
      <c r="B8" s="4">
        <v>-1928</v>
      </c>
      <c r="C8" s="4">
        <v>7683</v>
      </c>
      <c r="D8" s="4">
        <v>-3451</v>
      </c>
      <c r="E8" s="4">
        <v>5998</v>
      </c>
      <c r="F8" s="4">
        <v>-8715</v>
      </c>
      <c r="G8" s="47"/>
    </row>
    <row r="9" spans="1:10" ht="20.5" x14ac:dyDescent="0.45">
      <c r="A9" s="2" t="s">
        <v>144</v>
      </c>
      <c r="B9" s="4">
        <v>3438</v>
      </c>
      <c r="C9" s="4">
        <v>11121</v>
      </c>
      <c r="D9" s="4">
        <v>7670</v>
      </c>
      <c r="E9" s="4">
        <v>13668</v>
      </c>
      <c r="F9" s="4">
        <v>4953</v>
      </c>
      <c r="G9" s="47"/>
    </row>
    <row r="10" spans="1:10" ht="20.5" x14ac:dyDescent="0.45">
      <c r="G10" s="47"/>
    </row>
    <row r="11" spans="1:10" ht="20.5" x14ac:dyDescent="0.45">
      <c r="A11" s="47"/>
      <c r="B11" s="48">
        <v>2020</v>
      </c>
      <c r="C11" s="48">
        <v>2021</v>
      </c>
      <c r="D11" s="48">
        <v>2022</v>
      </c>
      <c r="E11" s="48">
        <v>2023</v>
      </c>
      <c r="F11" s="48">
        <v>2024</v>
      </c>
      <c r="G11" t="s">
        <v>156</v>
      </c>
    </row>
    <row r="12" spans="1:10" ht="20.5" x14ac:dyDescent="0.45">
      <c r="A12" s="49" t="s">
        <v>145</v>
      </c>
      <c r="B12" s="50">
        <f>B5/'INCOME STATEMENT '!B6</f>
        <v>0.21956988578008776</v>
      </c>
      <c r="C12" s="50">
        <f>C5/'INCOME STATEMENT '!C6</f>
        <v>0.24823617571790121</v>
      </c>
      <c r="D12" s="50">
        <f>D5/'INCOME STATEMENT '!D6</f>
        <v>0.19638949671772429</v>
      </c>
      <c r="E12" s="50">
        <f>E5/'INCOME STATEMENT '!E6</f>
        <v>0.15524691123649259</v>
      </c>
      <c r="F12" s="50">
        <f>F5/'INCOME STATEMENT '!F6</f>
        <v>4.0309217339843169E-2</v>
      </c>
      <c r="G12" s="47"/>
    </row>
    <row r="13" spans="1:10" ht="20.5" x14ac:dyDescent="0.45">
      <c r="A13" s="49" t="s">
        <v>146</v>
      </c>
      <c r="B13" s="50">
        <f>B5/('BALANCE SHEET'!B40+'BALANCE SHEET'!C40/2)</f>
        <v>9.3488595517715462E-2</v>
      </c>
      <c r="C13" s="50">
        <f>C5/('BALANCE SHEET'!C40+'BALANCE SHEET'!D40/2)</f>
        <v>0.10569056749158726</v>
      </c>
      <c r="D13" s="50">
        <f>D5/('BALANCE SHEET'!D40+'BALANCE SHEET'!E40/2)</f>
        <v>0.12842314973803548</v>
      </c>
      <c r="E13" s="50">
        <f>E5/('BALANCE SHEET'!E40+'BALANCE SHEET'!F40/2)</f>
        <v>0.10612844532002315</v>
      </c>
      <c r="F13" s="50">
        <f>F5/('BALANCE SHEET'!F40+'BALANCE SHEET'!G40/2)</f>
        <v>3.9305160228151788E-2</v>
      </c>
      <c r="G13" s="47"/>
    </row>
    <row r="14" spans="1:10" ht="20.5" x14ac:dyDescent="0.45">
      <c r="A14" s="49" t="s">
        <v>147</v>
      </c>
      <c r="B14" s="50">
        <f>B5/('BALANCE SHEET'!B8+'BALANCE SHEET'!C8/2)</f>
        <v>0.22813073459389982</v>
      </c>
      <c r="C14" s="50">
        <f>C5/('BALANCE SHEET'!C8+'BALANCE SHEET'!D8/2)</f>
        <v>0.22300974881712235</v>
      </c>
      <c r="D14" s="50">
        <f>D5/('BALANCE SHEET'!D8+'BALANCE SHEET'!E8/2)</f>
        <v>0.24478000220286267</v>
      </c>
      <c r="E14" s="50">
        <f>E5/('BALANCE SHEET'!E8+'BALANCE SHEET'!F8/2)</f>
        <v>0.20181539084209851</v>
      </c>
      <c r="F14" s="50"/>
      <c r="G14" s="47"/>
    </row>
    <row r="15" spans="1:10" ht="20.5" x14ac:dyDescent="0.45">
      <c r="A15" s="49" t="s">
        <v>148</v>
      </c>
      <c r="B15" s="50">
        <f>B5/'INCOME STATEMENT '!B19</f>
        <v>1.1921257181480229</v>
      </c>
      <c r="C15" s="50">
        <f>C5/'INCOME STATEMENT '!C19</f>
        <v>0.89842390748132228</v>
      </c>
      <c r="D15" s="50">
        <f>D5/'INCOME STATEMENT '!D19</f>
        <v>0.70551776266061983</v>
      </c>
      <c r="E15" s="50">
        <f>E5/'INCOME STATEMENT '!E19</f>
        <v>1.2066340081449567</v>
      </c>
      <c r="F15" s="50">
        <f>F5/'INCOME STATEMENT '!F19</f>
        <v>0.23045041234933389</v>
      </c>
      <c r="G15" s="47"/>
    </row>
    <row r="16" spans="1:10" ht="20" x14ac:dyDescent="0.4">
      <c r="A16" s="51"/>
      <c r="B16" s="52"/>
      <c r="C16" s="52"/>
      <c r="D16" s="52"/>
      <c r="E16" s="52"/>
      <c r="F16" s="52"/>
      <c r="G16" s="51"/>
    </row>
    <row r="17" spans="1:7" ht="20.5" x14ac:dyDescent="0.45">
      <c r="A17" s="53"/>
      <c r="B17" s="54"/>
      <c r="C17" s="54"/>
      <c r="D17" s="54"/>
      <c r="E17" s="54"/>
      <c r="F17" s="54"/>
      <c r="G17" s="53"/>
    </row>
    <row r="18" spans="1:7" ht="20.5" x14ac:dyDescent="0.45">
      <c r="A18" s="48"/>
      <c r="B18" s="48">
        <f>B11</f>
        <v>2020</v>
      </c>
      <c r="C18" s="48">
        <f t="shared" ref="C18:F18" si="0">C11</f>
        <v>2021</v>
      </c>
      <c r="D18" s="48">
        <f t="shared" si="0"/>
        <v>2022</v>
      </c>
      <c r="E18" s="48">
        <f t="shared" si="0"/>
        <v>2023</v>
      </c>
      <c r="F18" s="48">
        <f t="shared" si="0"/>
        <v>2024</v>
      </c>
      <c r="G18" s="47"/>
    </row>
    <row r="19" spans="1:7" ht="20.5" x14ac:dyDescent="0.45">
      <c r="A19" s="49" t="s">
        <v>149</v>
      </c>
      <c r="B19" s="55">
        <f>B5/'BALANCE SHEET'!B11</f>
        <v>0.25790531895448732</v>
      </c>
      <c r="C19" s="55">
        <f>C5/'BALANCE SHEET'!C11</f>
        <v>0.31943888504785123</v>
      </c>
      <c r="D19" s="55">
        <f>D5/'BALANCE SHEET'!D11</f>
        <v>0.4387432783063212</v>
      </c>
      <c r="E19" s="55">
        <f>E5/'BALANCE SHEET'!E11</f>
        <v>0.35739384298026328</v>
      </c>
      <c r="F19" s="55">
        <f>F5/'BALANCE SHEET'!F11</f>
        <v>8.906505393919581E-2</v>
      </c>
      <c r="G19" s="47"/>
    </row>
    <row r="20" spans="1:7" ht="20.5" x14ac:dyDescent="0.45">
      <c r="A20" s="49" t="s">
        <v>150</v>
      </c>
      <c r="B20" s="55">
        <f>(B5+'INCOME STATEMENT '!B20+'INCOME STATEMENT '!B24)/'INCOME STATEMENT '!B24</f>
        <v>23.980988593155892</v>
      </c>
      <c r="C20" s="55">
        <f>(C5+'INCOME STATEMENT '!C20+'INCOME STATEMENT '!C24)/'INCOME STATEMENT '!C24</f>
        <v>10.769657724329324</v>
      </c>
      <c r="D20" s="55">
        <f>(D5+'INCOME STATEMENT '!D20+'INCOME STATEMENT '!D24)/'INCOME STATEMENT '!D24</f>
        <v>7.1627748809793701</v>
      </c>
      <c r="E20" s="55">
        <f>(E5+'INCOME STATEMENT '!E20+'INCOME STATEMENT '!E24)/'INCOME STATEMENT '!E24</f>
        <v>21.908866995073893</v>
      </c>
      <c r="F20" s="55">
        <f>(F5+'INCOME STATEMENT '!F20+'INCOME STATEMENT '!F24)/'INCOME STATEMENT '!F24</f>
        <v>4.346944685780481</v>
      </c>
      <c r="G20" s="47"/>
    </row>
    <row r="21" spans="1:7" ht="20.5" x14ac:dyDescent="0.45">
      <c r="A21" s="49" t="s">
        <v>151</v>
      </c>
      <c r="B21" s="55">
        <f>B5/'BALANCE SHEET'!B27</f>
        <v>1.2376107359003596</v>
      </c>
      <c r="C21" s="55">
        <f>C5/'BALANCE SHEET'!C27</f>
        <v>1.4947216073556955</v>
      </c>
      <c r="D21" s="55">
        <f>D5/'BALANCE SHEET'!D27</f>
        <v>1.5028659753976943</v>
      </c>
      <c r="E21" s="55">
        <f>E5/'BALANCE SHEET'!E27</f>
        <v>1.0923274203889719</v>
      </c>
      <c r="F21" s="55">
        <f>F5/'BALANCE SHEET'!F27</f>
        <v>0.67031615204822237</v>
      </c>
      <c r="G21" s="47"/>
    </row>
    <row r="22" spans="1:7" ht="20.5" x14ac:dyDescent="0.45">
      <c r="A22" s="49" t="s">
        <v>152</v>
      </c>
      <c r="B22" s="55">
        <f>B5/'BALANCE SHEET'!B9</f>
        <v>0.64570748672890355</v>
      </c>
      <c r="C22" s="55">
        <f>C5/'BALANCE SHEET'!C9</f>
        <v>0.72379107061879044</v>
      </c>
      <c r="D22" s="55">
        <f>D5/'BALANCE SHEET'!D9</f>
        <v>1.252482421770168</v>
      </c>
      <c r="E22" s="55">
        <f>E5/'BALANCE SHEET'!E9</f>
        <v>0.84745481677997014</v>
      </c>
      <c r="F22" s="55">
        <f>F5/'BALANCE SHEET'!F9</f>
        <v>0.22299979537548598</v>
      </c>
      <c r="G22" s="47"/>
    </row>
    <row r="23" spans="1:7" ht="20.5" x14ac:dyDescent="0.45">
      <c r="A23" s="49" t="s">
        <v>153</v>
      </c>
      <c r="B23" s="55">
        <f>B5/(B6+B7)</f>
        <v>-0.879785509415139</v>
      </c>
      <c r="C23" s="55">
        <f t="shared" ref="C23:F23" si="1">C5/(C6+C7)</f>
        <v>-1.7781041118087908</v>
      </c>
      <c r="D23" s="55">
        <f t="shared" si="1"/>
        <v>-0.87116404091689692</v>
      </c>
      <c r="E23" s="55">
        <f t="shared" si="1"/>
        <v>-1.4152014398449397</v>
      </c>
      <c r="F23" s="55">
        <f t="shared" si="1"/>
        <v>-0.38470770968652923</v>
      </c>
      <c r="G23" s="47"/>
    </row>
    <row r="24" spans="1:7" ht="20.5" x14ac:dyDescent="0.45">
      <c r="A24" s="49" t="s">
        <v>154</v>
      </c>
      <c r="B24" s="55"/>
      <c r="C24" s="55">
        <f>('BALANCE SHEET'!B40+'BALANCE SHEET'!C40)/2</f>
        <v>101987.5</v>
      </c>
      <c r="D24" s="55">
        <f>('BALANCE SHEET'!C40+'BALANCE SHEET'!D40)/2</f>
        <v>113069.5</v>
      </c>
      <c r="E24" s="55">
        <f>('BALANCE SHEET'!D40+'BALANCE SHEET'!E40)/2</f>
        <v>121682</v>
      </c>
      <c r="F24" s="55">
        <f>('BALANCE SHEET'!E40+'BALANCE SHEET'!F40)/2</f>
        <v>130974.5</v>
      </c>
      <c r="G24" s="47"/>
    </row>
    <row r="25" spans="1:7" ht="20.5" x14ac:dyDescent="0.45">
      <c r="A25" s="49" t="s">
        <v>155</v>
      </c>
      <c r="B25" s="55"/>
      <c r="C25" s="55">
        <f>SUM('BALANCE SHEET'!B8:C8)/2</f>
        <v>42669.5</v>
      </c>
      <c r="D25" s="55">
        <f>SUM('BALANCE SHEET'!C8:D8)/2</f>
        <v>55239</v>
      </c>
      <c r="E25" s="55">
        <f>SUM('BALANCE SHEET'!D8:E8)/2</f>
        <v>63580</v>
      </c>
      <c r="F25" s="55">
        <f>SUM('BALANCE SHEET'!E8:F8)/2</f>
        <v>69471</v>
      </c>
      <c r="G25" s="47"/>
    </row>
  </sheetData>
  <mergeCells count="1">
    <mergeCell ref="A1:J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3" displayEmptyCellsAs="gap" xr2:uid="{69765222-C4A4-4273-A504-367E542C03C7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'CASH FLOW'!B12:F12</xm:f>
              <xm:sqref>G12</xm:sqref>
            </x14:sparkline>
            <x14:sparkline>
              <xm:f>'CASH FLOW'!B13:F13</xm:f>
              <xm:sqref>G13</xm:sqref>
            </x14:sparkline>
            <x14:sparkline>
              <xm:f>'CASH FLOW'!B14:F14</xm:f>
              <xm:sqref>G14</xm:sqref>
            </x14:sparkline>
            <x14:sparkline>
              <xm:f>'CASH FLOW'!B15:F15</xm:f>
              <xm:sqref>G15</xm:sqref>
            </x14:sparkline>
            <x14:sparkline>
              <xm:f>'CASH FLOW'!B10:F10</xm:f>
              <xm:sqref>G10</xm:sqref>
            </x14:sparkline>
            <x14:sparkline>
              <xm:f>'CASH FLOW'!B9:F9</xm:f>
              <xm:sqref>G9</xm:sqref>
            </x14:sparkline>
            <x14:sparkline>
              <xm:f>'CASH FLOW'!B8:F8</xm:f>
              <xm:sqref>G8</xm:sqref>
            </x14:sparkline>
            <x14:sparkline>
              <xm:f>'CASH FLOW'!B7:F7</xm:f>
              <xm:sqref>G7</xm:sqref>
            </x14:sparkline>
            <x14:sparkline>
              <xm:f>'CASH FLOW'!B6:F6</xm:f>
              <xm:sqref>G6</xm:sqref>
            </x14:sparkline>
            <x14:sparkline>
              <xm:f>'CASH FLOW'!B5:F5</xm:f>
              <xm:sqref>G5</xm:sqref>
            </x14:sparkline>
            <x14:sparkline>
              <xm:f>'CASH FLOW'!B4:F4</xm:f>
              <xm:sqref>G4</xm:sqref>
            </x14:sparkline>
          </x14:sparklines>
        </x14:sparklineGroup>
        <x14:sparklineGroup lineWeight="2.25" displayEmptyCellsAs="gap" xr2:uid="{BFCE6815-B598-43BE-9749-6B8E96780F05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'CASH FLOW'!B19:F19</xm:f>
              <xm:sqref>G19</xm:sqref>
            </x14:sparkline>
            <x14:sparkline>
              <xm:f>'CASH FLOW'!B20:F20</xm:f>
              <xm:sqref>G20</xm:sqref>
            </x14:sparkline>
            <x14:sparkline>
              <xm:f>'CASH FLOW'!B21:F21</xm:f>
              <xm:sqref>G21</xm:sqref>
            </x14:sparkline>
            <x14:sparkline>
              <xm:f>'CASH FLOW'!B22:F22</xm:f>
              <xm:sqref>G22</xm:sqref>
            </x14:sparkline>
            <x14:sparkline>
              <xm:f>'CASH FLOW'!B23:F23</xm:f>
              <xm:sqref>G23</xm:sqref>
            </x14:sparkline>
            <x14:sparkline>
              <xm:f>'CASH FLOW'!B24:F24</xm:f>
              <xm:sqref>G24</xm:sqref>
            </x14:sparkline>
            <x14:sparkline>
              <xm:f>'CASH FLOW'!B25:F25</xm:f>
              <xm:sqref>G25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2517-CA4D-4AD1-B2EF-6DAFEED0C18E}">
  <dimension ref="A1:F19"/>
  <sheetViews>
    <sheetView topLeftCell="A3" workbookViewId="0">
      <selection activeCell="G15" sqref="G15"/>
    </sheetView>
  </sheetViews>
  <sheetFormatPr defaultRowHeight="14.5" x14ac:dyDescent="0.35"/>
  <cols>
    <col min="1" max="1" width="54.36328125" bestFit="1" customWidth="1"/>
    <col min="2" max="6" width="11.81640625" bestFit="1" customWidth="1"/>
  </cols>
  <sheetData>
    <row r="1" spans="1:6" ht="15.5" x14ac:dyDescent="0.35">
      <c r="A1" s="34"/>
      <c r="B1" s="56">
        <v>2020</v>
      </c>
      <c r="C1" s="56">
        <v>2021</v>
      </c>
      <c r="D1" s="56">
        <v>2022</v>
      </c>
      <c r="E1" s="56">
        <v>2023</v>
      </c>
      <c r="F1" s="56">
        <v>2024</v>
      </c>
    </row>
    <row r="2" spans="1:6" ht="15.5" x14ac:dyDescent="0.35">
      <c r="A2" s="57" t="s">
        <v>157</v>
      </c>
      <c r="B2" s="58">
        <f>'INCOME STATEMENT '!B9</f>
        <v>64917</v>
      </c>
      <c r="C2" s="58">
        <f>'INCOME STATEMENT '!C9</f>
        <v>72268</v>
      </c>
      <c r="D2" s="58">
        <f>'INCOME STATEMENT '!D9</f>
        <v>123861</v>
      </c>
      <c r="E2" s="58">
        <f>'INCOME STATEMENT '!E9</f>
        <v>133849</v>
      </c>
      <c r="F2" s="58">
        <f>'INCOME STATEMENT '!F9</f>
        <v>140249</v>
      </c>
    </row>
    <row r="3" spans="1:6" ht="15.5" x14ac:dyDescent="0.35">
      <c r="A3" s="59" t="s">
        <v>158</v>
      </c>
      <c r="B3" s="60">
        <f>('BALANCE SHEET'!B40+'BALANCE SHEET'!C40)/2</f>
        <v>101987.5</v>
      </c>
      <c r="C3" s="60">
        <f>('BALANCE SHEET'!C40+'BALANCE SHEET'!D40)/2</f>
        <v>113069.5</v>
      </c>
      <c r="D3" s="60">
        <f>('BALANCE SHEET'!D40+'BALANCE SHEET'!E40)/2</f>
        <v>121682</v>
      </c>
      <c r="E3" s="60">
        <f>('BALANCE SHEET'!E40+'BALANCE SHEET'!F40)/2</f>
        <v>130974.5</v>
      </c>
      <c r="F3" s="60">
        <f>('BALANCE SHEET'!F40+'BALANCE SHEET'!G40)/2</f>
        <v>69318.696465059256</v>
      </c>
    </row>
    <row r="4" spans="1:6" ht="15.5" x14ac:dyDescent="0.35">
      <c r="A4" s="59" t="s">
        <v>159</v>
      </c>
      <c r="B4" s="60">
        <f>('BALANCE SHEET'!B8+'BALANCE SHEET'!C8)/2</f>
        <v>42669.5</v>
      </c>
      <c r="C4" s="60">
        <f>('BALANCE SHEET'!C8+'BALANCE SHEET'!D8)/2</f>
        <v>55239</v>
      </c>
      <c r="D4" s="60">
        <f>('BALANCE SHEET'!D8+'BALANCE SHEET'!E8)/2</f>
        <v>63580</v>
      </c>
      <c r="E4" s="60">
        <f>('BALANCE SHEET'!E8+'BALANCE SHEET'!F8)/2</f>
        <v>69471</v>
      </c>
      <c r="F4" s="60">
        <f>('BALANCE SHEET'!F8+'BALANCE SHEET'!G8)/2</f>
        <v>37652.728559512019</v>
      </c>
    </row>
    <row r="5" spans="1:6" ht="15.5" x14ac:dyDescent="0.35">
      <c r="A5" s="59" t="s">
        <v>160</v>
      </c>
      <c r="B5" s="58">
        <f>'INCOME STATEMENT '!B4</f>
        <v>64262</v>
      </c>
      <c r="C5" s="58">
        <f>'INCOME STATEMENT '!C4</f>
        <v>70727</v>
      </c>
      <c r="D5" s="58">
        <f>'INCOME STATEMENT '!D4</f>
        <v>118820</v>
      </c>
      <c r="E5" s="58">
        <f>'INCOME STATEMENT '!E4</f>
        <v>131687</v>
      </c>
      <c r="F5" s="58">
        <f>'INCOME STATEMENT '!F4</f>
        <v>135180</v>
      </c>
    </row>
    <row r="6" spans="1:6" ht="15.5" x14ac:dyDescent="0.35">
      <c r="A6" s="59" t="s">
        <v>161</v>
      </c>
      <c r="B6" s="58">
        <f>'INCOME STATEMENT '!B23</f>
        <v>4292</v>
      </c>
      <c r="C6" s="58">
        <f>'INCOME STATEMENT '!C23</f>
        <v>12196</v>
      </c>
      <c r="D6" s="58">
        <f>'INCOME STATEMENT '!D23</f>
        <v>24715</v>
      </c>
      <c r="E6" s="58">
        <f>'INCOME STATEMENT '!E23</f>
        <v>6968</v>
      </c>
      <c r="F6" s="58">
        <f>'INCOME STATEMENT '!F23</f>
        <v>12102</v>
      </c>
    </row>
    <row r="7" spans="1:6" ht="15.5" x14ac:dyDescent="0.35">
      <c r="A7" s="59" t="s">
        <v>162</v>
      </c>
      <c r="B7" s="58">
        <f>'INCOME STATEMENT '!B19</f>
        <v>11836</v>
      </c>
      <c r="C7" s="58">
        <f>'INCOME STATEMENT '!C19</f>
        <v>19542</v>
      </c>
      <c r="D7" s="58">
        <f>'INCOME STATEMENT '!D19</f>
        <v>33075</v>
      </c>
      <c r="E7" s="58">
        <f>'INCOME STATEMENT '!E19</f>
        <v>16943</v>
      </c>
      <c r="F7" s="58">
        <f>'INCOME STATEMENT '!F19</f>
        <v>23645</v>
      </c>
    </row>
    <row r="8" spans="1:6" x14ac:dyDescent="0.35">
      <c r="A8" s="61"/>
      <c r="B8" s="61"/>
      <c r="C8" s="61"/>
      <c r="D8" s="61"/>
      <c r="E8" s="61"/>
      <c r="F8" s="61"/>
    </row>
    <row r="9" spans="1:6" x14ac:dyDescent="0.35">
      <c r="A9" s="62"/>
      <c r="B9" s="61"/>
      <c r="C9" s="61"/>
      <c r="D9" s="61"/>
      <c r="E9" s="61"/>
      <c r="F9" s="61"/>
    </row>
    <row r="10" spans="1:6" x14ac:dyDescent="0.35">
      <c r="A10" s="61"/>
      <c r="B10" s="63">
        <f>B1</f>
        <v>2020</v>
      </c>
      <c r="C10" s="63">
        <f t="shared" ref="C10:F10" si="0">C1</f>
        <v>2021</v>
      </c>
      <c r="D10" s="63">
        <f t="shared" si="0"/>
        <v>2022</v>
      </c>
      <c r="E10" s="63">
        <f t="shared" si="0"/>
        <v>2023</v>
      </c>
      <c r="F10" s="63">
        <f t="shared" si="0"/>
        <v>2024</v>
      </c>
    </row>
    <row r="11" spans="1:6" x14ac:dyDescent="0.35">
      <c r="A11" s="59" t="s">
        <v>295</v>
      </c>
      <c r="B11" s="61">
        <f>'INCOME STATEMENT '!B6/B3</f>
        <v>0.63009682559137148</v>
      </c>
      <c r="C11" s="61">
        <f>'INCOME STATEMENT '!C6/C3</f>
        <v>0.62551793366027086</v>
      </c>
      <c r="D11" s="61">
        <f>'INCOME STATEMENT '!D6/D3</f>
        <v>0.97647967653391632</v>
      </c>
      <c r="E11" s="61">
        <f>'INCOME STATEMENT '!E6/E3</f>
        <v>1.0054399902271052</v>
      </c>
      <c r="F11" s="61">
        <f>'INCOME STATEMENT '!F6/F3</f>
        <v>1.9501232263959083</v>
      </c>
    </row>
    <row r="12" spans="1:6" x14ac:dyDescent="0.35">
      <c r="A12" s="59" t="s">
        <v>163</v>
      </c>
      <c r="B12" s="61">
        <f>B3/B4</f>
        <v>2.3901733088037123</v>
      </c>
      <c r="C12" s="61">
        <f t="shared" ref="C12:F12" si="1">C3/C4</f>
        <v>2.046914317782726</v>
      </c>
      <c r="D12" s="61">
        <f t="shared" si="1"/>
        <v>1.9138408304498269</v>
      </c>
      <c r="E12" s="61">
        <f t="shared" si="1"/>
        <v>1.8853118567459803</v>
      </c>
      <c r="F12" s="61">
        <f t="shared" si="1"/>
        <v>1.8410006158118819</v>
      </c>
    </row>
    <row r="13" spans="1:6" x14ac:dyDescent="0.35">
      <c r="A13" s="59" t="s">
        <v>164</v>
      </c>
      <c r="B13" s="61">
        <f>B2/B5</f>
        <v>1.0101926488437958</v>
      </c>
      <c r="C13" s="61">
        <f t="shared" ref="C13:F13" si="2">C2/C5</f>
        <v>1.0217880017532202</v>
      </c>
      <c r="D13" s="61">
        <f t="shared" si="2"/>
        <v>1.0424255175896313</v>
      </c>
      <c r="E13" s="61">
        <f t="shared" si="2"/>
        <v>1.0164177177701672</v>
      </c>
      <c r="F13" s="61">
        <f t="shared" si="2"/>
        <v>1.0374981506139962</v>
      </c>
    </row>
    <row r="14" spans="1:6" x14ac:dyDescent="0.35">
      <c r="A14" s="59" t="s">
        <v>165</v>
      </c>
      <c r="B14" s="61">
        <f>B2/B6</f>
        <v>15.12511649580615</v>
      </c>
      <c r="C14" s="61">
        <f t="shared" ref="C14:F14" si="3">C2/C6</f>
        <v>5.9255493604460483</v>
      </c>
      <c r="D14" s="61">
        <f t="shared" si="3"/>
        <v>5.0115719198867081</v>
      </c>
      <c r="E14" s="61">
        <f t="shared" si="3"/>
        <v>19.20909873708381</v>
      </c>
      <c r="F14" s="61">
        <f t="shared" si="3"/>
        <v>11.588910923814245</v>
      </c>
    </row>
    <row r="15" spans="1:6" x14ac:dyDescent="0.35">
      <c r="A15" s="59" t="s">
        <v>166</v>
      </c>
      <c r="B15" s="61">
        <f>B6/B7</f>
        <v>0.36262250760392023</v>
      </c>
      <c r="C15" s="61">
        <f t="shared" ref="C15:F15" si="4">C6/C7</f>
        <v>0.62409169992835944</v>
      </c>
      <c r="D15" s="61">
        <f t="shared" si="4"/>
        <v>0.74724111866969012</v>
      </c>
      <c r="E15" s="61">
        <f t="shared" si="4"/>
        <v>0.41126128784748867</v>
      </c>
      <c r="F15" s="61">
        <f t="shared" si="4"/>
        <v>0.51182068090505395</v>
      </c>
    </row>
    <row r="16" spans="1:6" x14ac:dyDescent="0.35">
      <c r="A16" s="59" t="s">
        <v>167</v>
      </c>
      <c r="B16" s="61">
        <f>B7/B5</f>
        <v>0.1841834988017802</v>
      </c>
      <c r="C16" s="61">
        <f t="shared" ref="C16:F16" si="5">C7/C5</f>
        <v>0.27630183663947289</v>
      </c>
      <c r="D16" s="61">
        <f t="shared" si="5"/>
        <v>0.27836222858104698</v>
      </c>
      <c r="E16" s="61">
        <f t="shared" si="5"/>
        <v>0.12866114346898327</v>
      </c>
      <c r="F16" s="61">
        <f t="shared" si="5"/>
        <v>0.17491492824382304</v>
      </c>
    </row>
    <row r="17" spans="1:6" x14ac:dyDescent="0.35">
      <c r="A17" s="59" t="s">
        <v>168</v>
      </c>
      <c r="B17" s="61">
        <f>B5/B3</f>
        <v>0.63009682559137148</v>
      </c>
      <c r="C17" s="61">
        <f t="shared" ref="C17:F17" si="6">C5/C3</f>
        <v>0.62551793366027086</v>
      </c>
      <c r="D17" s="61">
        <f t="shared" si="6"/>
        <v>0.97647967653391632</v>
      </c>
      <c r="E17" s="61">
        <f t="shared" si="6"/>
        <v>1.0054399902271052</v>
      </c>
      <c r="F17" s="61">
        <f t="shared" si="6"/>
        <v>1.9501232263959083</v>
      </c>
    </row>
    <row r="18" spans="1:6" x14ac:dyDescent="0.35">
      <c r="A18" s="64" t="s">
        <v>169</v>
      </c>
      <c r="B18" s="61">
        <f>B11*B12*B14*B15*B16</f>
        <v>1.5213911576184389</v>
      </c>
      <c r="C18" s="61">
        <f t="shared" ref="C18:F18" si="7">C11*C12*C14*C15*C16</f>
        <v>1.3082785712992633</v>
      </c>
      <c r="D18" s="61">
        <f t="shared" si="7"/>
        <v>1.948112614029569</v>
      </c>
      <c r="E18" s="61">
        <f t="shared" si="7"/>
        <v>1.9266888341898059</v>
      </c>
      <c r="F18" s="61">
        <f t="shared" si="7"/>
        <v>3.7248030983552618</v>
      </c>
    </row>
    <row r="19" spans="1:6" x14ac:dyDescent="0.35">
      <c r="A19" s="145" t="s">
        <v>296</v>
      </c>
      <c r="B19">
        <f>B11*B12*B13</f>
        <v>1.5213911576184393</v>
      </c>
      <c r="C19">
        <f t="shared" ref="C19:F19" si="8">C11*C12*C13</f>
        <v>1.3082785712992633</v>
      </c>
      <c r="D19">
        <f t="shared" si="8"/>
        <v>1.948112614029569</v>
      </c>
      <c r="E19">
        <f t="shared" si="8"/>
        <v>1.9266888341898059</v>
      </c>
      <c r="F19">
        <f t="shared" si="8"/>
        <v>3.7248030983552618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FD7A8-B313-4D1F-9A7C-70B582617DBE}">
  <dimension ref="A1:Q40"/>
  <sheetViews>
    <sheetView showGridLines="0" topLeftCell="A10" zoomScale="68" zoomScaleNormal="91" workbookViewId="0">
      <selection activeCell="I32" sqref="I32"/>
    </sheetView>
  </sheetViews>
  <sheetFormatPr defaultRowHeight="14.5" x14ac:dyDescent="0.35"/>
  <cols>
    <col min="1" max="1" width="35.7265625" customWidth="1"/>
    <col min="2" max="2" width="14.7265625" customWidth="1"/>
    <col min="3" max="3" width="16.7265625" customWidth="1"/>
    <col min="4" max="5" width="11.7265625" customWidth="1"/>
    <col min="6" max="6" width="13" bestFit="1" customWidth="1"/>
    <col min="7" max="7" width="11.453125" customWidth="1"/>
    <col min="8" max="8" width="16" customWidth="1"/>
    <col min="9" max="9" width="11.1796875" customWidth="1"/>
    <col min="10" max="10" width="12.1796875" customWidth="1"/>
    <col min="11" max="11" width="11.54296875" customWidth="1"/>
    <col min="12" max="12" width="12.1796875" customWidth="1"/>
    <col min="13" max="13" width="14.7265625" customWidth="1"/>
  </cols>
  <sheetData>
    <row r="1" spans="1:17" x14ac:dyDescent="0.35">
      <c r="A1" s="65"/>
      <c r="H1" s="65"/>
    </row>
    <row r="2" spans="1:17" ht="15.5" x14ac:dyDescent="0.35">
      <c r="A2" s="66" t="s">
        <v>1</v>
      </c>
      <c r="B2" s="66">
        <v>2020</v>
      </c>
      <c r="C2" s="66">
        <v>2021</v>
      </c>
      <c r="D2" s="66">
        <v>2022</v>
      </c>
      <c r="E2" s="66">
        <v>2023</v>
      </c>
      <c r="F2" s="66">
        <v>2024</v>
      </c>
      <c r="H2" s="66" t="s">
        <v>1</v>
      </c>
      <c r="I2" s="66">
        <f>B2</f>
        <v>2020</v>
      </c>
      <c r="J2" s="66">
        <f t="shared" ref="J2:M3" si="0">C2</f>
        <v>2021</v>
      </c>
      <c r="K2" s="66">
        <f t="shared" si="0"/>
        <v>2022</v>
      </c>
      <c r="L2" s="66">
        <f t="shared" si="0"/>
        <v>2023</v>
      </c>
      <c r="M2" s="66">
        <f t="shared" si="0"/>
        <v>2024</v>
      </c>
    </row>
    <row r="3" spans="1:17" ht="15.5" x14ac:dyDescent="0.35">
      <c r="A3" s="66" t="s">
        <v>170</v>
      </c>
      <c r="B3" s="67">
        <f>Sheet5!B5</f>
        <v>64262</v>
      </c>
      <c r="C3" s="67">
        <f>Sheet5!C5</f>
        <v>70727</v>
      </c>
      <c r="D3" s="67">
        <f>Sheet5!D5</f>
        <v>118820</v>
      </c>
      <c r="E3" s="67">
        <f>Sheet5!E5</f>
        <v>131687</v>
      </c>
      <c r="F3" s="67">
        <f>Sheet5!F5</f>
        <v>135180</v>
      </c>
      <c r="H3" s="66" t="s">
        <v>170</v>
      </c>
      <c r="I3" s="67">
        <f>B3</f>
        <v>64262</v>
      </c>
      <c r="J3" s="67">
        <f t="shared" si="0"/>
        <v>70727</v>
      </c>
      <c r="K3" s="67">
        <f t="shared" si="0"/>
        <v>118820</v>
      </c>
      <c r="L3" s="67">
        <f t="shared" si="0"/>
        <v>131687</v>
      </c>
      <c r="M3" s="67">
        <f t="shared" si="0"/>
        <v>135180</v>
      </c>
      <c r="Q3" t="s">
        <v>171</v>
      </c>
    </row>
    <row r="4" spans="1:17" ht="15.5" x14ac:dyDescent="0.35">
      <c r="A4" s="66" t="s">
        <v>172</v>
      </c>
      <c r="B4" s="67">
        <f>Sheet5!B2</f>
        <v>64917</v>
      </c>
      <c r="C4" s="67">
        <f>Sheet5!C2</f>
        <v>72268</v>
      </c>
      <c r="D4" s="67">
        <f>Sheet5!D2</f>
        <v>123861</v>
      </c>
      <c r="E4" s="67">
        <f>Sheet5!E2</f>
        <v>133849</v>
      </c>
      <c r="F4" s="67">
        <f>Sheet5!F2</f>
        <v>140249</v>
      </c>
      <c r="H4" s="66" t="s">
        <v>173</v>
      </c>
      <c r="I4" s="67">
        <f>'BALANCE SHEET'!B25</f>
        <v>9623</v>
      </c>
      <c r="J4" s="67">
        <f>'BALANCE SHEET'!C25</f>
        <v>10692</v>
      </c>
      <c r="K4" s="67">
        <f>'BALANCE SHEET'!D25</f>
        <v>21028</v>
      </c>
      <c r="L4" s="67">
        <f>'BALANCE SHEET'!E25</f>
        <v>19517</v>
      </c>
      <c r="M4" s="67">
        <f>'BALANCE SHEET'!F25</f>
        <v>23234</v>
      </c>
    </row>
    <row r="5" spans="1:17" ht="15.5" x14ac:dyDescent="0.35">
      <c r="A5" s="66" t="s">
        <v>174</v>
      </c>
      <c r="B5" s="67">
        <f>'CASH FLOW'!B5</f>
        <v>14110</v>
      </c>
      <c r="C5" s="67">
        <f>'CASH FLOW'!C5</f>
        <v>17557</v>
      </c>
      <c r="D5" s="67">
        <f>'CASH FLOW'!D5</f>
        <v>23335</v>
      </c>
      <c r="E5" s="67">
        <f>'CASH FLOW'!E5</f>
        <v>20444</v>
      </c>
      <c r="F5" s="67">
        <f>'CASH FLOW'!F5</f>
        <v>5449</v>
      </c>
      <c r="H5" s="66" t="s">
        <v>175</v>
      </c>
      <c r="I5" s="67">
        <f>'BALANCE SHEET'!B26</f>
        <v>3166</v>
      </c>
      <c r="J5" s="67">
        <f>'BALANCE SHEET'!C26</f>
        <v>3333</v>
      </c>
      <c r="K5" s="67">
        <f>'BALANCE SHEET'!D26</f>
        <v>6146</v>
      </c>
      <c r="L5" s="67">
        <f>'BALANCE SHEET'!E26</f>
        <v>6000</v>
      </c>
      <c r="M5" s="67">
        <f>'BALANCE SHEET'!F26</f>
        <v>6498</v>
      </c>
    </row>
    <row r="6" spans="1:17" ht="15.5" x14ac:dyDescent="0.35">
      <c r="A6" s="66" t="s">
        <v>176</v>
      </c>
      <c r="B6" s="67">
        <f>'BALANCE SHEET'!B40</f>
        <v>97880</v>
      </c>
      <c r="C6" s="67">
        <f>'BALANCE SHEET'!C40</f>
        <v>106095</v>
      </c>
      <c r="D6" s="67">
        <f>'BALANCE SHEET'!D40</f>
        <v>120044</v>
      </c>
      <c r="E6" s="67">
        <f>'BALANCE SHEET'!E40</f>
        <v>123320</v>
      </c>
      <c r="F6" s="67">
        <f>'BALANCE SHEET'!F40</f>
        <v>138629</v>
      </c>
      <c r="H6" s="68"/>
      <c r="I6" s="68"/>
      <c r="J6" s="68"/>
      <c r="K6" s="68"/>
      <c r="L6" s="68"/>
      <c r="M6" s="68"/>
    </row>
    <row r="25" spans="1:7" x14ac:dyDescent="0.35">
      <c r="A25" s="65"/>
    </row>
    <row r="26" spans="1:7" ht="18.5" x14ac:dyDescent="0.45">
      <c r="A26" s="69" t="s">
        <v>1</v>
      </c>
      <c r="B26" s="69">
        <f>B2</f>
        <v>2020</v>
      </c>
      <c r="C26" s="69">
        <f t="shared" ref="C26:F26" si="1">C2</f>
        <v>2021</v>
      </c>
      <c r="D26" s="69">
        <f t="shared" si="1"/>
        <v>2022</v>
      </c>
      <c r="E26" s="69">
        <f t="shared" si="1"/>
        <v>2023</v>
      </c>
      <c r="F26" s="69">
        <f t="shared" si="1"/>
        <v>2024</v>
      </c>
    </row>
    <row r="27" spans="1:7" ht="18.5" x14ac:dyDescent="0.45">
      <c r="A27" s="70" t="s">
        <v>177</v>
      </c>
      <c r="B27" s="71">
        <f>I4</f>
        <v>9623</v>
      </c>
      <c r="C27" s="71">
        <f t="shared" ref="C27:F27" si="2">J4</f>
        <v>10692</v>
      </c>
      <c r="D27" s="71">
        <f t="shared" si="2"/>
        <v>21028</v>
      </c>
      <c r="E27" s="71">
        <f t="shared" si="2"/>
        <v>19517</v>
      </c>
      <c r="F27" s="71">
        <f t="shared" si="2"/>
        <v>23234</v>
      </c>
    </row>
    <row r="28" spans="1:7" ht="37" x14ac:dyDescent="0.45">
      <c r="A28" s="72" t="s">
        <v>141</v>
      </c>
      <c r="B28" s="71">
        <f>'CASH FLOW'!B6</f>
        <v>-19092</v>
      </c>
      <c r="C28" s="71">
        <f>'CASH FLOW'!C6</f>
        <v>-3759</v>
      </c>
      <c r="D28" s="71">
        <f>'CASH FLOW'!D6</f>
        <v>-17652</v>
      </c>
      <c r="E28" s="71">
        <f>'CASH FLOW'!E6</f>
        <v>-7361</v>
      </c>
      <c r="F28" s="71">
        <f>'CASH FLOW'!F6</f>
        <v>-8687</v>
      </c>
    </row>
    <row r="29" spans="1:7" ht="18.5" x14ac:dyDescent="0.45">
      <c r="A29" s="70" t="s">
        <v>178</v>
      </c>
      <c r="B29" s="71">
        <f>'BALANCE SHEET'!B26</f>
        <v>3166</v>
      </c>
      <c r="C29" s="71">
        <f>'BALANCE SHEET'!C26</f>
        <v>3333</v>
      </c>
      <c r="D29" s="71">
        <f>'BALANCE SHEET'!D26</f>
        <v>6146</v>
      </c>
      <c r="E29" s="71">
        <f>'BALANCE SHEET'!E26</f>
        <v>6000</v>
      </c>
      <c r="F29" s="71">
        <f>'BALANCE SHEET'!F26</f>
        <v>6498</v>
      </c>
    </row>
    <row r="30" spans="1:7" ht="39" customHeight="1" x14ac:dyDescent="0.45">
      <c r="A30" s="72" t="s">
        <v>144</v>
      </c>
      <c r="B30" s="71">
        <f>'CASH FLOW'!B9</f>
        <v>3438</v>
      </c>
      <c r="C30" s="71">
        <f>'CASH FLOW'!C9</f>
        <v>11121</v>
      </c>
      <c r="D30" s="71">
        <f>'CASH FLOW'!D9</f>
        <v>7670</v>
      </c>
      <c r="E30" s="71">
        <f>'CASH FLOW'!E9</f>
        <v>13668</v>
      </c>
      <c r="F30" s="71">
        <f>'CASH FLOW'!F9</f>
        <v>4953</v>
      </c>
      <c r="G30" s="71"/>
    </row>
    <row r="34" spans="7:14" x14ac:dyDescent="0.35">
      <c r="G34" s="73"/>
      <c r="H34" s="73"/>
      <c r="I34" s="73"/>
      <c r="J34" s="73"/>
      <c r="K34" s="73"/>
      <c r="L34" s="73"/>
      <c r="M34" s="73"/>
      <c r="N34" s="73"/>
    </row>
    <row r="35" spans="7:14" x14ac:dyDescent="0.35">
      <c r="G35" s="73"/>
      <c r="H35" s="73"/>
      <c r="I35" s="73"/>
      <c r="J35" s="73"/>
      <c r="K35" s="73"/>
      <c r="L35" s="73"/>
      <c r="M35" s="73"/>
      <c r="N35" s="73"/>
    </row>
    <row r="36" spans="7:14" x14ac:dyDescent="0.35">
      <c r="G36" s="73"/>
      <c r="H36" s="73"/>
      <c r="I36" s="73"/>
      <c r="J36" s="73"/>
      <c r="K36" s="73"/>
      <c r="L36" s="73"/>
      <c r="M36" s="73"/>
      <c r="N36" s="73"/>
    </row>
    <row r="37" spans="7:14" x14ac:dyDescent="0.35">
      <c r="G37" s="73"/>
      <c r="H37" s="73"/>
      <c r="I37" s="73"/>
      <c r="J37" s="73"/>
      <c r="K37" s="73"/>
      <c r="L37" s="73"/>
      <c r="M37" s="73"/>
      <c r="N37" s="73"/>
    </row>
    <row r="38" spans="7:14" x14ac:dyDescent="0.35">
      <c r="G38" s="73"/>
      <c r="H38" s="73"/>
      <c r="I38" s="73"/>
      <c r="J38" s="73"/>
      <c r="K38" s="73"/>
      <c r="L38" s="73"/>
      <c r="M38" s="73"/>
      <c r="N38" s="73"/>
    </row>
    <row r="39" spans="7:14" x14ac:dyDescent="0.35">
      <c r="G39" s="73"/>
      <c r="H39" s="73"/>
      <c r="I39" s="73"/>
      <c r="J39" s="73"/>
      <c r="K39" s="73"/>
      <c r="L39" s="73"/>
      <c r="M39" s="73"/>
      <c r="N39" s="73"/>
    </row>
    <row r="40" spans="7:14" x14ac:dyDescent="0.35">
      <c r="G40" s="73"/>
      <c r="H40" s="73"/>
      <c r="I40" s="73"/>
      <c r="J40" s="73"/>
      <c r="K40" s="73"/>
      <c r="L40" s="73"/>
      <c r="M40" s="73"/>
      <c r="N40" s="7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EA12-E57A-4D48-BD61-24FC1E9B807A}">
  <dimension ref="A2:S18"/>
  <sheetViews>
    <sheetView topLeftCell="C2" zoomScale="79" workbookViewId="0">
      <selection activeCell="F12" sqref="F12"/>
    </sheetView>
  </sheetViews>
  <sheetFormatPr defaultRowHeight="14.5" x14ac:dyDescent="0.35"/>
  <cols>
    <col min="1" max="1" width="62.26953125" style="83" customWidth="1"/>
    <col min="2" max="2" width="17.54296875" customWidth="1"/>
    <col min="3" max="6" width="10.54296875" bestFit="1" customWidth="1"/>
    <col min="10" max="10" width="21.26953125" customWidth="1"/>
    <col min="11" max="11" width="16.26953125" customWidth="1"/>
    <col min="12" max="12" width="14.54296875" customWidth="1"/>
    <col min="13" max="13" width="24.7265625" customWidth="1"/>
    <col min="14" max="14" width="16.54296875" customWidth="1"/>
    <col min="19" max="19" width="13" customWidth="1"/>
  </cols>
  <sheetData>
    <row r="2" spans="1:19" ht="46.9" customHeight="1" x14ac:dyDescent="0.35">
      <c r="A2" s="74" t="s">
        <v>179</v>
      </c>
    </row>
    <row r="4" spans="1:19" ht="14.5" customHeight="1" x14ac:dyDescent="0.35">
      <c r="A4" s="138" t="s">
        <v>180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</row>
    <row r="5" spans="1:19" ht="1.9" customHeight="1" x14ac:dyDescent="0.35">
      <c r="A5" s="138"/>
      <c r="B5" s="138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</row>
    <row r="7" spans="1:19" x14ac:dyDescent="0.35">
      <c r="A7" s="75" t="s">
        <v>1</v>
      </c>
      <c r="B7" s="76">
        <v>2022</v>
      </c>
      <c r="C7" s="76">
        <v>2021</v>
      </c>
      <c r="D7" s="76">
        <v>2020</v>
      </c>
      <c r="E7" s="76">
        <v>2019</v>
      </c>
      <c r="F7" s="76">
        <v>2018</v>
      </c>
    </row>
    <row r="8" spans="1:19" ht="17.5" x14ac:dyDescent="0.35">
      <c r="A8" s="77" t="s">
        <v>181</v>
      </c>
      <c r="B8" s="78">
        <f>1.2*(RATIO!B15/'BALANCE SHEET'!B40)</f>
        <v>8.0032693093583976E-2</v>
      </c>
      <c r="C8" s="78">
        <f>1.2*(RATIO!C15/'BALANCE SHEET'!C40)</f>
        <v>6.4029407606390504E-2</v>
      </c>
      <c r="D8" s="78">
        <f>1.2*(RATIO!D15/'BALANCE SHEET'!D40)</f>
        <v>0.11589750424844224</v>
      </c>
      <c r="E8" s="78">
        <f>1.2*(RATIO!E15/'BALANCE SHEET'!E40)</f>
        <v>6.8923126824521563E-2</v>
      </c>
      <c r="F8" s="78">
        <f>1.2*(RATIO!F15/'BALANCE SHEET'!F40)</f>
        <v>4.8517986857006826E-2</v>
      </c>
    </row>
    <row r="9" spans="1:19" ht="17.5" x14ac:dyDescent="0.35">
      <c r="A9" s="77" t="s">
        <v>182</v>
      </c>
      <c r="B9" s="78">
        <f>1.4*('BALANCE SHEET'!B5/'BALANCE SHEET'!B40)</f>
        <v>0.54439517776869639</v>
      </c>
      <c r="C9" s="78">
        <f>1.4*('BALANCE SHEET'!C5/'BALANCE SHEET'!C40)</f>
        <v>0.61591026909844948</v>
      </c>
      <c r="D9" s="78">
        <f>1.4*('BALANCE SHEET'!D5/'BALANCE SHEET'!D40)</f>
        <v>0.7370630768718136</v>
      </c>
      <c r="E9" s="78">
        <f>1.4*('BALANCE SHEET'!E5/'BALANCE SHEET'!E40)</f>
        <v>0.71927667855984434</v>
      </c>
      <c r="F9" s="78">
        <f>1.4*('BALANCE SHEET'!F5/'BALANCE SHEET'!F40)</f>
        <v>0.75719510347762731</v>
      </c>
    </row>
    <row r="10" spans="1:19" ht="16.899999999999999" customHeight="1" x14ac:dyDescent="0.35">
      <c r="A10" s="77" t="s">
        <v>183</v>
      </c>
      <c r="B10" s="78">
        <f>3.3*(Sheet5!B7/Interconnection!B6)</f>
        <v>0.39904781364936653</v>
      </c>
      <c r="C10" s="78">
        <f>3.3*(Sheet5!C7/Interconnection!C6)</f>
        <v>0.60783825816485226</v>
      </c>
      <c r="D10" s="78">
        <f>3.3*(Sheet5!D7/Interconnection!D6)</f>
        <v>0.90922911599080336</v>
      </c>
      <c r="E10" s="78">
        <f>3.3*(Sheet5!E7/Interconnection!E6)</f>
        <v>0.45338874472915991</v>
      </c>
      <c r="F10" s="78">
        <f>3.3*(Sheet5!F7/Interconnection!F6)</f>
        <v>0.56285842067677028</v>
      </c>
    </row>
    <row r="11" spans="1:19" ht="17.5" x14ac:dyDescent="0.35">
      <c r="A11" s="77" t="s">
        <v>184</v>
      </c>
      <c r="B11" s="78">
        <f>0.6*('BALANCE SHEET'!B8/'BALANCE SHEET'!B13)</f>
        <v>0.23515733551287291</v>
      </c>
      <c r="C11" s="78">
        <f>0.6*('BALANCE SHEET'!C8/'BALANCE SHEET'!C13)</f>
        <v>0.2656694471935529</v>
      </c>
      <c r="D11" s="78">
        <f>0.6*('BALANCE SHEET'!D8/'BALANCE SHEET'!D13)</f>
        <v>0.31738862417113722</v>
      </c>
      <c r="E11" s="78">
        <f>0.6*('BALANCE SHEET'!E8/'BALANCE SHEET'!E13)</f>
        <v>0.30972591631527735</v>
      </c>
      <c r="F11" s="78">
        <f>0.6*('BALANCE SHEET'!F8/'BALANCE SHEET'!F13)</f>
        <v>0.32583225731989701</v>
      </c>
    </row>
    <row r="12" spans="1:19" ht="17.5" x14ac:dyDescent="0.35">
      <c r="A12" s="77" t="s">
        <v>185</v>
      </c>
      <c r="B12" s="78">
        <f>1*('INCOME STATEMENT '!B4/'BALANCE SHEET'!B40)</f>
        <v>0.65653861871679609</v>
      </c>
      <c r="C12" s="78">
        <f>1*('INCOME STATEMENT '!C4/'BALANCE SHEET'!C40)</f>
        <v>0.66663839012206039</v>
      </c>
      <c r="D12" s="78">
        <f>1*('INCOME STATEMENT '!D4/'BALANCE SHEET'!D40)</f>
        <v>0.98980373862916926</v>
      </c>
      <c r="E12" s="78">
        <f>1*('INCOME STATEMENT '!E4/'BALANCE SHEET'!E40)</f>
        <v>1.0678478754459941</v>
      </c>
      <c r="F12" s="78">
        <f>1*('INCOME STATEMENT '!F4/'BALANCE SHEET'!F40)</f>
        <v>0.97512064575233182</v>
      </c>
    </row>
    <row r="14" spans="1:19" ht="23.5" customHeight="1" x14ac:dyDescent="0.35">
      <c r="A14" s="79" t="s">
        <v>1</v>
      </c>
      <c r="B14" s="80">
        <v>2022</v>
      </c>
      <c r="C14" s="80">
        <v>2021</v>
      </c>
      <c r="D14" s="80">
        <v>2020</v>
      </c>
      <c r="E14" s="80">
        <v>2019</v>
      </c>
      <c r="F14" s="80">
        <v>2018</v>
      </c>
    </row>
    <row r="15" spans="1:19" ht="22.15" customHeight="1" x14ac:dyDescent="0.35">
      <c r="A15" s="81" t="s">
        <v>186</v>
      </c>
      <c r="B15" s="82">
        <f>SUM(B8:B12)</f>
        <v>1.9151716387413158</v>
      </c>
      <c r="C15" s="82">
        <f t="shared" ref="C15:F15" si="0">SUM(C8:C12)</f>
        <v>2.2200857721853056</v>
      </c>
      <c r="D15" s="82">
        <f t="shared" si="0"/>
        <v>3.0693820599113657</v>
      </c>
      <c r="E15" s="82">
        <f t="shared" si="0"/>
        <v>2.6191623418747971</v>
      </c>
      <c r="F15" s="82">
        <f t="shared" si="0"/>
        <v>2.6695244140836332</v>
      </c>
    </row>
    <row r="18" spans="8:8" x14ac:dyDescent="0.35">
      <c r="H18" t="s">
        <v>187</v>
      </c>
    </row>
  </sheetData>
  <mergeCells count="1">
    <mergeCell ref="A4:S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403AF-3F02-48F8-B1F3-D7141CBF0869}">
  <dimension ref="A1:K56"/>
  <sheetViews>
    <sheetView workbookViewId="0">
      <selection activeCell="K14" sqref="K14"/>
    </sheetView>
  </sheetViews>
  <sheetFormatPr defaultRowHeight="14.5" x14ac:dyDescent="0.35"/>
  <cols>
    <col min="1" max="1" width="38.453125" customWidth="1"/>
    <col min="2" max="9" width="9.90625" bestFit="1" customWidth="1"/>
    <col min="10" max="10" width="14" customWidth="1"/>
    <col min="11" max="11" width="14.54296875" customWidth="1"/>
  </cols>
  <sheetData>
    <row r="1" spans="1:11" x14ac:dyDescent="0.35">
      <c r="A1" s="84" t="s">
        <v>188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x14ac:dyDescent="0.35">
      <c r="B2" s="85"/>
      <c r="C2" s="85"/>
      <c r="D2" s="85"/>
      <c r="E2" s="85"/>
      <c r="F2" s="85"/>
      <c r="G2" s="85"/>
      <c r="I2" s="86" t="s">
        <v>189</v>
      </c>
      <c r="J2" s="87"/>
      <c r="K2" s="88" t="s">
        <v>190</v>
      </c>
    </row>
    <row r="3" spans="1:11" x14ac:dyDescent="0.35">
      <c r="A3" s="89" t="s">
        <v>191</v>
      </c>
      <c r="B3" s="89" t="s">
        <v>192</v>
      </c>
      <c r="C3" s="85" t="s">
        <v>192</v>
      </c>
      <c r="D3" s="85" t="s">
        <v>192</v>
      </c>
      <c r="E3" s="85"/>
      <c r="F3" s="85"/>
      <c r="G3" s="85"/>
      <c r="I3" s="86" t="s">
        <v>192</v>
      </c>
      <c r="J3" s="86" t="s">
        <v>193</v>
      </c>
      <c r="K3" s="90">
        <f>K4+0.02</f>
        <v>0.16899999999999998</v>
      </c>
    </row>
    <row r="4" spans="1:11" x14ac:dyDescent="0.35">
      <c r="A4" s="85"/>
      <c r="B4" s="91" t="s">
        <v>194</v>
      </c>
      <c r="C4" s="85"/>
      <c r="D4" s="85"/>
      <c r="E4" s="85"/>
      <c r="F4" s="85"/>
      <c r="G4" s="85"/>
      <c r="I4" s="86" t="s">
        <v>195</v>
      </c>
      <c r="J4" s="86" t="s">
        <v>196</v>
      </c>
      <c r="K4" s="90">
        <v>0.14899999999999999</v>
      </c>
    </row>
    <row r="5" spans="1:11" x14ac:dyDescent="0.35">
      <c r="B5" s="92" t="s">
        <v>197</v>
      </c>
      <c r="C5" s="85"/>
      <c r="D5" s="85"/>
      <c r="E5" s="85"/>
      <c r="F5" s="85"/>
      <c r="G5" s="85"/>
      <c r="I5" s="86" t="s">
        <v>198</v>
      </c>
      <c r="J5" s="86" t="s">
        <v>199</v>
      </c>
      <c r="K5" s="90">
        <f>K4-0.02</f>
        <v>0.129</v>
      </c>
    </row>
    <row r="6" spans="1:11" x14ac:dyDescent="0.35">
      <c r="A6" s="93" t="s">
        <v>200</v>
      </c>
      <c r="B6" s="85"/>
      <c r="C6" s="94"/>
      <c r="D6" s="85"/>
      <c r="E6" s="85"/>
      <c r="F6" s="85"/>
      <c r="G6" s="85"/>
      <c r="H6" s="85"/>
      <c r="I6" s="85"/>
      <c r="J6" s="85"/>
      <c r="K6" s="85"/>
    </row>
    <row r="7" spans="1:11" x14ac:dyDescent="0.35">
      <c r="A7" s="85"/>
      <c r="B7" s="85"/>
      <c r="C7" s="94"/>
      <c r="D7" s="85"/>
      <c r="E7" s="85"/>
      <c r="F7" s="85"/>
      <c r="G7" s="85"/>
      <c r="H7" s="85"/>
      <c r="I7" s="85"/>
      <c r="J7" s="85"/>
    </row>
    <row r="8" spans="1:11" ht="24" x14ac:dyDescent="0.35">
      <c r="A8" s="95" t="s">
        <v>201</v>
      </c>
      <c r="B8" s="96" t="s">
        <v>227</v>
      </c>
      <c r="C8" s="96" t="s">
        <v>228</v>
      </c>
      <c r="D8" s="96" t="s">
        <v>229</v>
      </c>
      <c r="E8" s="96" t="s">
        <v>202</v>
      </c>
      <c r="F8" s="96" t="s">
        <v>203</v>
      </c>
      <c r="G8" s="96" t="s">
        <v>230</v>
      </c>
      <c r="H8" s="96" t="s">
        <v>231</v>
      </c>
      <c r="I8" s="96" t="s">
        <v>232</v>
      </c>
    </row>
    <row r="9" spans="1:11" x14ac:dyDescent="0.35">
      <c r="A9" s="97" t="s">
        <v>204</v>
      </c>
      <c r="B9" s="98">
        <f>'INCOME STATEMENT '!D4</f>
        <v>118820</v>
      </c>
      <c r="C9" s="98">
        <f>'INCOME STATEMENT '!E4</f>
        <v>131687</v>
      </c>
      <c r="D9" s="98">
        <f>'INCOME STATEMENT '!F4</f>
        <v>135180</v>
      </c>
      <c r="E9" s="99">
        <f>D9*(1+E10)</f>
        <v>158025.42000000001</v>
      </c>
      <c r="F9" s="99">
        <f>E9*(1+F10)</f>
        <v>184731.71598000001</v>
      </c>
      <c r="G9" s="99">
        <f t="shared" ref="G9:I9" si="0">F9*(1+G10)</f>
        <v>215951.37598062001</v>
      </c>
      <c r="H9" s="99">
        <f t="shared" si="0"/>
        <v>252447.1585213448</v>
      </c>
      <c r="I9" s="99">
        <f t="shared" si="0"/>
        <v>295110.72831145208</v>
      </c>
    </row>
    <row r="10" spans="1:11" x14ac:dyDescent="0.35">
      <c r="A10" s="97" t="s">
        <v>205</v>
      </c>
      <c r="B10" s="100"/>
      <c r="C10" s="100">
        <f t="shared" ref="C10:D10" si="1">(C9-B9)/B9</f>
        <v>0.10828985019357011</v>
      </c>
      <c r="D10" s="100">
        <f t="shared" si="1"/>
        <v>2.6525017655501304E-2</v>
      </c>
      <c r="E10" s="101">
        <f>VLOOKUP(B3,I2:K5,3,FALSE)</f>
        <v>0.16899999999999998</v>
      </c>
      <c r="F10" s="101">
        <f>VLOOKUP($B$3,$I$3:$K$5,3,0)</f>
        <v>0.16899999999999998</v>
      </c>
      <c r="G10" s="101">
        <f>VLOOKUP($B$3,$I$3:$K$5,3,0)</f>
        <v>0.16899999999999998</v>
      </c>
      <c r="H10" s="101">
        <f>VLOOKUP($B$3,$I$3:$K$5,3,0)</f>
        <v>0.16899999999999998</v>
      </c>
      <c r="I10" s="101">
        <f>VLOOKUP($B$3,$I$3:$K$5,3,0)</f>
        <v>0.16899999999999998</v>
      </c>
    </row>
    <row r="11" spans="1:11" x14ac:dyDescent="0.35">
      <c r="A11" s="102"/>
      <c r="B11" s="85"/>
      <c r="C11" s="85"/>
      <c r="D11" s="85"/>
      <c r="E11" s="101"/>
      <c r="F11" s="103"/>
      <c r="G11" s="103"/>
      <c r="H11" s="103"/>
      <c r="I11" s="103"/>
    </row>
    <row r="12" spans="1:11" x14ac:dyDescent="0.35">
      <c r="A12" s="97" t="s">
        <v>206</v>
      </c>
      <c r="B12" s="98">
        <f>'INCOME STATEMENT '!D7</f>
        <v>1929</v>
      </c>
      <c r="C12" s="98">
        <f>'INCOME STATEMENT '!E7</f>
        <v>1572</v>
      </c>
      <c r="D12" s="98">
        <f>'INCOME STATEMENT '!F7</f>
        <v>3333</v>
      </c>
      <c r="E12" s="99">
        <f>E9*E13</f>
        <v>2782.7250269021574</v>
      </c>
      <c r="F12" s="99">
        <f>F9*F13</f>
        <v>3253.005556448622</v>
      </c>
      <c r="G12" s="99">
        <f>G9*G13</f>
        <v>3802.7634954884388</v>
      </c>
      <c r="H12" s="99">
        <f>H9*H13</f>
        <v>4514.8388519935288</v>
      </c>
      <c r="I12" s="99">
        <f>I9*I13</f>
        <v>5628.8451564487532</v>
      </c>
    </row>
    <row r="13" spans="1:11" x14ac:dyDescent="0.35">
      <c r="A13" s="97" t="s">
        <v>207</v>
      </c>
      <c r="B13" s="104">
        <f>B12/B9</f>
        <v>1.6234640632890086E-2</v>
      </c>
      <c r="C13" s="104">
        <f>C12/C9</f>
        <v>1.1937397009575737E-2</v>
      </c>
      <c r="D13" s="104">
        <f>D12/D9</f>
        <v>2.4656014203284511E-2</v>
      </c>
      <c r="E13" s="101">
        <f>AVERAGE(B13:D13)</f>
        <v>1.7609350615250111E-2</v>
      </c>
      <c r="F13" s="101">
        <f>AVERAGE(B13:E13)</f>
        <v>1.7609350615250111E-2</v>
      </c>
      <c r="G13" s="101">
        <f t="shared" ref="G13:I13" si="2">AVERAGE(B13:F13)</f>
        <v>1.7609350615250111E-2</v>
      </c>
      <c r="H13" s="101">
        <f t="shared" si="2"/>
        <v>1.7884292611722117E-2</v>
      </c>
      <c r="I13" s="101">
        <f t="shared" si="2"/>
        <v>1.9073671732151392E-2</v>
      </c>
    </row>
    <row r="14" spans="1:11" x14ac:dyDescent="0.35">
      <c r="A14" s="102"/>
      <c r="B14" s="105"/>
      <c r="C14" s="105"/>
      <c r="D14" s="105"/>
      <c r="E14" s="103"/>
      <c r="F14" s="103"/>
      <c r="G14" s="103"/>
      <c r="H14" s="103"/>
      <c r="I14" s="103"/>
    </row>
    <row r="15" spans="1:11" x14ac:dyDescent="0.35">
      <c r="A15" s="97" t="s">
        <v>208</v>
      </c>
      <c r="B15" s="98">
        <f>'INCOME STATEMENT '!D11+'INCOME STATEMENT '!D12+'INCOME STATEMENT '!D13+'INCOME STATEMENT '!D14</f>
        <v>87678</v>
      </c>
      <c r="C15" s="98">
        <f>'INCOME STATEMENT '!E11+'INCOME STATEMENT '!E12+'INCOME STATEMENT '!E13+'INCOME STATEMENT '!E14</f>
        <v>112824</v>
      </c>
      <c r="D15" s="98">
        <f>'INCOME STATEMENT '!F11+'INCOME STATEMENT '!F12+'INCOME STATEMENT '!F13+'INCOME STATEMENT '!F14</f>
        <v>111376</v>
      </c>
      <c r="E15" s="99">
        <f>E9*E16</f>
        <v>127398.71184684345</v>
      </c>
      <c r="F15" s="99">
        <f>F9*F16</f>
        <v>148929.09414895999</v>
      </c>
      <c r="G15" s="99">
        <f>G9*G16</f>
        <v>174098.11106013422</v>
      </c>
      <c r="H15" s="99">
        <f>H9*H16</f>
        <v>206968.371745679</v>
      </c>
      <c r="I15" s="99">
        <f>I9*I16</f>
        <v>239767.48744383635</v>
      </c>
    </row>
    <row r="16" spans="1:11" x14ac:dyDescent="0.35">
      <c r="A16" s="97" t="s">
        <v>207</v>
      </c>
      <c r="B16" s="100">
        <f>B15/B9</f>
        <v>0.73790607641811146</v>
      </c>
      <c r="C16" s="100">
        <f>C15/C9</f>
        <v>0.85675882964909211</v>
      </c>
      <c r="D16" s="100">
        <f>D15/D9</f>
        <v>0.82390886225773041</v>
      </c>
      <c r="E16" s="101">
        <f>AVERAGE(B16:D16)</f>
        <v>0.80619125610831122</v>
      </c>
      <c r="F16" s="101">
        <f>AVERAGE(B16:E16)</f>
        <v>0.80619125610831122</v>
      </c>
      <c r="G16" s="101">
        <f t="shared" ref="G16:I16" si="3">AVERAGE(B16:F16)</f>
        <v>0.80619125610831122</v>
      </c>
      <c r="H16" s="101">
        <f t="shared" si="3"/>
        <v>0.81984829204635123</v>
      </c>
      <c r="I16" s="101">
        <f t="shared" si="3"/>
        <v>0.81246618452580299</v>
      </c>
    </row>
    <row r="17" spans="1:9" x14ac:dyDescent="0.35">
      <c r="A17" s="97"/>
      <c r="B17" s="106"/>
      <c r="C17" s="106"/>
      <c r="D17" s="106"/>
      <c r="E17" s="107"/>
      <c r="F17" s="107"/>
      <c r="G17" s="107"/>
      <c r="H17" s="107"/>
      <c r="I17" s="107"/>
    </row>
    <row r="18" spans="1:9" x14ac:dyDescent="0.35">
      <c r="A18" s="97" t="s">
        <v>209</v>
      </c>
      <c r="B18" s="98">
        <f>'INCOME STATEMENT '!D15</f>
        <v>287</v>
      </c>
      <c r="C18" s="98">
        <f>'INCOME STATEMENT '!E15</f>
        <v>484</v>
      </c>
      <c r="D18" s="98">
        <f>'INCOME STATEMENT '!F15</f>
        <v>469</v>
      </c>
      <c r="E18" s="99">
        <f>E9*E19</f>
        <v>503.58741234090769</v>
      </c>
      <c r="F18" s="99">
        <f>F9*F19</f>
        <v>588.69368502652105</v>
      </c>
      <c r="G18" s="99">
        <f>G9*G19</f>
        <v>688.18291779600315</v>
      </c>
      <c r="H18" s="99">
        <f>H9*H19</f>
        <v>843.42990081150799</v>
      </c>
      <c r="I18" s="99">
        <f>I9*I19</f>
        <v>966.23454628214938</v>
      </c>
    </row>
    <row r="19" spans="1:9" x14ac:dyDescent="0.35">
      <c r="A19" s="97" t="s">
        <v>207</v>
      </c>
      <c r="B19" s="104">
        <f>B18/B9</f>
        <v>2.4154182797508838E-3</v>
      </c>
      <c r="C19" s="104">
        <f>C18/C9</f>
        <v>3.6753817764851502E-3</v>
      </c>
      <c r="D19" s="104">
        <f>D18/D9</f>
        <v>3.4694481432164521E-3</v>
      </c>
      <c r="E19" s="101">
        <f>AVERAGE(B19:D19)</f>
        <v>3.1867493998174955E-3</v>
      </c>
      <c r="F19" s="101">
        <f>AVERAGE(B19:E19)</f>
        <v>3.1867493998174955E-3</v>
      </c>
      <c r="G19" s="101">
        <f t="shared" ref="G19:I19" si="4">AVERAGE(B19:F19)</f>
        <v>3.1867493998174955E-3</v>
      </c>
      <c r="H19" s="101">
        <f t="shared" si="4"/>
        <v>3.3410156238308174E-3</v>
      </c>
      <c r="I19" s="101">
        <f t="shared" si="4"/>
        <v>3.2741423932999511E-3</v>
      </c>
    </row>
    <row r="20" spans="1:9" x14ac:dyDescent="0.35">
      <c r="A20" s="97"/>
      <c r="B20" s="106"/>
      <c r="C20" s="106"/>
      <c r="D20" s="106"/>
      <c r="E20" s="108"/>
      <c r="F20" s="107"/>
      <c r="G20" s="107"/>
      <c r="H20" s="107"/>
      <c r="I20" s="107"/>
    </row>
    <row r="21" spans="1:9" x14ac:dyDescent="0.35">
      <c r="A21" s="97" t="s">
        <v>210</v>
      </c>
      <c r="B21" s="98">
        <f>'INCOME STATEMENT '!D20</f>
        <v>3849</v>
      </c>
      <c r="C21" s="98">
        <f>'INCOME STATEMENT '!E20</f>
        <v>5023</v>
      </c>
      <c r="D21" s="98">
        <f>'INCOME STATEMENT '!F20</f>
        <v>6108</v>
      </c>
      <c r="E21" s="109">
        <f>E9*E22</f>
        <v>6095.6310359424469</v>
      </c>
      <c r="F21" s="109">
        <f>F9*F22</f>
        <v>7125.792681016721</v>
      </c>
      <c r="G21" s="109">
        <f>G9*G22</f>
        <v>8330.0516441085456</v>
      </c>
      <c r="H21" s="109">
        <f>H9*H22</f>
        <v>10049.865200523696</v>
      </c>
      <c r="I21" s="109">
        <f>I9*I22</f>
        <v>11846.641072698723</v>
      </c>
    </row>
    <row r="22" spans="1:9" x14ac:dyDescent="0.35">
      <c r="A22" s="97" t="s">
        <v>207</v>
      </c>
      <c r="B22" s="100">
        <f>B21/B9</f>
        <v>3.2393536441676488E-2</v>
      </c>
      <c r="C22" s="100">
        <f>C21/C9</f>
        <v>3.8143476577034936E-2</v>
      </c>
      <c r="D22" s="100">
        <f>D21/D9</f>
        <v>4.5184198845983133E-2</v>
      </c>
      <c r="E22" s="101">
        <f>AVERAGE(B22:D22)</f>
        <v>3.8573737288231519E-2</v>
      </c>
      <c r="F22" s="101">
        <f>AVERAGE(B22:E22)</f>
        <v>3.8573737288231519E-2</v>
      </c>
      <c r="G22" s="101">
        <f t="shared" ref="G22:I22" si="5">AVERAGE(B22:F22)</f>
        <v>3.8573737288231519E-2</v>
      </c>
      <c r="H22" s="101">
        <f t="shared" si="5"/>
        <v>3.9809777457542522E-2</v>
      </c>
      <c r="I22" s="101">
        <f t="shared" si="5"/>
        <v>4.0143037633644039E-2</v>
      </c>
    </row>
    <row r="23" spans="1:9" x14ac:dyDescent="0.35">
      <c r="A23" s="102"/>
      <c r="B23" s="85"/>
      <c r="C23" s="85"/>
      <c r="D23" s="85"/>
      <c r="E23" s="110"/>
      <c r="F23" s="110"/>
      <c r="G23" s="110"/>
      <c r="H23" s="110"/>
      <c r="I23" s="110"/>
    </row>
    <row r="24" spans="1:9" x14ac:dyDescent="0.35">
      <c r="A24" s="97" t="s">
        <v>211</v>
      </c>
      <c r="B24" s="98">
        <f>'INCOME STATEMENT '!D22</f>
        <v>4511</v>
      </c>
      <c r="C24" s="98">
        <f>'INCOME STATEMENT '!E22</f>
        <v>4952</v>
      </c>
      <c r="D24" s="98">
        <f>'INCOME STATEMENT '!F22</f>
        <v>5435</v>
      </c>
      <c r="E24" s="111">
        <f>E25*'[1]Financial Statements'!G58</f>
        <v>621.87779101918613</v>
      </c>
      <c r="F24" s="111">
        <f>F25*'[1]Financial Statements'!H58</f>
        <v>641.87941708899803</v>
      </c>
      <c r="G24" s="111">
        <f>G25*'[1]Financial Statements'!I58</f>
        <v>682.23268785905941</v>
      </c>
      <c r="H24" s="111">
        <f>H25*'[1]Financial Statements'!J58</f>
        <v>733.80157729815335</v>
      </c>
      <c r="I24" s="111">
        <f>I25*'[1]Financial Statements'!K58</f>
        <v>794.52737836605672</v>
      </c>
    </row>
    <row r="25" spans="1:9" x14ac:dyDescent="0.35">
      <c r="A25" s="97" t="s">
        <v>212</v>
      </c>
      <c r="B25" s="112">
        <f>[1]Assumptions!D24/'[1]Financial Statements'!D58</f>
        <v>9.8520812699188789E-2</v>
      </c>
      <c r="C25" s="112">
        <f>[1]Assumptions!E24/'[1]Financial Statements'!E58</f>
        <v>9.6532957494470703E-2</v>
      </c>
      <c r="D25" s="112">
        <f>[1]Assumptions!F24/'[1]Financial Statements'!F58</f>
        <v>9.0530254340039529E-2</v>
      </c>
      <c r="E25" s="101">
        <f>AVERAGE(B25:D25)</f>
        <v>9.519467484456634E-2</v>
      </c>
      <c r="F25" s="101">
        <f>AVERAGE(B25:E25)</f>
        <v>9.519467484456634E-2</v>
      </c>
      <c r="G25" s="101">
        <f t="shared" ref="G25:I25" si="6">AVERAGE(B25:F25)</f>
        <v>9.519467484456634E-2</v>
      </c>
      <c r="H25" s="101">
        <f t="shared" si="6"/>
        <v>9.4529447273641848E-2</v>
      </c>
      <c r="I25" s="101">
        <f t="shared" si="6"/>
        <v>9.4128745229476077E-2</v>
      </c>
    </row>
    <row r="26" spans="1:9" x14ac:dyDescent="0.35">
      <c r="A26" s="97"/>
      <c r="B26" s="106"/>
      <c r="C26" s="106"/>
      <c r="D26" s="106"/>
      <c r="E26" s="113"/>
      <c r="F26" s="107"/>
      <c r="G26" s="107"/>
      <c r="H26" s="107"/>
      <c r="I26" s="107"/>
    </row>
    <row r="27" spans="1:9" x14ac:dyDescent="0.35">
      <c r="A27" s="97" t="s">
        <v>213</v>
      </c>
      <c r="B27" s="105">
        <f>'INCOME STATEMENT '!D16</f>
        <v>2821</v>
      </c>
      <c r="C27" s="105">
        <f>'INCOME STATEMENT '!E16</f>
        <v>3598</v>
      </c>
      <c r="D27" s="105">
        <f>'INCOME STATEMENT '!F16</f>
        <v>4759</v>
      </c>
      <c r="E27" s="114">
        <f>E9*E28</f>
        <v>4544.2352954385351</v>
      </c>
      <c r="F27" s="114">
        <f>F9*F28</f>
        <v>5312.2110603676474</v>
      </c>
      <c r="G27" s="114">
        <f>G9*G28</f>
        <v>6209.9747295697807</v>
      </c>
      <c r="H27" s="114">
        <f>H9*H28</f>
        <v>7512.6428482524825</v>
      </c>
      <c r="I27" s="114">
        <f>I9*I28</f>
        <v>8926.1109060465787</v>
      </c>
    </row>
    <row r="28" spans="1:9" x14ac:dyDescent="0.35">
      <c r="A28" s="97" t="s">
        <v>207</v>
      </c>
      <c r="B28" s="100">
        <f>B27/B9</f>
        <v>2.3741794310722101E-2</v>
      </c>
      <c r="C28" s="100">
        <f>C27/C9</f>
        <v>2.7322362875606552E-2</v>
      </c>
      <c r="D28" s="100">
        <f>D27/D9</f>
        <v>3.5204911969226219E-2</v>
      </c>
      <c r="E28" s="101">
        <f>AVERAGE(B28:D28)</f>
        <v>2.8756356385184961E-2</v>
      </c>
      <c r="F28" s="101">
        <f>AVERAGE(B28:E28)</f>
        <v>2.8756356385184961E-2</v>
      </c>
      <c r="G28" s="101">
        <f t="shared" ref="G28:I28" si="7">AVERAGE(B28:F28)</f>
        <v>2.8756356385184961E-2</v>
      </c>
      <c r="H28" s="101">
        <f t="shared" si="7"/>
        <v>2.975926880007753E-2</v>
      </c>
      <c r="I28" s="101">
        <f t="shared" si="7"/>
        <v>3.024664998497173E-2</v>
      </c>
    </row>
    <row r="29" spans="1:9" x14ac:dyDescent="0.35">
      <c r="A29" s="102"/>
      <c r="B29" s="105"/>
      <c r="C29" s="105"/>
      <c r="D29" s="105"/>
      <c r="E29" s="107"/>
      <c r="F29" s="107"/>
      <c r="G29" s="107"/>
      <c r="H29" s="107"/>
      <c r="I29" s="107"/>
    </row>
    <row r="30" spans="1:9" x14ac:dyDescent="0.35">
      <c r="A30" s="97" t="s">
        <v>214</v>
      </c>
      <c r="B30" s="98">
        <f>'INCOME STATEMENT '!D24</f>
        <v>4411</v>
      </c>
      <c r="C30" s="98">
        <f>'INCOME STATEMENT '!E24</f>
        <v>1218</v>
      </c>
      <c r="D30" s="98">
        <f>'INCOME STATEMENT '!F24</f>
        <v>3453</v>
      </c>
      <c r="E30" s="99">
        <f>'[1]Financial Statements'!G25*[1]Assumptions!G31</f>
        <v>499.96305369427881</v>
      </c>
      <c r="F30" s="99">
        <f>'[1]Financial Statements'!H25*[1]Assumptions!H31</f>
        <v>550.39996666124102</v>
      </c>
      <c r="G30" s="99">
        <f>'[1]Financial Statements'!I25*[1]Assumptions!I31</f>
        <v>600.48418946950483</v>
      </c>
      <c r="H30" s="99">
        <f>'[1]Financial Statements'!J25*[1]Assumptions!J31</f>
        <v>673.87245928249729</v>
      </c>
      <c r="I30" s="99">
        <f>'[1]Financial Statements'!K25*[1]Assumptions!K31</f>
        <v>732.36534471438995</v>
      </c>
    </row>
    <row r="31" spans="1:9" x14ac:dyDescent="0.35">
      <c r="A31" s="97" t="s">
        <v>215</v>
      </c>
      <c r="B31" s="112">
        <f>B30/'[1]Financial Statements'!D25</f>
        <v>2.9288147297270384</v>
      </c>
      <c r="C31" s="112">
        <f>C30/'[1]Financial Statements'!E25</f>
        <v>0.62525025410416701</v>
      </c>
      <c r="D31" s="115">
        <f>D30/'[1]Financial Statements'!F25</f>
        <v>1.4301808331745633</v>
      </c>
      <c r="E31" s="101">
        <f>0.22*(1.1)*(1.04)</f>
        <v>0.25168000000000001</v>
      </c>
      <c r="F31" s="101">
        <f t="shared" ref="F31:I31" si="8">0.22*(1.1)*(1.04)</f>
        <v>0.25168000000000001</v>
      </c>
      <c r="G31" s="101">
        <f t="shared" si="8"/>
        <v>0.25168000000000001</v>
      </c>
      <c r="H31" s="101">
        <f t="shared" si="8"/>
        <v>0.25168000000000001</v>
      </c>
      <c r="I31" s="101">
        <f t="shared" si="8"/>
        <v>0.25168000000000001</v>
      </c>
    </row>
    <row r="32" spans="1:9" x14ac:dyDescent="0.35">
      <c r="A32" s="97"/>
      <c r="B32" s="106"/>
      <c r="C32" s="106"/>
      <c r="D32" s="106"/>
      <c r="E32" s="116"/>
      <c r="F32" s="116"/>
      <c r="G32" s="116"/>
      <c r="H32" s="116"/>
      <c r="I32" s="116"/>
    </row>
    <row r="33" spans="1:9" x14ac:dyDescent="0.35">
      <c r="A33" s="97" t="s">
        <v>34</v>
      </c>
      <c r="B33" s="98">
        <f>RATIO!B26</f>
        <v>310.27596451585907</v>
      </c>
      <c r="C33" s="98">
        <f>RATIO!C26</f>
        <v>470.73795486887582</v>
      </c>
      <c r="D33" s="98">
        <f>RATIO!D26</f>
        <v>344.93112530300203</v>
      </c>
      <c r="E33" s="99">
        <f>'[1]Financial Statements'!C30*[1]Assumptions!G34</f>
        <v>814.38998255574882</v>
      </c>
      <c r="F33" s="99">
        <f>'[1]Financial Statements'!D30*[1]Assumptions!H34</f>
        <v>1024.342667273819</v>
      </c>
      <c r="G33" s="99">
        <f>'[1]Financial Statements'!E30*[1]Assumptions!I34</f>
        <v>1127.5204415843293</v>
      </c>
      <c r="H33" s="99">
        <f>'[1]Financial Statements'!F30*[1]Assumptions!J34</f>
        <v>1488.9357405282551</v>
      </c>
      <c r="I33" s="99">
        <f>'[1]Financial Statements'!G30*[1]Assumptions!K34</f>
        <v>2384.8730016250911</v>
      </c>
    </row>
    <row r="34" spans="1:9" x14ac:dyDescent="0.35">
      <c r="A34" s="97" t="s">
        <v>216</v>
      </c>
      <c r="B34" s="100">
        <f>B33/'[1]Financial Statements'!D30</f>
        <v>0.20865761798229945</v>
      </c>
      <c r="C34" s="100">
        <f>C33/'[1]Financial Statements'!E30</f>
        <v>0.30796574173320657</v>
      </c>
      <c r="D34" s="117">
        <f>D33/'[1]Financial Statements'!F30</f>
        <v>0.19268818798000242</v>
      </c>
      <c r="E34" s="101">
        <f>AVERAGE(B34:D34)</f>
        <v>0.23643718256516946</v>
      </c>
      <c r="F34" s="101">
        <f>AVERAGE(B34:E34)</f>
        <v>0.23643718256516946</v>
      </c>
      <c r="G34" s="101">
        <f t="shared" ref="G34:I34" si="9">AVERAGE(B34:F34)</f>
        <v>0.23643718256516949</v>
      </c>
      <c r="H34" s="101">
        <f t="shared" si="9"/>
        <v>0.24199309548174347</v>
      </c>
      <c r="I34" s="101">
        <f t="shared" si="9"/>
        <v>0.22879856623145084</v>
      </c>
    </row>
    <row r="35" spans="1:9" x14ac:dyDescent="0.35">
      <c r="A35" s="85"/>
      <c r="B35" s="105"/>
      <c r="C35" s="105"/>
      <c r="D35" s="105"/>
      <c r="E35" s="118"/>
      <c r="F35" s="118"/>
      <c r="G35" s="118"/>
      <c r="H35" s="118"/>
      <c r="I35" s="118"/>
    </row>
    <row r="36" spans="1:9" x14ac:dyDescent="0.35">
      <c r="A36" s="85"/>
      <c r="B36" s="105"/>
      <c r="C36" s="105"/>
      <c r="D36" s="105"/>
      <c r="E36" s="118"/>
      <c r="F36" s="118"/>
      <c r="G36" s="118"/>
      <c r="H36" s="118"/>
      <c r="I36" s="118"/>
    </row>
    <row r="37" spans="1:9" x14ac:dyDescent="0.35">
      <c r="A37" s="93" t="s">
        <v>217</v>
      </c>
      <c r="B37" s="106"/>
      <c r="C37" s="106"/>
      <c r="D37" s="106"/>
      <c r="E37" s="106"/>
      <c r="F37" s="106"/>
      <c r="G37" s="106"/>
      <c r="H37" s="106"/>
      <c r="I37" s="106"/>
    </row>
    <row r="38" spans="1:9" x14ac:dyDescent="0.35">
      <c r="A38" s="106"/>
      <c r="B38" s="106"/>
      <c r="C38" s="106"/>
      <c r="D38" s="106"/>
      <c r="E38" s="106"/>
      <c r="F38" s="106"/>
      <c r="G38" s="106"/>
      <c r="H38" s="106"/>
    </row>
    <row r="39" spans="1:9" ht="24" x14ac:dyDescent="0.35">
      <c r="A39" s="95" t="s">
        <v>201</v>
      </c>
      <c r="B39" s="96" t="str">
        <f>B8</f>
        <v>2022
Actual</v>
      </c>
      <c r="C39" s="96" t="str">
        <f t="shared" ref="C39:I39" si="10">C8</f>
        <v>2023
Actual</v>
      </c>
      <c r="D39" s="96" t="str">
        <f t="shared" si="10"/>
        <v>2024
Actual</v>
      </c>
      <c r="E39" s="96" t="str">
        <f t="shared" si="10"/>
        <v>2025
Forecast</v>
      </c>
      <c r="F39" s="96" t="str">
        <f t="shared" si="10"/>
        <v>2026
Forecast</v>
      </c>
      <c r="G39" s="96" t="str">
        <f t="shared" si="10"/>
        <v>2027
Forecast</v>
      </c>
      <c r="H39" s="96" t="str">
        <f t="shared" si="10"/>
        <v>2028
Forecast</v>
      </c>
      <c r="I39" s="96" t="str">
        <f t="shared" si="10"/>
        <v>2029
Forecast</v>
      </c>
    </row>
    <row r="40" spans="1:9" x14ac:dyDescent="0.35">
      <c r="A40" s="97" t="s">
        <v>218</v>
      </c>
      <c r="B40" s="98">
        <f>'BALANCE SHEET'!B26</f>
        <v>3166</v>
      </c>
      <c r="C40" s="98">
        <f>'BALANCE SHEET'!C26</f>
        <v>3333</v>
      </c>
      <c r="D40" s="98">
        <f>'BALANCE SHEET'!D26</f>
        <v>6146</v>
      </c>
      <c r="E40" s="99">
        <f>(E41/365*E9)*1</f>
        <v>5131.6472644413188</v>
      </c>
      <c r="F40" s="99">
        <f>(F41/365*F9)*1</f>
        <v>5998.8956521319014</v>
      </c>
      <c r="G40" s="99">
        <f>(G41/365*G9)*1</f>
        <v>7012.709017342193</v>
      </c>
      <c r="H40" s="99">
        <f>(H41/365*H9)*1</f>
        <v>8492.1198374041178</v>
      </c>
      <c r="I40" s="99">
        <f>(I41/365*I9)*1</f>
        <v>10418.894291351433</v>
      </c>
    </row>
    <row r="41" spans="1:9" x14ac:dyDescent="0.35">
      <c r="A41" s="119" t="s">
        <v>219</v>
      </c>
      <c r="B41" s="120">
        <f>B40*365/B9</f>
        <v>9.7255512539976436</v>
      </c>
      <c r="C41" s="120">
        <f>C40*365/C9</f>
        <v>9.2381556265994362</v>
      </c>
      <c r="D41" s="120">
        <f>D40*365/D9</f>
        <v>16.594836514277262</v>
      </c>
      <c r="E41" s="99">
        <f>(AVERAGE(B41:D41))*1</f>
        <v>11.852847798291448</v>
      </c>
      <c r="F41" s="99">
        <f>(AVERAGE(B41:E41))*1</f>
        <v>11.852847798291448</v>
      </c>
      <c r="G41" s="99">
        <f>(AVERAGE(B41:F41))*1</f>
        <v>11.852847798291448</v>
      </c>
      <c r="H41" s="99">
        <f>(AVERAGE(C41:G41))*1</f>
        <v>12.278307107150209</v>
      </c>
      <c r="I41" s="99">
        <f>(AVERAGE(D41:H41))*1</f>
        <v>12.886337403260365</v>
      </c>
    </row>
    <row r="42" spans="1:9" x14ac:dyDescent="0.35">
      <c r="A42" s="97"/>
      <c r="B42" s="105"/>
      <c r="C42" s="105"/>
      <c r="D42" s="105"/>
      <c r="E42" s="99"/>
      <c r="F42" s="99"/>
      <c r="G42" s="99"/>
      <c r="H42" s="99"/>
      <c r="I42" s="99"/>
    </row>
    <row r="43" spans="1:9" x14ac:dyDescent="0.35">
      <c r="A43" s="97" t="s">
        <v>177</v>
      </c>
      <c r="B43" s="98">
        <f>Interconnection!I4</f>
        <v>9623</v>
      </c>
      <c r="C43" s="98">
        <f>Interconnection!J4</f>
        <v>10692</v>
      </c>
      <c r="D43" s="98">
        <f>Interconnection!K4</f>
        <v>21028</v>
      </c>
      <c r="E43" s="99">
        <f>(E44/365*E15)*1</f>
        <v>16702.941019632388</v>
      </c>
      <c r="F43" s="99">
        <f>(F44/365*F15)*1</f>
        <v>19525.738051950262</v>
      </c>
      <c r="G43" s="99">
        <f>(G44/365*G15)*1</f>
        <v>22825.587782729854</v>
      </c>
      <c r="H43" s="99">
        <f>(H44/365*H15)*1</f>
        <v>28019.039001795918</v>
      </c>
      <c r="I43" s="99">
        <f>(I44/365*I15)*1</f>
        <v>34406.782950017237</v>
      </c>
    </row>
    <row r="44" spans="1:9" x14ac:dyDescent="0.35">
      <c r="A44" s="119" t="s">
        <v>220</v>
      </c>
      <c r="B44" s="120">
        <f>B43*365/B15</f>
        <v>40.06016332489336</v>
      </c>
      <c r="C44" s="120">
        <f>C43*365/C15</f>
        <v>34.589980855137206</v>
      </c>
      <c r="D44" s="120">
        <f>D43*365/D15</f>
        <v>68.912692141933633</v>
      </c>
      <c r="E44" s="99">
        <f>(AVERAGE(B44:D44))*1</f>
        <v>47.854278773988064</v>
      </c>
      <c r="F44" s="99">
        <f>(AVERAGE(B44:E44))*1</f>
        <v>47.854278773988064</v>
      </c>
      <c r="G44" s="99">
        <f>(AVERAGE(B44:F44))*1</f>
        <v>47.854278773988064</v>
      </c>
      <c r="H44" s="99">
        <f>(AVERAGE(C44:G44))*1</f>
        <v>49.413101863807</v>
      </c>
      <c r="I44" s="99">
        <f>(AVERAGE(D44:H44))*1</f>
        <v>52.377726065540955</v>
      </c>
    </row>
    <row r="45" spans="1:9" x14ac:dyDescent="0.35">
      <c r="A45" s="97"/>
      <c r="B45" s="105"/>
      <c r="C45" s="105"/>
      <c r="D45" s="105"/>
      <c r="E45" s="99"/>
      <c r="F45" s="99"/>
      <c r="G45" s="99"/>
      <c r="H45" s="99"/>
      <c r="I45" s="99"/>
    </row>
    <row r="46" spans="1:9" x14ac:dyDescent="0.35">
      <c r="A46" s="97" t="s">
        <v>221</v>
      </c>
      <c r="B46" s="98">
        <f>'BALANCE SHEET'!B41</f>
        <v>3474</v>
      </c>
      <c r="C46" s="98">
        <f>'BALANCE SHEET'!C41</f>
        <v>3675</v>
      </c>
      <c r="D46" s="98">
        <f>'BALANCE SHEET'!D41</f>
        <v>3899</v>
      </c>
      <c r="E46" s="99">
        <f>(E47/365*E15)*1</f>
        <v>132449.18143301649</v>
      </c>
      <c r="F46" s="99">
        <f>(F47/365*F15)*1</f>
        <v>154833.09309519629</v>
      </c>
      <c r="G46" s="99">
        <f>(G47/365*G15)*1</f>
        <v>180999.88582828446</v>
      </c>
      <c r="H46" s="99">
        <f>(H47/365*H15)*1</f>
        <v>217027.6805026248</v>
      </c>
      <c r="I46" s="99">
        <f>(I47/365*I15)*1</f>
        <v>254228.45885747779</v>
      </c>
    </row>
    <row r="47" spans="1:9" x14ac:dyDescent="0.35">
      <c r="A47" s="119" t="s">
        <v>222</v>
      </c>
      <c r="B47" s="120">
        <f>B46*365/[1]Assumptions!D15</f>
        <v>363.11751684559891</v>
      </c>
      <c r="C47" s="120">
        <f>C46*365/[1]Assumptions!E15</f>
        <v>361.37056124744402</v>
      </c>
      <c r="D47" s="120">
        <f>D46*365/[1]Assumptions!F15</f>
        <v>413.92102798573666</v>
      </c>
      <c r="E47" s="99">
        <f>(AVERAGE(B47:D47))*1</f>
        <v>379.46970202625988</v>
      </c>
      <c r="F47" s="99">
        <f>(AVERAGE(B47:E47))*1</f>
        <v>379.46970202625988</v>
      </c>
      <c r="G47" s="99">
        <f>(AVERAGE(B47:F47))*1</f>
        <v>379.46970202625988</v>
      </c>
      <c r="H47" s="99">
        <f>(AVERAGE(C47:G47))*1</f>
        <v>382.74013906239213</v>
      </c>
      <c r="I47" s="99">
        <f>(AVERAGE(D47:H47))*1</f>
        <v>387.01405462538168</v>
      </c>
    </row>
    <row r="48" spans="1:9" x14ac:dyDescent="0.35">
      <c r="A48" s="97"/>
      <c r="B48" s="105"/>
      <c r="C48" s="105"/>
      <c r="D48" s="105"/>
      <c r="E48" s="99"/>
      <c r="F48" s="99"/>
      <c r="G48" s="99"/>
      <c r="H48" s="99"/>
      <c r="I48" s="99"/>
    </row>
    <row r="49" spans="1:9" x14ac:dyDescent="0.35">
      <c r="A49" s="97" t="s">
        <v>223</v>
      </c>
      <c r="B49" s="98">
        <f>'[1]Financial Statements'!D58</f>
        <v>5563.19</v>
      </c>
      <c r="C49" s="98">
        <f>'[1]Financial Statements'!E58</f>
        <v>5633.62</v>
      </c>
      <c r="D49" s="98">
        <f>'[1]Financial Statements'!F58</f>
        <v>5756.86</v>
      </c>
      <c r="E49" s="99">
        <f>E50*E9</f>
        <v>6962.9857155830605</v>
      </c>
      <c r="F49" s="99">
        <f t="shared" ref="F49:I49" si="11">F50*F9</f>
        <v>8139.7303015165971</v>
      </c>
      <c r="G49" s="99">
        <f t="shared" si="11"/>
        <v>9515.3447224729025</v>
      </c>
      <c r="H49" s="99">
        <f t="shared" si="11"/>
        <v>10984.194407160732</v>
      </c>
      <c r="I49" s="99">
        <f t="shared" si="11"/>
        <v>12883.63805017201</v>
      </c>
    </row>
    <row r="50" spans="1:9" x14ac:dyDescent="0.35">
      <c r="A50" s="119" t="s">
        <v>224</v>
      </c>
      <c r="B50" s="121">
        <f>B49/B9</f>
        <v>4.682031644504292E-2</v>
      </c>
      <c r="C50" s="121">
        <f>C49/C9</f>
        <v>4.2780380751327007E-2</v>
      </c>
      <c r="D50" s="121">
        <f>D49/D9</f>
        <v>4.258662524042018E-2</v>
      </c>
      <c r="E50" s="107">
        <f>AVERAGE(B50:D50)</f>
        <v>4.4062440812263369E-2</v>
      </c>
      <c r="F50" s="107">
        <f>AVERAGE(B50:E50)</f>
        <v>4.4062440812263369E-2</v>
      </c>
      <c r="G50" s="107">
        <f t="shared" ref="G50:I50" si="12">AVERAGE(B50:F50)</f>
        <v>4.4062440812263369E-2</v>
      </c>
      <c r="H50" s="107">
        <f t="shared" si="12"/>
        <v>4.3510865685707459E-2</v>
      </c>
      <c r="I50" s="107">
        <f t="shared" si="12"/>
        <v>4.3656962672583552E-2</v>
      </c>
    </row>
    <row r="51" spans="1:9" x14ac:dyDescent="0.35">
      <c r="A51" s="97"/>
      <c r="B51" s="105"/>
      <c r="C51" s="105"/>
      <c r="D51" s="105"/>
      <c r="E51" s="99"/>
      <c r="F51" s="99"/>
      <c r="G51" s="99"/>
      <c r="H51" s="99"/>
      <c r="I51" s="99"/>
    </row>
    <row r="52" spans="1:9" x14ac:dyDescent="0.35">
      <c r="A52" s="97" t="s">
        <v>225</v>
      </c>
      <c r="B52" s="98">
        <f>'BALANCE SHEET'!B32</f>
        <v>183</v>
      </c>
      <c r="C52" s="98">
        <f>'BALANCE SHEET'!C32</f>
        <v>780</v>
      </c>
      <c r="D52" s="98">
        <f>'BALANCE SHEET'!D32</f>
        <v>612</v>
      </c>
      <c r="E52" s="99">
        <f>(E9*E53)*1</f>
        <v>631.60535454959972</v>
      </c>
      <c r="F52" s="99">
        <f>(F9*F53)*1</f>
        <v>738.34665946848213</v>
      </c>
      <c r="G52" s="99">
        <f>(G9*G53)*1</f>
        <v>863.12724491865561</v>
      </c>
      <c r="H52" s="99">
        <f>(H9*H53)*1</f>
        <v>1133.0338656600134</v>
      </c>
      <c r="I52" s="99">
        <f>(I9*I53)*1</f>
        <v>1239.8237156539351</v>
      </c>
    </row>
    <row r="53" spans="1:9" x14ac:dyDescent="0.35">
      <c r="A53" s="119" t="s">
        <v>224</v>
      </c>
      <c r="B53" s="121">
        <f>B52/B9</f>
        <v>1.5401447567749537E-3</v>
      </c>
      <c r="C53" s="121">
        <f>C52/C9</f>
        <v>5.9231359207818539E-3</v>
      </c>
      <c r="D53" s="121">
        <f>D52/D9</f>
        <v>4.527296937416778E-3</v>
      </c>
      <c r="E53" s="107">
        <f>(AVERAGE(B53:D53))*1</f>
        <v>3.9968592049911952E-3</v>
      </c>
      <c r="F53" s="107">
        <f>(AVERAGE(B53:E53))*1</f>
        <v>3.9968592049911952E-3</v>
      </c>
      <c r="G53" s="107">
        <f>(AVERAGE(B53:F53))*1</f>
        <v>3.9968592049911952E-3</v>
      </c>
      <c r="H53" s="107">
        <f>(AVERAGE(C53:G53))*1</f>
        <v>4.4882020946344445E-3</v>
      </c>
      <c r="I53" s="107">
        <f>(AVERAGE(D53:H53))*1</f>
        <v>4.2012153294049611E-3</v>
      </c>
    </row>
    <row r="54" spans="1:9" x14ac:dyDescent="0.35">
      <c r="A54" s="97"/>
      <c r="B54" s="105"/>
      <c r="C54" s="105"/>
      <c r="D54" s="105"/>
      <c r="E54" s="99"/>
      <c r="F54" s="99"/>
      <c r="G54" s="99"/>
      <c r="H54" s="107"/>
      <c r="I54" s="99"/>
    </row>
    <row r="55" spans="1:9" x14ac:dyDescent="0.35">
      <c r="A55" s="97" t="s">
        <v>226</v>
      </c>
      <c r="B55" s="98">
        <f>'BALANCE SHEET'!D39</f>
        <v>13112</v>
      </c>
      <c r="C55" s="98">
        <f>'BALANCE SHEET'!E39</f>
        <v>13815</v>
      </c>
      <c r="D55" s="98">
        <f>'BALANCE SHEET'!F39</f>
        <v>21761</v>
      </c>
      <c r="E55" s="99">
        <f>(E10*E56)*1</f>
        <v>2.1194717999270463E-2</v>
      </c>
      <c r="F55" s="99">
        <f>(F9*F56)*1</f>
        <v>23167.67234152323</v>
      </c>
      <c r="G55" s="99">
        <f>(G9*G56)*1</f>
        <v>27083.008967240658</v>
      </c>
      <c r="H55" s="99">
        <f>(H9*H56)*1</f>
        <v>32420.445681935187</v>
      </c>
      <c r="I55" s="99">
        <f>(I9*I56)*1</f>
        <v>39287.514818051161</v>
      </c>
    </row>
    <row r="56" spans="1:9" x14ac:dyDescent="0.35">
      <c r="A56" s="119" t="s">
        <v>224</v>
      </c>
      <c r="B56" s="121">
        <f>B55/B9</f>
        <v>0.11035179262750379</v>
      </c>
      <c r="C56" s="121">
        <f>C55/C9</f>
        <v>0.10490784967384784</v>
      </c>
      <c r="D56" s="121">
        <f>D55/D9</f>
        <v>0.16097795531883416</v>
      </c>
      <c r="E56" s="107">
        <f>(AVERAGE(B56:D56))*1</f>
        <v>0.12541253254006193</v>
      </c>
      <c r="F56" s="107">
        <f>(AVERAGE(B56:E56))*1</f>
        <v>0.12541253254006193</v>
      </c>
      <c r="G56" s="107">
        <f>(AVERAGE(B56:F56))*1</f>
        <v>0.12541253254006193</v>
      </c>
      <c r="H56" s="107">
        <f>(AVERAGE(C56:G56))*1</f>
        <v>0.12842468052257355</v>
      </c>
      <c r="I56" s="107">
        <f>(AVERAGE(D56:H56))*1</f>
        <v>0.13312804669231867</v>
      </c>
    </row>
  </sheetData>
  <dataValidations count="3">
    <dataValidation type="list" allowBlank="1" showInputMessage="1" showErrorMessage="1" errorTitle="Error" error="Choose 1, 2 or 3" promptTitle="Select" prompt="Case 1 ,_x000a_Case 2 or_x000a_Case 3" sqref="B3" xr:uid="{9C383569-28F3-47E4-9B45-FCB73851E061}">
      <formula1>$I$3:$I$5</formula1>
    </dataValidation>
    <dataValidation type="list" allowBlank="1" showInputMessage="1" showErrorMessage="1" sqref="C3:D3" xr:uid="{7A86259F-9A89-473D-8F72-C4EE9F46F8F1}">
      <formula1>$I$3:$I$5</formula1>
    </dataValidation>
    <dataValidation type="textLength" allowBlank="1" showInputMessage="1" showErrorMessage="1" sqref="I3:I5" xr:uid="{81B688A5-7EC4-4953-8DB7-05E4EAADF9EC}">
      <formula1>I3</formula1>
      <formula2>I5</formula2>
    </dataValidation>
  </dataValidations>
  <hyperlinks>
    <hyperlink ref="B4" r:id="rId1" xr:uid="{6B52234F-4EFE-4890-B8D1-CEB70E2896D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ABF1-0074-4794-B9E0-35570A4AC121}">
  <dimension ref="A1:K59"/>
  <sheetViews>
    <sheetView workbookViewId="0">
      <selection activeCell="M5" sqref="M5"/>
    </sheetView>
  </sheetViews>
  <sheetFormatPr defaultRowHeight="14.5" x14ac:dyDescent="0.35"/>
  <cols>
    <col min="2" max="6" width="9" bestFit="1" customWidth="1"/>
  </cols>
  <sheetData>
    <row r="1" spans="1:11" x14ac:dyDescent="0.35">
      <c r="B1" s="139" t="s">
        <v>286</v>
      </c>
      <c r="C1" s="140"/>
      <c r="D1" s="140"/>
      <c r="E1" s="140"/>
      <c r="F1" s="141"/>
      <c r="G1" s="142" t="s">
        <v>287</v>
      </c>
      <c r="H1" s="142"/>
      <c r="I1" s="142"/>
      <c r="J1" s="142"/>
      <c r="K1" s="142"/>
    </row>
    <row r="2" spans="1:11" x14ac:dyDescent="0.35">
      <c r="A2" s="1" t="s">
        <v>1</v>
      </c>
      <c r="B2" s="122">
        <v>2020</v>
      </c>
      <c r="C2" s="122">
        <v>2021</v>
      </c>
      <c r="D2" s="122">
        <v>2022</v>
      </c>
      <c r="E2" s="122">
        <v>2023</v>
      </c>
      <c r="F2" s="122">
        <v>2024</v>
      </c>
      <c r="G2" s="123">
        <v>2025</v>
      </c>
      <c r="H2" s="123">
        <v>2026</v>
      </c>
      <c r="I2" s="123">
        <v>2027</v>
      </c>
      <c r="J2" s="123">
        <v>2028</v>
      </c>
      <c r="K2" s="123">
        <v>2029</v>
      </c>
    </row>
    <row r="3" spans="1:11" ht="26.5" x14ac:dyDescent="0.35">
      <c r="A3" s="2" t="s">
        <v>233</v>
      </c>
      <c r="B3" s="3"/>
      <c r="C3" s="3"/>
      <c r="D3" s="3"/>
      <c r="E3" s="3"/>
      <c r="F3" s="3"/>
    </row>
    <row r="4" spans="1:11" ht="26.5" x14ac:dyDescent="0.35">
      <c r="A4" s="2" t="s">
        <v>234</v>
      </c>
      <c r="B4" s="2">
        <v>301</v>
      </c>
      <c r="C4" s="2">
        <v>302</v>
      </c>
      <c r="D4" s="2">
        <v>301</v>
      </c>
      <c r="E4" s="2">
        <v>301</v>
      </c>
      <c r="F4" s="2">
        <v>305</v>
      </c>
      <c r="G4">
        <f>AVERAGE(D4:F4)</f>
        <v>302.33333333333331</v>
      </c>
      <c r="H4">
        <f t="shared" ref="H4:K19" si="0">AVERAGE(E4:G4)</f>
        <v>302.77777777777777</v>
      </c>
      <c r="I4">
        <f t="shared" si="0"/>
        <v>303.37037037037038</v>
      </c>
      <c r="J4">
        <f t="shared" si="0"/>
        <v>302.82716049382719</v>
      </c>
      <c r="K4">
        <f t="shared" si="0"/>
        <v>302.99176954732508</v>
      </c>
    </row>
    <row r="5" spans="1:11" ht="26.5" x14ac:dyDescent="0.35">
      <c r="A5" s="2" t="s">
        <v>235</v>
      </c>
      <c r="B5" s="2">
        <v>301.17</v>
      </c>
      <c r="C5" s="2">
        <v>301.58</v>
      </c>
      <c r="D5" s="2">
        <v>301.66000000000003</v>
      </c>
      <c r="E5" s="2">
        <v>302.05</v>
      </c>
      <c r="F5" s="2">
        <v>305.26</v>
      </c>
      <c r="G5">
        <f t="shared" ref="G5:G59" si="1">AVERAGE(D5:F5)</f>
        <v>302.99</v>
      </c>
      <c r="H5">
        <f t="shared" si="0"/>
        <v>303.43333333333334</v>
      </c>
      <c r="I5">
        <f t="shared" si="0"/>
        <v>303.89444444444445</v>
      </c>
      <c r="J5">
        <f t="shared" si="0"/>
        <v>303.43925925925925</v>
      </c>
      <c r="K5">
        <f t="shared" si="0"/>
        <v>303.58901234567901</v>
      </c>
    </row>
    <row r="6" spans="1:11" ht="39.5" x14ac:dyDescent="0.35">
      <c r="A6" s="2" t="s">
        <v>236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>
        <f t="shared" si="1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</row>
    <row r="7" spans="1:11" ht="52.5" x14ac:dyDescent="0.35">
      <c r="A7" s="2" t="s">
        <v>237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>
        <f t="shared" si="1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</row>
    <row r="8" spans="1:11" ht="52.5" x14ac:dyDescent="0.35">
      <c r="A8" s="2" t="s">
        <v>238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>
        <f t="shared" si="1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</row>
    <row r="9" spans="1:11" ht="52.5" x14ac:dyDescent="0.35">
      <c r="A9" s="2" t="s">
        <v>239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>
        <f t="shared" si="1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</row>
    <row r="10" spans="1:11" ht="39.5" x14ac:dyDescent="0.35">
      <c r="A10" s="2" t="s">
        <v>240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>
        <f t="shared" si="1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</row>
    <row r="11" spans="1:11" ht="39.5" x14ac:dyDescent="0.35">
      <c r="A11" s="2" t="s">
        <v>241</v>
      </c>
      <c r="B11" s="4">
        <v>36298</v>
      </c>
      <c r="C11" s="4">
        <v>46462</v>
      </c>
      <c r="D11" s="4">
        <v>66996</v>
      </c>
      <c r="E11" s="4">
        <v>65394</v>
      </c>
      <c r="F11" s="4">
        <v>77364</v>
      </c>
      <c r="G11">
        <f t="shared" si="1"/>
        <v>69918</v>
      </c>
      <c r="H11">
        <f t="shared" si="0"/>
        <v>70892</v>
      </c>
      <c r="I11">
        <f t="shared" si="0"/>
        <v>72724.666666666672</v>
      </c>
      <c r="J11">
        <f t="shared" si="0"/>
        <v>71178.222222222234</v>
      </c>
      <c r="K11">
        <f t="shared" si="0"/>
        <v>71598.296296296307</v>
      </c>
    </row>
    <row r="12" spans="1:11" ht="65.5" x14ac:dyDescent="0.35">
      <c r="A12" s="2" t="s">
        <v>242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>
        <f t="shared" si="1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</row>
    <row r="13" spans="1:11" ht="65.5" x14ac:dyDescent="0.35">
      <c r="A13" s="2" t="s">
        <v>243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>
        <f t="shared" si="1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  <row r="14" spans="1:11" ht="39.5" x14ac:dyDescent="0.35">
      <c r="A14" s="2" t="s">
        <v>244</v>
      </c>
      <c r="B14" s="4">
        <v>36599</v>
      </c>
      <c r="C14" s="4">
        <v>46764</v>
      </c>
      <c r="D14" s="4">
        <v>67297</v>
      </c>
      <c r="E14" s="4">
        <v>65695</v>
      </c>
      <c r="F14" s="4">
        <v>77669</v>
      </c>
      <c r="G14">
        <f t="shared" si="1"/>
        <v>70220.333333333328</v>
      </c>
      <c r="H14">
        <f t="shared" si="0"/>
        <v>71194.777777777766</v>
      </c>
      <c r="I14">
        <f t="shared" si="0"/>
        <v>73028.037037037022</v>
      </c>
      <c r="J14">
        <f t="shared" si="0"/>
        <v>71481.049382716039</v>
      </c>
      <c r="K14">
        <f t="shared" si="0"/>
        <v>71901.288065843604</v>
      </c>
    </row>
    <row r="15" spans="1:11" ht="65.5" x14ac:dyDescent="0.35">
      <c r="A15" s="2" t="s">
        <v>245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>
        <f t="shared" si="1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</row>
    <row r="16" spans="1:11" ht="26.5" x14ac:dyDescent="0.35">
      <c r="A16" s="2" t="s">
        <v>246</v>
      </c>
      <c r="B16" s="2">
        <v>-575</v>
      </c>
      <c r="C16" s="2">
        <v>-619</v>
      </c>
      <c r="D16" s="4">
        <v>1238</v>
      </c>
      <c r="E16" s="4">
        <v>1344</v>
      </c>
      <c r="F16" s="4">
        <v>2107</v>
      </c>
      <c r="G16">
        <f t="shared" si="1"/>
        <v>1563</v>
      </c>
      <c r="H16">
        <f t="shared" si="0"/>
        <v>1671.3333333333333</v>
      </c>
      <c r="I16">
        <f t="shared" si="0"/>
        <v>1780.4444444444443</v>
      </c>
      <c r="J16">
        <f t="shared" si="0"/>
        <v>1671.5925925925924</v>
      </c>
      <c r="K16">
        <f t="shared" si="0"/>
        <v>1707.7901234567898</v>
      </c>
    </row>
    <row r="17" spans="1:11" ht="39.5" x14ac:dyDescent="0.35">
      <c r="A17" s="2" t="s">
        <v>247</v>
      </c>
      <c r="B17" s="3"/>
      <c r="C17" s="3"/>
      <c r="D17" s="3"/>
      <c r="E17" s="3"/>
      <c r="F17" s="3"/>
      <c r="G17" t="e">
        <f t="shared" si="1"/>
        <v>#DIV/0!</v>
      </c>
      <c r="H17" t="e">
        <f t="shared" si="0"/>
        <v>#DIV/0!</v>
      </c>
      <c r="I17" t="e">
        <f t="shared" si="0"/>
        <v>#DIV/0!</v>
      </c>
      <c r="J17" t="e">
        <f t="shared" si="0"/>
        <v>#DIV/0!</v>
      </c>
      <c r="K17" t="e">
        <f t="shared" si="0"/>
        <v>#DIV/0!</v>
      </c>
    </row>
    <row r="18" spans="1:11" ht="52.5" x14ac:dyDescent="0.35">
      <c r="A18" s="2" t="s">
        <v>248</v>
      </c>
      <c r="B18" s="4">
        <v>44673</v>
      </c>
      <c r="C18" s="4">
        <v>49731</v>
      </c>
      <c r="D18" s="4">
        <v>57929</v>
      </c>
      <c r="E18" s="4">
        <v>61966</v>
      </c>
      <c r="F18" s="4">
        <v>67354</v>
      </c>
      <c r="G18">
        <f t="shared" si="1"/>
        <v>62416.333333333336</v>
      </c>
      <c r="H18">
        <f t="shared" si="0"/>
        <v>63912.111111111117</v>
      </c>
      <c r="I18">
        <f t="shared" si="0"/>
        <v>64560.814814814825</v>
      </c>
      <c r="J18">
        <f t="shared" si="0"/>
        <v>63629.753086419754</v>
      </c>
      <c r="K18">
        <f t="shared" si="0"/>
        <v>64034.22633744857</v>
      </c>
    </row>
    <row r="19" spans="1:11" ht="26.5" x14ac:dyDescent="0.35">
      <c r="A19" s="2" t="s">
        <v>249</v>
      </c>
      <c r="B19" s="4">
        <v>1744</v>
      </c>
      <c r="C19" s="4">
        <v>1939</v>
      </c>
      <c r="D19" s="4">
        <v>1582</v>
      </c>
      <c r="E19" s="4">
        <v>1594</v>
      </c>
      <c r="F19" s="4">
        <v>2060</v>
      </c>
      <c r="G19">
        <f t="shared" si="1"/>
        <v>1745.3333333333333</v>
      </c>
      <c r="H19">
        <f t="shared" si="0"/>
        <v>1799.7777777777776</v>
      </c>
      <c r="I19">
        <f t="shared" si="0"/>
        <v>1868.3703703703702</v>
      </c>
      <c r="J19">
        <f t="shared" si="0"/>
        <v>1804.4938271604935</v>
      </c>
      <c r="K19">
        <f t="shared" si="0"/>
        <v>1824.213991769547</v>
      </c>
    </row>
    <row r="20" spans="1:11" ht="52.5" x14ac:dyDescent="0.35">
      <c r="A20" s="2" t="s">
        <v>250</v>
      </c>
      <c r="B20" s="4">
        <v>1677</v>
      </c>
      <c r="C20" s="4">
        <v>3509</v>
      </c>
      <c r="D20" s="4">
        <v>7621</v>
      </c>
      <c r="E20" s="4">
        <v>7936</v>
      </c>
      <c r="F20" s="4">
        <v>9659</v>
      </c>
      <c r="G20">
        <f t="shared" si="1"/>
        <v>8405.3333333333339</v>
      </c>
      <c r="H20">
        <f t="shared" ref="H20:H59" si="2">AVERAGE(E20:G20)</f>
        <v>8666.7777777777792</v>
      </c>
      <c r="I20">
        <f t="shared" ref="I20:I59" si="3">AVERAGE(F20:H20)</f>
        <v>8910.3703703703723</v>
      </c>
      <c r="J20">
        <f t="shared" ref="J20:J59" si="4">AVERAGE(G20:I20)</f>
        <v>8660.8271604938291</v>
      </c>
      <c r="K20">
        <f t="shared" ref="K20:K59" si="5">AVERAGE(H20:J20)</f>
        <v>8745.9917695473268</v>
      </c>
    </row>
    <row r="21" spans="1:11" ht="39.5" x14ac:dyDescent="0.35">
      <c r="A21" s="2" t="s">
        <v>251</v>
      </c>
      <c r="B21" s="4">
        <v>9454</v>
      </c>
      <c r="C21" s="4">
        <v>9676</v>
      </c>
      <c r="D21" s="4">
        <v>11270</v>
      </c>
      <c r="E21" s="4">
        <v>11823</v>
      </c>
      <c r="F21" s="4">
        <v>12137</v>
      </c>
      <c r="G21">
        <f t="shared" si="1"/>
        <v>11743.333333333334</v>
      </c>
      <c r="H21">
        <f t="shared" si="2"/>
        <v>11901.111111111111</v>
      </c>
      <c r="I21">
        <f t="shared" si="3"/>
        <v>11927.148148148148</v>
      </c>
      <c r="J21">
        <f t="shared" si="4"/>
        <v>11857.197530864198</v>
      </c>
      <c r="K21">
        <f t="shared" si="5"/>
        <v>11895.152263374484</v>
      </c>
    </row>
    <row r="22" spans="1:11" ht="26.5" x14ac:dyDescent="0.35">
      <c r="A22" s="2" t="s">
        <v>252</v>
      </c>
      <c r="B22" s="4">
        <v>7777</v>
      </c>
      <c r="C22" s="4">
        <v>6167</v>
      </c>
      <c r="D22" s="4">
        <v>3649</v>
      </c>
      <c r="E22" s="4">
        <v>3887</v>
      </c>
      <c r="F22" s="4">
        <v>2478</v>
      </c>
      <c r="G22">
        <f t="shared" si="1"/>
        <v>3338</v>
      </c>
      <c r="H22">
        <f t="shared" si="2"/>
        <v>3234.3333333333335</v>
      </c>
      <c r="I22">
        <f t="shared" si="3"/>
        <v>3016.7777777777778</v>
      </c>
      <c r="J22">
        <f t="shared" si="4"/>
        <v>3196.3703703703704</v>
      </c>
      <c r="K22">
        <f t="shared" si="5"/>
        <v>3149.1604938271607</v>
      </c>
    </row>
    <row r="23" spans="1:11" ht="39.5" x14ac:dyDescent="0.35">
      <c r="A23" s="2" t="s">
        <v>253</v>
      </c>
      <c r="B23" s="4">
        <v>3666</v>
      </c>
      <c r="C23" s="4">
        <v>2842</v>
      </c>
      <c r="D23" s="4">
        <v>1786</v>
      </c>
      <c r="E23" s="4">
        <v>1185</v>
      </c>
      <c r="F23" s="4">
        <v>1833</v>
      </c>
      <c r="G23">
        <f t="shared" si="1"/>
        <v>1601.3333333333333</v>
      </c>
      <c r="H23">
        <f t="shared" si="2"/>
        <v>1539.7777777777776</v>
      </c>
      <c r="I23">
        <f t="shared" si="3"/>
        <v>1658.0370370370367</v>
      </c>
      <c r="J23">
        <f t="shared" si="4"/>
        <v>1599.7160493827159</v>
      </c>
      <c r="K23">
        <f t="shared" si="5"/>
        <v>1599.17695473251</v>
      </c>
    </row>
    <row r="24" spans="1:11" ht="39.5" x14ac:dyDescent="0.35">
      <c r="A24" s="2" t="s">
        <v>254</v>
      </c>
      <c r="B24" s="2">
        <v>348</v>
      </c>
      <c r="C24" s="2">
        <v>852</v>
      </c>
      <c r="D24" s="4">
        <v>1481</v>
      </c>
      <c r="E24" s="4">
        <v>1395</v>
      </c>
      <c r="F24" s="4">
        <v>1451</v>
      </c>
      <c r="G24">
        <f t="shared" si="1"/>
        <v>1442.3333333333333</v>
      </c>
      <c r="H24">
        <f t="shared" si="2"/>
        <v>1429.4444444444443</v>
      </c>
      <c r="I24">
        <f t="shared" si="3"/>
        <v>1440.9259259259259</v>
      </c>
      <c r="J24">
        <f t="shared" si="4"/>
        <v>1437.5679012345679</v>
      </c>
      <c r="K24">
        <f t="shared" si="5"/>
        <v>1435.9794238683128</v>
      </c>
    </row>
    <row r="25" spans="1:11" ht="39.5" x14ac:dyDescent="0.35">
      <c r="A25" s="2" t="s">
        <v>255</v>
      </c>
      <c r="B25" s="4">
        <v>52108</v>
      </c>
      <c r="C25" s="4">
        <v>58873</v>
      </c>
      <c r="D25" s="4">
        <v>70399</v>
      </c>
      <c r="E25" s="4">
        <v>74076</v>
      </c>
      <c r="F25" s="4">
        <v>82357</v>
      </c>
      <c r="G25">
        <f t="shared" si="1"/>
        <v>75610.666666666672</v>
      </c>
      <c r="H25">
        <f t="shared" si="2"/>
        <v>77347.888888888891</v>
      </c>
      <c r="I25">
        <f t="shared" si="3"/>
        <v>78438.518518518526</v>
      </c>
      <c r="J25">
        <f t="shared" si="4"/>
        <v>77132.358024691363</v>
      </c>
      <c r="K25">
        <f t="shared" si="5"/>
        <v>77639.588477366255</v>
      </c>
    </row>
    <row r="26" spans="1:11" ht="26.5" x14ac:dyDescent="0.35">
      <c r="A26" s="2" t="s">
        <v>256</v>
      </c>
      <c r="B26" s="3"/>
      <c r="C26" s="3"/>
      <c r="D26" s="3"/>
      <c r="E26" s="3"/>
      <c r="F26" s="3"/>
      <c r="G26" t="e">
        <f t="shared" si="1"/>
        <v>#DIV/0!</v>
      </c>
      <c r="H26" t="e">
        <f t="shared" si="2"/>
        <v>#DIV/0!</v>
      </c>
      <c r="I26" t="e">
        <f t="shared" si="3"/>
        <v>#DIV/0!</v>
      </c>
      <c r="J26" t="e">
        <f t="shared" si="4"/>
        <v>#DIV/0!</v>
      </c>
      <c r="K26" t="e">
        <f t="shared" si="5"/>
        <v>#DIV/0!</v>
      </c>
    </row>
    <row r="27" spans="1:11" ht="52.5" x14ac:dyDescent="0.35">
      <c r="A27" s="2" t="s">
        <v>257</v>
      </c>
      <c r="B27" s="4">
        <v>8325</v>
      </c>
      <c r="C27" s="4">
        <v>1999</v>
      </c>
      <c r="D27" s="4">
        <v>12046</v>
      </c>
      <c r="E27" s="4">
        <v>16876</v>
      </c>
      <c r="F27" s="4">
        <v>18221</v>
      </c>
      <c r="G27">
        <f t="shared" si="1"/>
        <v>15714.333333333334</v>
      </c>
      <c r="H27">
        <f t="shared" si="2"/>
        <v>16937.111111111113</v>
      </c>
      <c r="I27">
        <f t="shared" si="3"/>
        <v>16957.481481481485</v>
      </c>
      <c r="J27">
        <f t="shared" si="4"/>
        <v>16536.308641975309</v>
      </c>
      <c r="K27">
        <f t="shared" si="5"/>
        <v>16810.300411522636</v>
      </c>
    </row>
    <row r="28" spans="1:11" ht="26.5" x14ac:dyDescent="0.35">
      <c r="A28" s="2" t="s">
        <v>249</v>
      </c>
      <c r="B28" s="4">
        <v>1744</v>
      </c>
      <c r="C28" s="4">
        <v>1939</v>
      </c>
      <c r="D28" s="4">
        <v>1582</v>
      </c>
      <c r="E28" s="4">
        <v>1594</v>
      </c>
      <c r="F28" s="4">
        <v>2060</v>
      </c>
      <c r="G28">
        <f t="shared" si="1"/>
        <v>1745.3333333333333</v>
      </c>
      <c r="H28">
        <f t="shared" si="2"/>
        <v>1799.7777777777776</v>
      </c>
      <c r="I28">
        <f t="shared" si="3"/>
        <v>1868.3703703703702</v>
      </c>
      <c r="J28">
        <f t="shared" si="4"/>
        <v>1804.4938271604935</v>
      </c>
      <c r="K28">
        <f t="shared" si="5"/>
        <v>1824.213991769547</v>
      </c>
    </row>
    <row r="29" spans="1:11" ht="26.5" x14ac:dyDescent="0.35">
      <c r="A29" s="2" t="s">
        <v>258</v>
      </c>
      <c r="B29" s="4">
        <v>17918</v>
      </c>
      <c r="C29" s="4">
        <v>15243</v>
      </c>
      <c r="D29" s="4">
        <v>30889</v>
      </c>
      <c r="E29" s="4">
        <v>38203</v>
      </c>
      <c r="F29" s="4">
        <v>33365</v>
      </c>
      <c r="G29">
        <f t="shared" si="1"/>
        <v>34152.333333333336</v>
      </c>
      <c r="H29">
        <f t="shared" si="2"/>
        <v>35240.111111111117</v>
      </c>
      <c r="I29">
        <f t="shared" si="3"/>
        <v>34252.481481481489</v>
      </c>
      <c r="J29">
        <f t="shared" si="4"/>
        <v>34548.308641975316</v>
      </c>
      <c r="K29">
        <f t="shared" si="5"/>
        <v>34680.300411522643</v>
      </c>
    </row>
    <row r="30" spans="1:11" ht="39.5" x14ac:dyDescent="0.35">
      <c r="A30" s="2" t="s">
        <v>259</v>
      </c>
      <c r="B30" s="4">
        <v>16849</v>
      </c>
      <c r="C30" s="4">
        <v>24822</v>
      </c>
      <c r="D30" s="4">
        <v>13289</v>
      </c>
      <c r="E30" s="4">
        <v>12838</v>
      </c>
      <c r="F30" s="4">
        <v>13339</v>
      </c>
      <c r="G30">
        <f t="shared" si="1"/>
        <v>13155.333333333334</v>
      </c>
      <c r="H30">
        <f t="shared" si="2"/>
        <v>13110.777777777779</v>
      </c>
      <c r="I30">
        <f t="shared" si="3"/>
        <v>13201.703703703706</v>
      </c>
      <c r="J30">
        <f t="shared" si="4"/>
        <v>13155.938271604939</v>
      </c>
      <c r="K30">
        <f t="shared" si="5"/>
        <v>13156.139917695475</v>
      </c>
    </row>
    <row r="31" spans="1:11" ht="39.5" x14ac:dyDescent="0.35">
      <c r="A31" s="2" t="s">
        <v>260</v>
      </c>
      <c r="B31" s="2">
        <v>290</v>
      </c>
      <c r="C31" s="2">
        <v>830</v>
      </c>
      <c r="D31" s="2">
        <v>647</v>
      </c>
      <c r="E31" s="4">
        <v>1629</v>
      </c>
      <c r="F31" s="2">
        <v>791</v>
      </c>
      <c r="G31">
        <f t="shared" si="1"/>
        <v>1022.3333333333334</v>
      </c>
      <c r="H31">
        <f t="shared" si="2"/>
        <v>1147.4444444444446</v>
      </c>
      <c r="I31">
        <f t="shared" si="3"/>
        <v>986.92592592592609</v>
      </c>
      <c r="J31">
        <f t="shared" si="4"/>
        <v>1052.2345679012346</v>
      </c>
      <c r="K31">
        <f t="shared" si="5"/>
        <v>1062.201646090535</v>
      </c>
    </row>
    <row r="32" spans="1:11" ht="39.5" x14ac:dyDescent="0.35">
      <c r="A32" s="2" t="s">
        <v>97</v>
      </c>
      <c r="B32" s="4">
        <v>43688</v>
      </c>
      <c r="C32" s="4">
        <v>43299</v>
      </c>
      <c r="D32" s="4">
        <v>57551</v>
      </c>
      <c r="E32" s="4">
        <v>69963</v>
      </c>
      <c r="F32" s="4">
        <v>66065</v>
      </c>
      <c r="G32">
        <f t="shared" si="1"/>
        <v>64526.333333333336</v>
      </c>
      <c r="H32">
        <f t="shared" si="2"/>
        <v>66851.444444444453</v>
      </c>
      <c r="I32">
        <f t="shared" si="3"/>
        <v>65814.25925925927</v>
      </c>
      <c r="J32">
        <f t="shared" si="4"/>
        <v>65730.679012345689</v>
      </c>
      <c r="K32">
        <f t="shared" si="5"/>
        <v>66132.127572016456</v>
      </c>
    </row>
    <row r="33" spans="1:11" ht="39.5" x14ac:dyDescent="0.35">
      <c r="A33" s="2" t="s">
        <v>261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</row>
    <row r="34" spans="1:11" ht="65.5" x14ac:dyDescent="0.35">
      <c r="A34" s="2" t="s">
        <v>262</v>
      </c>
      <c r="B34" s="4">
        <v>131820</v>
      </c>
      <c r="C34" s="4">
        <v>148317</v>
      </c>
      <c r="D34" s="4">
        <v>196485</v>
      </c>
      <c r="E34" s="4">
        <v>211078</v>
      </c>
      <c r="F34" s="4">
        <v>228198</v>
      </c>
      <c r="G34">
        <f t="shared" si="1"/>
        <v>211920.33333333334</v>
      </c>
      <c r="H34">
        <f t="shared" si="2"/>
        <v>217065.44444444447</v>
      </c>
      <c r="I34">
        <f t="shared" si="3"/>
        <v>219061.2592592593</v>
      </c>
      <c r="J34">
        <f t="shared" si="4"/>
        <v>216015.6790123457</v>
      </c>
      <c r="K34">
        <f t="shared" si="5"/>
        <v>217380.79423868316</v>
      </c>
    </row>
    <row r="35" spans="1:11" x14ac:dyDescent="0.35">
      <c r="A35" s="2" t="s">
        <v>263</v>
      </c>
      <c r="B35" s="3"/>
      <c r="C35" s="3"/>
      <c r="D35" s="3"/>
      <c r="E35" s="3"/>
      <c r="F35" s="3"/>
      <c r="G35" t="e">
        <f t="shared" si="1"/>
        <v>#DIV/0!</v>
      </c>
      <c r="H35" t="e">
        <f t="shared" si="2"/>
        <v>#DIV/0!</v>
      </c>
      <c r="I35" t="e">
        <f t="shared" si="3"/>
        <v>#DIV/0!</v>
      </c>
      <c r="J35" t="e">
        <f t="shared" si="4"/>
        <v>#DIV/0!</v>
      </c>
      <c r="K35" t="e">
        <f t="shared" si="5"/>
        <v>#DIV/0!</v>
      </c>
    </row>
    <row r="36" spans="1:11" ht="39.5" x14ac:dyDescent="0.35">
      <c r="A36" s="2" t="s">
        <v>264</v>
      </c>
      <c r="B36" s="3"/>
      <c r="C36" s="3"/>
      <c r="D36" s="3"/>
      <c r="E36" s="3"/>
      <c r="F36" s="3"/>
      <c r="G36" t="e">
        <f t="shared" si="1"/>
        <v>#DIV/0!</v>
      </c>
      <c r="H36" t="e">
        <f t="shared" si="2"/>
        <v>#DIV/0!</v>
      </c>
      <c r="I36" t="e">
        <f t="shared" si="3"/>
        <v>#DIV/0!</v>
      </c>
      <c r="J36" t="e">
        <f t="shared" si="4"/>
        <v>#DIV/0!</v>
      </c>
      <c r="K36" t="e">
        <f t="shared" si="5"/>
        <v>#DIV/0!</v>
      </c>
    </row>
    <row r="37" spans="1:11" ht="26.5" x14ac:dyDescent="0.35">
      <c r="A37" s="2" t="s">
        <v>265</v>
      </c>
      <c r="B37" s="4">
        <v>89052</v>
      </c>
      <c r="C37" s="4">
        <v>97224</v>
      </c>
      <c r="D37" s="4">
        <v>116605</v>
      </c>
      <c r="E37" s="4">
        <v>126532</v>
      </c>
      <c r="F37" s="4">
        <v>141997</v>
      </c>
      <c r="G37">
        <f t="shared" si="1"/>
        <v>128378</v>
      </c>
      <c r="H37">
        <f t="shared" si="2"/>
        <v>132302.33333333334</v>
      </c>
      <c r="I37">
        <f t="shared" si="3"/>
        <v>134225.77777777778</v>
      </c>
      <c r="J37">
        <f t="shared" si="4"/>
        <v>131635.37037037036</v>
      </c>
      <c r="K37">
        <f t="shared" si="5"/>
        <v>132721.16049382716</v>
      </c>
    </row>
    <row r="38" spans="1:11" ht="26.5" x14ac:dyDescent="0.35">
      <c r="A38" s="2" t="s">
        <v>266</v>
      </c>
      <c r="B38" s="4">
        <v>57625</v>
      </c>
      <c r="C38" s="4">
        <v>58857</v>
      </c>
      <c r="D38" s="4">
        <v>92952</v>
      </c>
      <c r="E38" s="4">
        <v>97699</v>
      </c>
      <c r="F38" s="4">
        <v>105123</v>
      </c>
      <c r="G38">
        <f t="shared" si="1"/>
        <v>98591.333333333328</v>
      </c>
      <c r="H38">
        <f t="shared" si="2"/>
        <v>100471.11111111111</v>
      </c>
      <c r="I38">
        <f t="shared" si="3"/>
        <v>101395.14814814815</v>
      </c>
      <c r="J38">
        <f t="shared" si="4"/>
        <v>100152.53086419753</v>
      </c>
      <c r="K38">
        <f t="shared" si="5"/>
        <v>100672.93004115227</v>
      </c>
    </row>
    <row r="39" spans="1:11" ht="39.5" x14ac:dyDescent="0.35">
      <c r="A39" s="2" t="s">
        <v>267</v>
      </c>
      <c r="B39" s="2">
        <v>765</v>
      </c>
      <c r="C39" s="4">
        <v>1985</v>
      </c>
      <c r="D39" s="4">
        <v>2033</v>
      </c>
      <c r="E39" s="4">
        <v>1968</v>
      </c>
      <c r="F39" s="4">
        <v>2721</v>
      </c>
      <c r="G39">
        <f t="shared" si="1"/>
        <v>2240.6666666666665</v>
      </c>
      <c r="H39">
        <f t="shared" si="2"/>
        <v>2309.8888888888887</v>
      </c>
      <c r="I39">
        <f t="shared" si="3"/>
        <v>2423.8518518518517</v>
      </c>
      <c r="J39">
        <f t="shared" si="4"/>
        <v>2324.8024691358023</v>
      </c>
      <c r="K39">
        <f t="shared" si="5"/>
        <v>2352.8477366255142</v>
      </c>
    </row>
    <row r="40" spans="1:11" ht="39.5" x14ac:dyDescent="0.35">
      <c r="A40" s="2" t="s">
        <v>268</v>
      </c>
      <c r="B40" s="4">
        <v>26857</v>
      </c>
      <c r="C40" s="4">
        <v>32433</v>
      </c>
      <c r="D40" s="4">
        <v>16756</v>
      </c>
      <c r="E40" s="4">
        <v>21921</v>
      </c>
      <c r="F40" s="4">
        <v>29216</v>
      </c>
      <c r="G40">
        <f t="shared" si="1"/>
        <v>22631</v>
      </c>
      <c r="H40">
        <f t="shared" si="2"/>
        <v>24589.333333333332</v>
      </c>
      <c r="I40">
        <f t="shared" si="3"/>
        <v>25478.777777777777</v>
      </c>
      <c r="J40">
        <f t="shared" si="4"/>
        <v>24233.037037037036</v>
      </c>
      <c r="K40">
        <f t="shared" si="5"/>
        <v>24767.04938271605</v>
      </c>
    </row>
    <row r="41" spans="1:11" ht="65.5" x14ac:dyDescent="0.35">
      <c r="A41" s="2" t="s">
        <v>269</v>
      </c>
      <c r="B41" s="2">
        <v>334</v>
      </c>
      <c r="C41" s="2">
        <v>133</v>
      </c>
      <c r="D41" s="2">
        <v>149</v>
      </c>
      <c r="E41" s="2">
        <v>245</v>
      </c>
      <c r="F41" s="2">
        <v>460</v>
      </c>
      <c r="G41">
        <f t="shared" si="1"/>
        <v>284.66666666666669</v>
      </c>
      <c r="H41">
        <f t="shared" si="2"/>
        <v>329.88888888888891</v>
      </c>
      <c r="I41">
        <f t="shared" si="3"/>
        <v>358.18518518518522</v>
      </c>
      <c r="J41">
        <f t="shared" si="4"/>
        <v>324.24691358024694</v>
      </c>
      <c r="K41">
        <f t="shared" si="5"/>
        <v>337.44032921810702</v>
      </c>
    </row>
    <row r="42" spans="1:11" ht="52.5" x14ac:dyDescent="0.35">
      <c r="A42" s="2" t="s">
        <v>270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0</v>
      </c>
    </row>
    <row r="43" spans="1:11" ht="52.5" x14ac:dyDescent="0.35">
      <c r="A43" s="2" t="s">
        <v>271</v>
      </c>
      <c r="B43" s="4">
        <v>1481</v>
      </c>
      <c r="C43" s="4">
        <v>8832</v>
      </c>
      <c r="D43" s="4">
        <v>5112</v>
      </c>
      <c r="E43" s="4">
        <v>4887</v>
      </c>
      <c r="F43" s="4">
        <v>7383</v>
      </c>
      <c r="G43">
        <f t="shared" si="1"/>
        <v>5794</v>
      </c>
      <c r="H43">
        <f t="shared" si="2"/>
        <v>6021.333333333333</v>
      </c>
      <c r="I43">
        <f t="shared" si="3"/>
        <v>6399.4444444444443</v>
      </c>
      <c r="J43">
        <f t="shared" si="4"/>
        <v>6071.5925925925922</v>
      </c>
      <c r="K43">
        <f t="shared" si="5"/>
        <v>6164.1234567901229</v>
      </c>
    </row>
    <row r="44" spans="1:11" ht="39.5" x14ac:dyDescent="0.35">
      <c r="A44" s="2" t="s">
        <v>272</v>
      </c>
      <c r="B44" s="2">
        <v>0</v>
      </c>
      <c r="C44" s="2">
        <v>0</v>
      </c>
      <c r="D44" s="2">
        <v>0</v>
      </c>
      <c r="E44" s="2">
        <v>539</v>
      </c>
      <c r="F44" s="2">
        <v>300</v>
      </c>
      <c r="G44">
        <f t="shared" si="1"/>
        <v>279.66666666666669</v>
      </c>
      <c r="H44">
        <f t="shared" si="2"/>
        <v>372.88888888888891</v>
      </c>
      <c r="I44">
        <f t="shared" si="3"/>
        <v>317.51851851851853</v>
      </c>
      <c r="J44">
        <f t="shared" si="4"/>
        <v>323.35802469135803</v>
      </c>
      <c r="K44">
        <f t="shared" si="5"/>
        <v>337.92181069958843</v>
      </c>
    </row>
    <row r="45" spans="1:11" ht="39.5" x14ac:dyDescent="0.35">
      <c r="A45" s="2" t="s">
        <v>273</v>
      </c>
      <c r="B45" s="4">
        <v>7777</v>
      </c>
      <c r="C45" s="4">
        <v>6167</v>
      </c>
      <c r="D45" s="4">
        <v>3649</v>
      </c>
      <c r="E45" s="4">
        <v>3887</v>
      </c>
      <c r="F45" s="4">
        <v>2478</v>
      </c>
      <c r="G45">
        <f t="shared" si="1"/>
        <v>3338</v>
      </c>
      <c r="H45">
        <f t="shared" si="2"/>
        <v>3234.3333333333335</v>
      </c>
      <c r="I45">
        <f t="shared" si="3"/>
        <v>3016.7777777777778</v>
      </c>
      <c r="J45">
        <f t="shared" si="4"/>
        <v>3196.3703703703704</v>
      </c>
      <c r="K45">
        <f t="shared" si="5"/>
        <v>3149.1604938271607</v>
      </c>
    </row>
    <row r="46" spans="1:11" ht="52.5" x14ac:dyDescent="0.35">
      <c r="A46" s="2" t="s">
        <v>274</v>
      </c>
      <c r="B46" s="4">
        <v>9454</v>
      </c>
      <c r="C46" s="4">
        <v>9676</v>
      </c>
      <c r="D46" s="4">
        <v>11270</v>
      </c>
      <c r="E46" s="4">
        <v>11823</v>
      </c>
      <c r="F46" s="4">
        <v>12137</v>
      </c>
      <c r="G46">
        <f t="shared" si="1"/>
        <v>11743.333333333334</v>
      </c>
      <c r="H46">
        <f t="shared" si="2"/>
        <v>11901.111111111111</v>
      </c>
      <c r="I46">
        <f t="shared" si="3"/>
        <v>11927.148148148148</v>
      </c>
      <c r="J46">
        <f t="shared" si="4"/>
        <v>11857.197530864198</v>
      </c>
      <c r="K46">
        <f t="shared" si="5"/>
        <v>11895.152263374484</v>
      </c>
    </row>
    <row r="47" spans="1:11" ht="52.5" x14ac:dyDescent="0.35">
      <c r="A47" s="2" t="s">
        <v>275</v>
      </c>
      <c r="B47" s="4">
        <v>3784</v>
      </c>
      <c r="C47" s="4">
        <v>4333</v>
      </c>
      <c r="D47" s="4">
        <v>6642</v>
      </c>
      <c r="E47" s="4">
        <v>7297</v>
      </c>
      <c r="F47" s="4">
        <v>8972</v>
      </c>
      <c r="G47">
        <f t="shared" si="1"/>
        <v>7637</v>
      </c>
      <c r="H47">
        <f t="shared" si="2"/>
        <v>7968.666666666667</v>
      </c>
      <c r="I47">
        <f t="shared" si="3"/>
        <v>8192.5555555555566</v>
      </c>
      <c r="J47">
        <f t="shared" si="4"/>
        <v>7932.7407407407418</v>
      </c>
      <c r="K47">
        <f t="shared" si="5"/>
        <v>8031.3209876543215</v>
      </c>
    </row>
    <row r="48" spans="1:11" ht="52.5" x14ac:dyDescent="0.35">
      <c r="A48" s="2" t="s">
        <v>276</v>
      </c>
      <c r="B48" s="4">
        <v>1025</v>
      </c>
      <c r="C48" s="4">
        <v>2076</v>
      </c>
      <c r="D48" s="4">
        <v>2752</v>
      </c>
      <c r="E48" s="4">
        <v>3673</v>
      </c>
      <c r="F48" s="4">
        <v>5012</v>
      </c>
      <c r="G48">
        <f t="shared" si="1"/>
        <v>3812.3333333333335</v>
      </c>
      <c r="H48">
        <f t="shared" si="2"/>
        <v>4165.7777777777783</v>
      </c>
      <c r="I48">
        <f t="shared" si="3"/>
        <v>4330.0370370370374</v>
      </c>
      <c r="J48">
        <f t="shared" si="4"/>
        <v>4102.7160493827168</v>
      </c>
      <c r="K48">
        <f t="shared" si="5"/>
        <v>4199.5102880658442</v>
      </c>
    </row>
    <row r="49" spans="1:11" ht="39.5" x14ac:dyDescent="0.35">
      <c r="A49" s="2" t="s">
        <v>277</v>
      </c>
      <c r="B49" s="4">
        <v>95342</v>
      </c>
      <c r="C49" s="4">
        <v>112465</v>
      </c>
      <c r="D49" s="4">
        <v>131111</v>
      </c>
      <c r="E49" s="4">
        <v>142928</v>
      </c>
      <c r="F49" s="4">
        <v>163664</v>
      </c>
      <c r="G49">
        <f t="shared" si="1"/>
        <v>145901</v>
      </c>
      <c r="H49">
        <f t="shared" si="2"/>
        <v>150831</v>
      </c>
      <c r="I49">
        <f t="shared" si="3"/>
        <v>153465.33333333334</v>
      </c>
      <c r="J49">
        <f t="shared" si="4"/>
        <v>150065.77777777778</v>
      </c>
      <c r="K49">
        <f t="shared" si="5"/>
        <v>151454.03703703705</v>
      </c>
    </row>
    <row r="50" spans="1:11" ht="26.5" x14ac:dyDescent="0.35">
      <c r="A50" s="2" t="s">
        <v>278</v>
      </c>
      <c r="B50" s="3"/>
      <c r="C50" s="3"/>
      <c r="D50" s="3"/>
      <c r="E50" s="3"/>
      <c r="F50" s="3"/>
      <c r="G50" t="e">
        <f t="shared" si="1"/>
        <v>#DIV/0!</v>
      </c>
      <c r="H50" t="e">
        <f t="shared" si="2"/>
        <v>#DIV/0!</v>
      </c>
      <c r="I50" t="e">
        <f t="shared" si="3"/>
        <v>#DIV/0!</v>
      </c>
      <c r="J50" t="e">
        <f t="shared" si="4"/>
        <v>#DIV/0!</v>
      </c>
      <c r="K50" t="e">
        <f t="shared" si="5"/>
        <v>#DIV/0!</v>
      </c>
    </row>
    <row r="51" spans="1:11" ht="39.5" x14ac:dyDescent="0.35">
      <c r="A51" s="2" t="s">
        <v>279</v>
      </c>
      <c r="B51" s="2">
        <v>2</v>
      </c>
      <c r="C51" s="2">
        <v>8</v>
      </c>
      <c r="D51" s="2">
        <v>8</v>
      </c>
      <c r="E51" s="2">
        <v>5</v>
      </c>
      <c r="F51" s="2">
        <v>3</v>
      </c>
      <c r="G51">
        <f t="shared" si="1"/>
        <v>5.333333333333333</v>
      </c>
      <c r="H51">
        <f t="shared" si="2"/>
        <v>4.4444444444444438</v>
      </c>
      <c r="I51">
        <f t="shared" si="3"/>
        <v>4.2592592592592586</v>
      </c>
      <c r="J51">
        <f t="shared" si="4"/>
        <v>4.6790123456790118</v>
      </c>
      <c r="K51">
        <f t="shared" si="5"/>
        <v>4.4609053497942384</v>
      </c>
    </row>
    <row r="52" spans="1:11" ht="26.5" x14ac:dyDescent="0.35">
      <c r="A52" s="2" t="s">
        <v>89</v>
      </c>
      <c r="B52" s="4">
        <v>13773</v>
      </c>
      <c r="C52" s="4">
        <v>14249</v>
      </c>
      <c r="D52" s="4">
        <v>33787</v>
      </c>
      <c r="E52" s="4">
        <v>33135</v>
      </c>
      <c r="F52" s="4">
        <v>37815</v>
      </c>
      <c r="G52">
        <f t="shared" si="1"/>
        <v>34912.333333333336</v>
      </c>
      <c r="H52">
        <f t="shared" si="2"/>
        <v>35287.444444444445</v>
      </c>
      <c r="I52">
        <f t="shared" si="3"/>
        <v>36004.925925925927</v>
      </c>
      <c r="J52">
        <f t="shared" si="4"/>
        <v>35401.567901234572</v>
      </c>
      <c r="K52">
        <f t="shared" si="5"/>
        <v>35564.646090534981</v>
      </c>
    </row>
    <row r="53" spans="1:11" ht="39.5" x14ac:dyDescent="0.35">
      <c r="A53" s="2" t="s">
        <v>280</v>
      </c>
      <c r="B53" s="4">
        <v>4505</v>
      </c>
      <c r="C53" s="4">
        <v>4486</v>
      </c>
      <c r="D53" s="4">
        <v>7457</v>
      </c>
      <c r="E53" s="4">
        <v>7134</v>
      </c>
      <c r="F53" s="4">
        <v>7548</v>
      </c>
      <c r="G53">
        <f t="shared" si="1"/>
        <v>7379.666666666667</v>
      </c>
      <c r="H53">
        <f t="shared" si="2"/>
        <v>7353.8888888888896</v>
      </c>
      <c r="I53">
        <f t="shared" si="3"/>
        <v>7427.1851851851861</v>
      </c>
      <c r="J53">
        <f t="shared" si="4"/>
        <v>7386.9135802469145</v>
      </c>
      <c r="K53">
        <f t="shared" si="5"/>
        <v>7389.3292181069964</v>
      </c>
    </row>
    <row r="54" spans="1:11" ht="52.5" x14ac:dyDescent="0.35">
      <c r="A54" s="2" t="s">
        <v>281</v>
      </c>
      <c r="B54" s="4">
        <v>12003</v>
      </c>
      <c r="C54" s="4">
        <v>12813</v>
      </c>
      <c r="D54" s="4">
        <v>17383</v>
      </c>
      <c r="E54" s="4">
        <v>20714</v>
      </c>
      <c r="F54" s="4">
        <v>12348</v>
      </c>
      <c r="G54">
        <f t="shared" si="1"/>
        <v>16815</v>
      </c>
      <c r="H54">
        <f t="shared" si="2"/>
        <v>16625.666666666668</v>
      </c>
      <c r="I54">
        <f t="shared" si="3"/>
        <v>15262.888888888891</v>
      </c>
      <c r="J54">
        <f t="shared" si="4"/>
        <v>16234.51851851852</v>
      </c>
      <c r="K54">
        <f t="shared" si="5"/>
        <v>16041.024691358027</v>
      </c>
    </row>
    <row r="55" spans="1:11" ht="52.5" x14ac:dyDescent="0.35">
      <c r="A55" s="2" t="s">
        <v>282</v>
      </c>
      <c r="B55" s="4">
        <v>2971</v>
      </c>
      <c r="C55" s="4">
        <v>2552</v>
      </c>
      <c r="D55" s="4">
        <v>5002</v>
      </c>
      <c r="E55" s="4">
        <v>5093</v>
      </c>
      <c r="F55" s="4">
        <v>5042</v>
      </c>
      <c r="G55">
        <f t="shared" si="1"/>
        <v>5045.666666666667</v>
      </c>
      <c r="H55">
        <f t="shared" si="2"/>
        <v>5060.2222222222226</v>
      </c>
      <c r="I55">
        <f t="shared" si="3"/>
        <v>5049.2962962962965</v>
      </c>
      <c r="J55">
        <f t="shared" si="4"/>
        <v>5051.7283950617284</v>
      </c>
      <c r="K55">
        <f t="shared" si="5"/>
        <v>5053.7489711934149</v>
      </c>
    </row>
    <row r="56" spans="1:11" ht="39.5" x14ac:dyDescent="0.35">
      <c r="A56" s="2" t="s">
        <v>283</v>
      </c>
      <c r="B56" s="4">
        <v>3250</v>
      </c>
      <c r="C56" s="4">
        <v>1784</v>
      </c>
      <c r="D56" s="4">
        <v>1765</v>
      </c>
      <c r="E56" s="4">
        <v>2193</v>
      </c>
      <c r="F56" s="4">
        <v>1904</v>
      </c>
      <c r="G56">
        <f t="shared" si="1"/>
        <v>1954</v>
      </c>
      <c r="H56">
        <f t="shared" si="2"/>
        <v>2017</v>
      </c>
      <c r="I56">
        <f t="shared" si="3"/>
        <v>1958.3333333333333</v>
      </c>
      <c r="J56">
        <f t="shared" si="4"/>
        <v>1976.4444444444443</v>
      </c>
      <c r="K56">
        <f t="shared" si="5"/>
        <v>1983.9259259259259</v>
      </c>
    </row>
    <row r="57" spans="1:11" ht="39.5" x14ac:dyDescent="0.35">
      <c r="A57" s="2" t="s">
        <v>93</v>
      </c>
      <c r="B57" s="4">
        <v>36478</v>
      </c>
      <c r="C57" s="4">
        <v>35852</v>
      </c>
      <c r="D57" s="4">
        <v>65374</v>
      </c>
      <c r="E57" s="4">
        <v>68150</v>
      </c>
      <c r="F57" s="4">
        <v>64534</v>
      </c>
      <c r="G57">
        <f t="shared" si="1"/>
        <v>66019.333333333328</v>
      </c>
      <c r="H57">
        <f t="shared" si="2"/>
        <v>66234.444444444438</v>
      </c>
      <c r="I57">
        <f t="shared" si="3"/>
        <v>65595.925925925912</v>
      </c>
      <c r="J57">
        <f t="shared" si="4"/>
        <v>65949.901234567878</v>
      </c>
      <c r="K57">
        <f t="shared" si="5"/>
        <v>65926.757201646062</v>
      </c>
    </row>
    <row r="58" spans="1:11" ht="26.5" x14ac:dyDescent="0.35">
      <c r="A58" s="2" t="s">
        <v>284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</row>
    <row r="59" spans="1:11" ht="26.5" x14ac:dyDescent="0.35">
      <c r="A59" s="2" t="s">
        <v>285</v>
      </c>
      <c r="B59" s="4">
        <v>131820</v>
      </c>
      <c r="C59" s="4">
        <v>148317</v>
      </c>
      <c r="D59" s="4">
        <v>196485</v>
      </c>
      <c r="E59" s="4">
        <v>211078</v>
      </c>
      <c r="F59" s="4">
        <v>228198</v>
      </c>
      <c r="G59">
        <f t="shared" si="1"/>
        <v>211920.33333333334</v>
      </c>
      <c r="H59">
        <f t="shared" si="2"/>
        <v>217065.44444444447</v>
      </c>
      <c r="I59">
        <f t="shared" si="3"/>
        <v>219061.2592592593</v>
      </c>
      <c r="J59">
        <f t="shared" si="4"/>
        <v>216015.6790123457</v>
      </c>
      <c r="K59">
        <f t="shared" si="5"/>
        <v>217380.79423868316</v>
      </c>
    </row>
  </sheetData>
  <mergeCells count="2">
    <mergeCell ref="B1:F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INCOME STATEMENT </vt:lpstr>
      <vt:lpstr>BALANCE SHEET</vt:lpstr>
      <vt:lpstr>RATIO</vt:lpstr>
      <vt:lpstr>CASH FLOW</vt:lpstr>
      <vt:lpstr>Sheet5</vt:lpstr>
      <vt:lpstr>Interconnection</vt:lpstr>
      <vt:lpstr>Altman</vt:lpstr>
      <vt:lpstr>Assumptions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ANAND</dc:creator>
  <cp:lastModifiedBy>UTKARSH ANAND</cp:lastModifiedBy>
  <dcterms:created xsi:type="dcterms:W3CDTF">2025-03-17T13:00:27Z</dcterms:created>
  <dcterms:modified xsi:type="dcterms:W3CDTF">2025-03-19T05:31:58Z</dcterms:modified>
</cp:coreProperties>
</file>