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rive\Tam -Trading\"/>
    </mc:Choice>
  </mc:AlternateContent>
  <xr:revisionPtr revIDLastSave="0" documentId="13_ncr:1_{E55DBD6C-9D88-483B-97AF-08B4CE0E3F65}" xr6:coauthVersionLast="47" xr6:coauthVersionMax="47" xr10:uidLastSave="{00000000-0000-0000-0000-000000000000}"/>
  <bookViews>
    <workbookView xWindow="-120" yWindow="-120" windowWidth="29040" windowHeight="15720" activeTab="1" xr2:uid="{F7FD6298-35DB-4C45-A6A3-F611F5549A8F}"/>
  </bookViews>
  <sheets>
    <sheet name="DCF (inconsistent CFO)" sheetId="2" r:id="rId1"/>
    <sheet name="DCF (Consistent CFO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N56" i="1"/>
  <c r="M56" i="1"/>
  <c r="L56" i="1"/>
  <c r="K56" i="1"/>
  <c r="J56" i="1"/>
  <c r="I56" i="1"/>
  <c r="H56" i="1"/>
  <c r="G56" i="1"/>
  <c r="F56" i="1"/>
  <c r="E56" i="1"/>
  <c r="E55" i="1"/>
  <c r="E57" i="1" l="1"/>
  <c r="F55" i="1"/>
  <c r="G6" i="1"/>
  <c r="G16" i="1"/>
  <c r="E5" i="1"/>
  <c r="G14" i="1"/>
  <c r="G15" i="1"/>
  <c r="F57" i="1" l="1"/>
  <c r="G55" i="1"/>
  <c r="H55" i="1" s="1"/>
  <c r="I55" i="1" s="1"/>
  <c r="E22" i="2"/>
  <c r="N21" i="2"/>
  <c r="M21" i="2"/>
  <c r="L21" i="2"/>
  <c r="K21" i="2"/>
  <c r="J21" i="2"/>
  <c r="I21" i="2"/>
  <c r="H21" i="2"/>
  <c r="G21" i="2"/>
  <c r="F21" i="2"/>
  <c r="E21" i="2"/>
  <c r="E20" i="2"/>
  <c r="F20" i="2" s="1"/>
  <c r="O9" i="2"/>
  <c r="O8" i="2"/>
  <c r="O9" i="1"/>
  <c r="O8" i="1"/>
  <c r="E20" i="1"/>
  <c r="F20" i="1" s="1"/>
  <c r="G21" i="1"/>
  <c r="H21" i="1"/>
  <c r="I21" i="1"/>
  <c r="J21" i="1"/>
  <c r="K21" i="1"/>
  <c r="L21" i="1"/>
  <c r="M21" i="1"/>
  <c r="N21" i="1"/>
  <c r="F21" i="1"/>
  <c r="E21" i="1"/>
  <c r="G57" i="1" l="1"/>
  <c r="G20" i="2"/>
  <c r="F22" i="2"/>
  <c r="E22" i="1"/>
  <c r="F22" i="1"/>
  <c r="G20" i="1"/>
  <c r="H20" i="1" s="1"/>
  <c r="I20" i="1" s="1"/>
  <c r="H57" i="1" l="1"/>
  <c r="H20" i="2"/>
  <c r="G22" i="2"/>
  <c r="G22" i="1"/>
  <c r="I57" i="1" l="1"/>
  <c r="J55" i="1"/>
  <c r="I20" i="2"/>
  <c r="H22" i="2"/>
  <c r="H22" i="1"/>
  <c r="J57" i="1" l="1"/>
  <c r="K55" i="1"/>
  <c r="J20" i="2"/>
  <c r="I22" i="2"/>
  <c r="J20" i="1"/>
  <c r="I22" i="1"/>
  <c r="K57" i="1" l="1"/>
  <c r="L55" i="1"/>
  <c r="J22" i="2"/>
  <c r="K20" i="2"/>
  <c r="K20" i="1"/>
  <c r="J22" i="1"/>
  <c r="L57" i="1" l="1"/>
  <c r="M55" i="1"/>
  <c r="K22" i="2"/>
  <c r="L20" i="2"/>
  <c r="L20" i="1"/>
  <c r="K22" i="1"/>
  <c r="M57" i="1" l="1"/>
  <c r="N55" i="1"/>
  <c r="N57" i="1" s="1"/>
  <c r="L22" i="2"/>
  <c r="M20" i="2"/>
  <c r="M20" i="1"/>
  <c r="L22" i="1"/>
  <c r="P57" i="1" l="1"/>
  <c r="P11" i="1" s="1"/>
  <c r="M22" i="2"/>
  <c r="N20" i="2"/>
  <c r="N22" i="2" s="1"/>
  <c r="N20" i="1"/>
  <c r="N22" i="1" s="1"/>
  <c r="M22" i="1"/>
  <c r="O16" i="1" l="1"/>
  <c r="O6" i="2"/>
  <c r="O7" i="2" s="1"/>
  <c r="O10" i="2" s="1"/>
  <c r="M16" i="2" s="1"/>
  <c r="O6" i="1"/>
  <c r="O7" i="1" s="1"/>
  <c r="O10" i="1" s="1"/>
  <c r="M16" i="1" s="1"/>
</calcChain>
</file>

<file path=xl/sharedStrings.xml><?xml version="1.0" encoding="utf-8"?>
<sst xmlns="http://schemas.openxmlformats.org/spreadsheetml/2006/main" count="66" uniqueCount="33">
  <si>
    <t>Name of the company</t>
  </si>
  <si>
    <t>Ticker Symbol</t>
  </si>
  <si>
    <t>Operating Cash Flow</t>
  </si>
  <si>
    <t>Total debt (short term + long term)</t>
  </si>
  <si>
    <t>Cash and short term investment</t>
  </si>
  <si>
    <t>Cash flow growth rate (1-3 Yr)</t>
  </si>
  <si>
    <t>Cash flow growth rate (4-10 Yr)</t>
  </si>
  <si>
    <t>Number of outstanding shares</t>
  </si>
  <si>
    <t>PV of 10 yr cash flow</t>
  </si>
  <si>
    <t>Intrinsic value before cash/debt</t>
  </si>
  <si>
    <t>Year</t>
  </si>
  <si>
    <t>Cash flow projected</t>
  </si>
  <si>
    <t>Discount factor</t>
  </si>
  <si>
    <t>Discounted value</t>
  </si>
  <si>
    <t>Final intrinsic value</t>
  </si>
  <si>
    <t>YR</t>
  </si>
  <si>
    <t>Discount rate</t>
  </si>
  <si>
    <t>Current year</t>
  </si>
  <si>
    <t>Cash per share</t>
  </si>
  <si>
    <t>Debt per share</t>
  </si>
  <si>
    <t>Beta Value</t>
  </si>
  <si>
    <t>Beta</t>
  </si>
  <si>
    <t>&lt; 0.8</t>
  </si>
  <si>
    <t>Walmart</t>
  </si>
  <si>
    <t>&gt;1.6</t>
  </si>
  <si>
    <t>Last close price</t>
  </si>
  <si>
    <t>Valuation</t>
  </si>
  <si>
    <t>Net Income</t>
  </si>
  <si>
    <t>Company Name</t>
  </si>
  <si>
    <t>current price</t>
  </si>
  <si>
    <t>valuation last price</t>
  </si>
  <si>
    <t xml:space="preserve">with 1-5 yr growth rate 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</si>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</sst>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44" fontId="2" fillId="2" borderId="24" xfId="0" applyNumberFormat="1" applyFont="1" applyFill="1" applyBorder="1" applyAlignment="1">
      <alignment horizontal="center"/>
    </xf>
    <xf numFmtId="44" fontId="2" fillId="2" borderId="25" xfId="0" applyNumberFormat="1" applyFont="1" applyFill="1" applyBorder="1" applyAlignment="1">
      <alignment horizontal="center"/>
    </xf>
    <xf numFmtId="44" fontId="2" fillId="2" borderId="26" xfId="0" applyNumberFormat="1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44" fontId="2" fillId="3" borderId="23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2" xfId="0" applyFont="1" applyFill="1" applyBorder="1"/>
    <xf numFmtId="0" fontId="2" fillId="2" borderId="8" xfId="0" applyFont="1" applyFill="1" applyBorder="1"/>
    <xf numFmtId="0" fontId="2" fillId="5" borderId="0" xfId="0" applyFont="1" applyFill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3" borderId="39" xfId="0" applyFont="1" applyFill="1" applyBorder="1"/>
    <xf numFmtId="0" fontId="2" fillId="3" borderId="40" xfId="0" applyFont="1" applyFill="1" applyBorder="1"/>
    <xf numFmtId="0" fontId="2" fillId="2" borderId="37" xfId="0" applyFont="1" applyFill="1" applyBorder="1"/>
    <xf numFmtId="0" fontId="2" fillId="5" borderId="34" xfId="0" applyFont="1" applyFill="1" applyBorder="1"/>
    <xf numFmtId="0" fontId="2" fillId="5" borderId="35" xfId="0" applyFont="1" applyFill="1" applyBorder="1"/>
    <xf numFmtId="0" fontId="2" fillId="2" borderId="8" xfId="0" applyFont="1" applyFill="1" applyBorder="1" applyAlignment="1">
      <alignment horizontal="left"/>
    </xf>
    <xf numFmtId="0" fontId="2" fillId="5" borderId="33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3" borderId="38" xfId="0" applyFont="1" applyFill="1" applyBorder="1" applyAlignment="1">
      <alignment horizontal="left"/>
    </xf>
    <xf numFmtId="9" fontId="3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5" borderId="0" xfId="0" applyNumberFormat="1" applyFont="1" applyFill="1" applyAlignment="1">
      <alignment horizontal="center"/>
    </xf>
    <xf numFmtId="10" fontId="3" fillId="2" borderId="1" xfId="2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4" fontId="2" fillId="4" borderId="11" xfId="1" applyFont="1" applyFill="1" applyBorder="1" applyAlignment="1">
      <alignment horizontal="center"/>
    </xf>
    <xf numFmtId="44" fontId="2" fillId="4" borderId="13" xfId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44" fontId="2" fillId="4" borderId="14" xfId="1" applyFont="1" applyFill="1" applyBorder="1" applyAlignment="1">
      <alignment horizontal="center"/>
    </xf>
    <xf numFmtId="44" fontId="2" fillId="4" borderId="15" xfId="1" applyFont="1" applyFill="1" applyBorder="1" applyAlignment="1">
      <alignment horizontal="center"/>
    </xf>
    <xf numFmtId="44" fontId="3" fillId="2" borderId="14" xfId="1" applyFont="1" applyFill="1" applyBorder="1" applyAlignment="1">
      <alignment horizontal="center"/>
    </xf>
    <xf numFmtId="44" fontId="3" fillId="2" borderId="15" xfId="1" applyFont="1" applyFill="1" applyBorder="1" applyAlignment="1">
      <alignment horizontal="center"/>
    </xf>
    <xf numFmtId="44" fontId="2" fillId="4" borderId="30" xfId="1" applyFont="1" applyFill="1" applyBorder="1" applyAlignment="1">
      <alignment horizontal="center"/>
    </xf>
    <xf numFmtId="44" fontId="2" fillId="4" borderId="31" xfId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44" fontId="3" fillId="4" borderId="27" xfId="1" applyFont="1" applyFill="1" applyBorder="1" applyAlignment="1">
      <alignment horizontal="center"/>
    </xf>
    <xf numFmtId="44" fontId="3" fillId="4" borderId="29" xfId="1" applyFont="1" applyFill="1" applyBorder="1" applyAlignment="1">
      <alignment horizontal="center"/>
    </xf>
    <xf numFmtId="10" fontId="3" fillId="2" borderId="14" xfId="2" applyNumberFormat="1" applyFont="1" applyFill="1" applyBorder="1" applyAlignment="1">
      <alignment horizontal="center"/>
    </xf>
    <xf numFmtId="10" fontId="3" fillId="2" borderId="15" xfId="2" applyNumberFormat="1" applyFont="1" applyFill="1" applyBorder="1" applyAlignment="1">
      <alignment horizontal="center"/>
    </xf>
    <xf numFmtId="9" fontId="2" fillId="5" borderId="10" xfId="2" applyFont="1" applyFill="1" applyBorder="1" applyAlignment="1">
      <alignment horizontal="center"/>
    </xf>
    <xf numFmtId="9" fontId="2" fillId="5" borderId="15" xfId="2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10" fontId="3" fillId="2" borderId="16" xfId="2" applyNumberFormat="1" applyFont="1" applyFill="1" applyBorder="1" applyAlignment="1">
      <alignment horizontal="center"/>
    </xf>
    <xf numFmtId="10" fontId="3" fillId="2" borderId="18" xfId="2" applyNumberFormat="1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9" fontId="2" fillId="2" borderId="19" xfId="2" applyFont="1" applyFill="1" applyBorder="1" applyAlignment="1">
      <alignment horizontal="center"/>
    </xf>
    <xf numFmtId="9" fontId="2" fillId="2" borderId="21" xfId="2" applyFont="1" applyFill="1" applyBorder="1" applyAlignment="1">
      <alignment horizontal="center"/>
    </xf>
    <xf numFmtId="44" fontId="3" fillId="2" borderId="19" xfId="1" applyFont="1" applyFill="1" applyBorder="1" applyAlignment="1">
      <alignment horizontal="center"/>
    </xf>
    <xf numFmtId="44" fontId="3" fillId="2" borderId="21" xfId="1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9" fontId="2" fillId="5" borderId="17" xfId="2" applyFont="1" applyFill="1" applyBorder="1" applyAlignment="1">
      <alignment horizontal="center"/>
    </xf>
    <xf numFmtId="9" fontId="2" fillId="5" borderId="18" xfId="2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e">
        <v>#N/A</v>
        <stp/>
        <stp>CLOSE</stp>
        <stp>AAPL</stp>
        <tr r="G16" s="1"/>
      </tp>
      <tp t="e">
        <v>#N/A</v>
        <stp/>
        <stp>DESCRIPTION</stp>
        <stp>AAPL</stp>
        <tr r="G6" s="1"/>
        <tr r="E5" s="1"/>
      </tp>
      <tp t="e">
        <v>#N/A</v>
        <stp/>
        <stp>LAST</stp>
        <stp>AAPL</stp>
        <tr r="G17" s="1"/>
      </tp>
      <tp t="e">
        <v>#N/A</v>
        <stp/>
        <stp>BETA</stp>
        <stp>AAPL</stp>
        <tr r="G15" s="1"/>
      </tp>
      <tp t="e">
        <v>#N/A</v>
        <stp/>
        <stp>SHARES</stp>
        <stp>AAPL</stp>
        <tr r="G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190500</xdr:rowOff>
    </xdr:from>
    <xdr:to>
      <xdr:col>12</xdr:col>
      <xdr:colOff>542926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478079-C67A-4DEC-B521-57E6C0B2FCD5}"/>
            </a:ext>
          </a:extLst>
        </xdr:cNvPr>
        <xdr:cNvSpPr txBox="1"/>
      </xdr:nvSpPr>
      <xdr:spPr>
        <a:xfrm>
          <a:off x="3429001" y="190500"/>
          <a:ext cx="7696200" cy="6381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000">
              <a:latin typeface="Times New Roman" panose="02020603050405020304" pitchFamily="18" charset="0"/>
              <a:cs typeface="Times New Roman" panose="02020603050405020304" pitchFamily="18" charset="0"/>
            </a:rPr>
            <a:t>Intrinsic Value Calculator (DCF Model</a:t>
          </a:r>
          <a:r>
            <a:rPr lang="en-US" sz="3000" baseline="0">
              <a:latin typeface="Times New Roman" panose="02020603050405020304" pitchFamily="18" charset="0"/>
              <a:cs typeface="Times New Roman" panose="02020603050405020304" pitchFamily="18" charset="0"/>
            </a:rPr>
            <a:t> 10 years)</a:t>
          </a:r>
          <a:endParaRPr lang="en-US" sz="3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190500</xdr:rowOff>
    </xdr:from>
    <xdr:to>
      <xdr:col>12</xdr:col>
      <xdr:colOff>542926</xdr:colOff>
      <xdr:row>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DD7603-CF51-4EDB-B1CC-6A464D007839}"/>
            </a:ext>
          </a:extLst>
        </xdr:cNvPr>
        <xdr:cNvSpPr txBox="1"/>
      </xdr:nvSpPr>
      <xdr:spPr>
        <a:xfrm>
          <a:off x="3429001" y="190500"/>
          <a:ext cx="7696200" cy="6381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000">
              <a:latin typeface="Times New Roman" panose="02020603050405020304" pitchFamily="18" charset="0"/>
              <a:cs typeface="Times New Roman" panose="02020603050405020304" pitchFamily="18" charset="0"/>
            </a:rPr>
            <a:t>Intrinsic Value Calculator (DCF Model</a:t>
          </a:r>
          <a:r>
            <a:rPr lang="en-US" sz="3000" baseline="0">
              <a:latin typeface="Times New Roman" panose="02020603050405020304" pitchFamily="18" charset="0"/>
              <a:cs typeface="Times New Roman" panose="02020603050405020304" pitchFamily="18" charset="0"/>
            </a:rPr>
            <a:t> 10 years)</a:t>
          </a:r>
          <a:endParaRPr lang="en-US" sz="3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0693-3E38-40B2-A862-21075315E8CB}">
  <dimension ref="A1:Q34"/>
  <sheetViews>
    <sheetView zoomScale="120" zoomScaleNormal="120" workbookViewId="0">
      <selection activeCell="G8" sqref="G8:H8"/>
    </sheetView>
  </sheetViews>
  <sheetFormatPr defaultRowHeight="18.75" x14ac:dyDescent="0.3"/>
  <cols>
    <col min="1" max="4" width="9.140625" style="1"/>
    <col min="5" max="6" width="14.85546875" style="1" bestFit="1" customWidth="1"/>
    <col min="7" max="7" width="15.5703125" style="1" bestFit="1" customWidth="1"/>
    <col min="8" max="10" width="14.85546875" style="1" bestFit="1" customWidth="1"/>
    <col min="11" max="14" width="16.140625" style="1" bestFit="1" customWidth="1"/>
    <col min="15" max="16384" width="9.140625" style="1"/>
  </cols>
  <sheetData>
    <row r="1" spans="1:17" x14ac:dyDescent="0.3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7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1:17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7" x14ac:dyDescent="0.3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</row>
    <row r="5" spans="1:17" ht="19.5" thickBot="1" x14ac:dyDescent="0.3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0"/>
    </row>
    <row r="6" spans="1:17" x14ac:dyDescent="0.3">
      <c r="A6" s="18"/>
      <c r="B6" s="46" t="s">
        <v>0</v>
      </c>
      <c r="C6" s="47"/>
      <c r="D6" s="47"/>
      <c r="E6" s="47"/>
      <c r="F6" s="48"/>
      <c r="G6" s="49" t="s">
        <v>23</v>
      </c>
      <c r="H6" s="50"/>
      <c r="I6" s="19"/>
      <c r="J6" s="46" t="s">
        <v>8</v>
      </c>
      <c r="K6" s="47"/>
      <c r="L6" s="47"/>
      <c r="M6" s="47"/>
      <c r="N6" s="48"/>
      <c r="O6" s="51">
        <f>SUM(E22:N22)</f>
        <v>97733.062886001047</v>
      </c>
      <c r="P6" s="52"/>
      <c r="Q6" s="20"/>
    </row>
    <row r="7" spans="1:17" x14ac:dyDescent="0.3">
      <c r="A7" s="18"/>
      <c r="B7" s="53" t="s">
        <v>1</v>
      </c>
      <c r="C7" s="54"/>
      <c r="D7" s="54"/>
      <c r="E7" s="54"/>
      <c r="F7" s="55"/>
      <c r="G7" s="56" t="s">
        <v>32</v>
      </c>
      <c r="H7" s="57"/>
      <c r="I7" s="19"/>
      <c r="J7" s="53" t="s">
        <v>9</v>
      </c>
      <c r="K7" s="54"/>
      <c r="L7" s="54"/>
      <c r="M7" s="54"/>
      <c r="N7" s="55"/>
      <c r="O7" s="58">
        <f>O6/G14</f>
        <v>34.644829098192503</v>
      </c>
      <c r="P7" s="59"/>
      <c r="Q7" s="20"/>
    </row>
    <row r="8" spans="1:17" x14ac:dyDescent="0.3">
      <c r="A8" s="18"/>
      <c r="B8" s="53" t="s">
        <v>27</v>
      </c>
      <c r="C8" s="54"/>
      <c r="D8" s="54"/>
      <c r="E8" s="54"/>
      <c r="F8" s="55"/>
      <c r="G8" s="60">
        <v>8299</v>
      </c>
      <c r="H8" s="61"/>
      <c r="I8" s="19"/>
      <c r="J8" s="53" t="s">
        <v>19</v>
      </c>
      <c r="K8" s="54"/>
      <c r="L8" s="54"/>
      <c r="M8" s="54"/>
      <c r="N8" s="55"/>
      <c r="O8" s="58">
        <f>G9/G14</f>
        <v>20.417227933356966</v>
      </c>
      <c r="P8" s="59"/>
      <c r="Q8" s="20"/>
    </row>
    <row r="9" spans="1:17" ht="19.5" thickBot="1" x14ac:dyDescent="0.35">
      <c r="A9" s="18"/>
      <c r="B9" s="53" t="s">
        <v>3</v>
      </c>
      <c r="C9" s="54"/>
      <c r="D9" s="54"/>
      <c r="E9" s="54"/>
      <c r="F9" s="55"/>
      <c r="G9" s="60">
        <v>57597</v>
      </c>
      <c r="H9" s="61"/>
      <c r="I9" s="19"/>
      <c r="J9" s="53" t="s">
        <v>18</v>
      </c>
      <c r="K9" s="54"/>
      <c r="L9" s="54"/>
      <c r="M9" s="54"/>
      <c r="N9" s="55"/>
      <c r="O9" s="62">
        <f>G10/G14</f>
        <v>5.7110953562566467</v>
      </c>
      <c r="P9" s="63"/>
      <c r="Q9" s="20"/>
    </row>
    <row r="10" spans="1:17" ht="19.5" thickBot="1" x14ac:dyDescent="0.35">
      <c r="A10" s="18"/>
      <c r="B10" s="53" t="s">
        <v>4</v>
      </c>
      <c r="C10" s="54"/>
      <c r="D10" s="54"/>
      <c r="E10" s="54"/>
      <c r="F10" s="55"/>
      <c r="G10" s="60">
        <v>16111</v>
      </c>
      <c r="H10" s="61"/>
      <c r="I10" s="19"/>
      <c r="J10" s="64" t="s">
        <v>14</v>
      </c>
      <c r="K10" s="65"/>
      <c r="L10" s="65"/>
      <c r="M10" s="65"/>
      <c r="N10" s="66"/>
      <c r="O10" s="67">
        <f>O7-O8+O9</f>
        <v>19.938696521092183</v>
      </c>
      <c r="P10" s="68"/>
      <c r="Q10" s="20"/>
    </row>
    <row r="11" spans="1:17" ht="19.5" thickBot="1" x14ac:dyDescent="0.35">
      <c r="A11" s="18"/>
      <c r="B11" s="53" t="s">
        <v>5</v>
      </c>
      <c r="C11" s="54"/>
      <c r="D11" s="54"/>
      <c r="E11" s="54"/>
      <c r="F11" s="55"/>
      <c r="G11" s="69">
        <v>8.1000000000000003E-2</v>
      </c>
      <c r="H11" s="70"/>
      <c r="I11" s="19"/>
      <c r="J11" s="19"/>
      <c r="K11" s="19"/>
      <c r="L11" s="19"/>
      <c r="M11" s="19"/>
      <c r="N11" s="19"/>
      <c r="O11" s="19"/>
      <c r="P11" s="19"/>
      <c r="Q11" s="20"/>
    </row>
    <row r="12" spans="1:17" ht="19.5" thickBot="1" x14ac:dyDescent="0.35">
      <c r="A12" s="18"/>
      <c r="B12" s="73" t="s">
        <v>6</v>
      </c>
      <c r="C12" s="74"/>
      <c r="D12" s="74"/>
      <c r="E12" s="74"/>
      <c r="F12" s="75"/>
      <c r="G12" s="76">
        <v>8.1000000000000003E-2</v>
      </c>
      <c r="H12" s="77"/>
      <c r="I12" s="19"/>
      <c r="J12" s="78" t="s">
        <v>17</v>
      </c>
      <c r="K12" s="79"/>
      <c r="L12" s="79"/>
      <c r="M12" s="79"/>
      <c r="N12" s="80"/>
      <c r="O12" s="81">
        <v>2021</v>
      </c>
      <c r="P12" s="82"/>
      <c r="Q12" s="20"/>
    </row>
    <row r="13" spans="1:17" ht="19.5" thickBot="1" x14ac:dyDescent="0.3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0"/>
    </row>
    <row r="14" spans="1:17" ht="19.5" thickBot="1" x14ac:dyDescent="0.35">
      <c r="A14" s="18"/>
      <c r="B14" s="78" t="s">
        <v>7</v>
      </c>
      <c r="C14" s="79"/>
      <c r="D14" s="79"/>
      <c r="E14" s="79"/>
      <c r="F14" s="80"/>
      <c r="G14" s="83">
        <v>2821</v>
      </c>
      <c r="H14" s="84"/>
      <c r="I14" s="19"/>
      <c r="J14" s="78" t="s">
        <v>16</v>
      </c>
      <c r="K14" s="79"/>
      <c r="L14" s="79"/>
      <c r="M14" s="79"/>
      <c r="N14" s="80"/>
      <c r="O14" s="85">
        <v>0.05</v>
      </c>
      <c r="P14" s="86"/>
      <c r="Q14" s="20"/>
    </row>
    <row r="15" spans="1:17" ht="19.5" thickBot="1" x14ac:dyDescent="0.35">
      <c r="A15" s="18"/>
      <c r="B15" s="78" t="s">
        <v>20</v>
      </c>
      <c r="C15" s="79"/>
      <c r="D15" s="79"/>
      <c r="E15" s="79"/>
      <c r="F15" s="80"/>
      <c r="G15" s="83">
        <v>0.53</v>
      </c>
      <c r="H15" s="84"/>
      <c r="I15" s="19"/>
      <c r="J15" s="19"/>
      <c r="K15" s="19"/>
      <c r="L15" s="19"/>
      <c r="M15" s="19"/>
      <c r="N15" s="19"/>
      <c r="O15" s="19"/>
      <c r="P15" s="19"/>
      <c r="Q15" s="20"/>
    </row>
    <row r="16" spans="1:17" ht="19.5" thickBot="1" x14ac:dyDescent="0.35">
      <c r="A16" s="18"/>
      <c r="B16" s="78" t="s">
        <v>25</v>
      </c>
      <c r="C16" s="79"/>
      <c r="D16" s="79"/>
      <c r="E16" s="79"/>
      <c r="F16" s="80"/>
      <c r="G16" s="87">
        <v>137.15</v>
      </c>
      <c r="H16" s="88"/>
      <c r="I16" s="19"/>
      <c r="J16" s="19"/>
      <c r="K16" s="19"/>
      <c r="L16" s="40" t="s">
        <v>26</v>
      </c>
      <c r="M16" s="39">
        <f>(G16-O10)/O10</f>
        <v>5.8785840566315679</v>
      </c>
      <c r="N16" s="19"/>
      <c r="O16" s="19"/>
      <c r="P16" s="19"/>
      <c r="Q16" s="20"/>
    </row>
    <row r="17" spans="1:17" x14ac:dyDescent="0.3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0"/>
    </row>
    <row r="18" spans="1:17" ht="19.5" thickBot="1" x14ac:dyDescent="0.35">
      <c r="A18" s="18"/>
      <c r="B18" s="35" t="s">
        <v>15</v>
      </c>
      <c r="C18" s="25"/>
      <c r="D18" s="25"/>
      <c r="E18" s="19">
        <v>1</v>
      </c>
      <c r="F18" s="19">
        <v>2</v>
      </c>
      <c r="G18" s="19">
        <v>3</v>
      </c>
      <c r="H18" s="19">
        <v>4</v>
      </c>
      <c r="I18" s="19">
        <v>5</v>
      </c>
      <c r="J18" s="19">
        <v>6</v>
      </c>
      <c r="K18" s="19">
        <v>7</v>
      </c>
      <c r="L18" s="19">
        <v>8</v>
      </c>
      <c r="M18" s="19">
        <v>9</v>
      </c>
      <c r="N18" s="19">
        <v>10</v>
      </c>
      <c r="O18" s="19"/>
      <c r="P18" s="19"/>
      <c r="Q18" s="20"/>
    </row>
    <row r="19" spans="1:17" ht="19.5" thickBot="1" x14ac:dyDescent="0.35">
      <c r="A19" s="18"/>
      <c r="B19" s="36" t="s">
        <v>10</v>
      </c>
      <c r="C19" s="33"/>
      <c r="D19" s="34"/>
      <c r="E19" s="5">
        <v>2022</v>
      </c>
      <c r="F19" s="6">
        <v>2023</v>
      </c>
      <c r="G19" s="5">
        <v>2024</v>
      </c>
      <c r="H19" s="6">
        <v>2025</v>
      </c>
      <c r="I19" s="5">
        <v>2026</v>
      </c>
      <c r="J19" s="6">
        <v>2027</v>
      </c>
      <c r="K19" s="5">
        <v>2028</v>
      </c>
      <c r="L19" s="6">
        <v>2029</v>
      </c>
      <c r="M19" s="5">
        <v>2030</v>
      </c>
      <c r="N19" s="6">
        <v>2031</v>
      </c>
      <c r="O19" s="19"/>
      <c r="P19" s="19"/>
      <c r="Q19" s="20"/>
    </row>
    <row r="20" spans="1:17" x14ac:dyDescent="0.3">
      <c r="A20" s="18"/>
      <c r="B20" s="37" t="s">
        <v>11</v>
      </c>
      <c r="C20" s="32"/>
      <c r="D20" s="24"/>
      <c r="E20" s="7">
        <f>$G$8*(1+$G$11)</f>
        <v>8971.2189999999991</v>
      </c>
      <c r="F20" s="8">
        <f>E20*(1+$G$11)</f>
        <v>9697.887738999998</v>
      </c>
      <c r="G20" s="8">
        <f>F20*(1+$G$11)</f>
        <v>10483.416645858997</v>
      </c>
      <c r="H20" s="8">
        <f>G20*(1+$G$12)</f>
        <v>11332.573394173576</v>
      </c>
      <c r="I20" s="8">
        <f>H20*(1+$G$12)</f>
        <v>12250.511839101635</v>
      </c>
      <c r="J20" s="8">
        <f>I20*(1+$G$12)</f>
        <v>13242.803298068868</v>
      </c>
      <c r="K20" s="8">
        <f>J20*(1+$G$12)</f>
        <v>14315.470365212446</v>
      </c>
      <c r="L20" s="8">
        <f t="shared" ref="L20:N20" si="0">K20*(1+$G$12)</f>
        <v>15475.023464794655</v>
      </c>
      <c r="M20" s="8">
        <f t="shared" si="0"/>
        <v>16728.500365443022</v>
      </c>
      <c r="N20" s="9">
        <f t="shared" si="0"/>
        <v>18083.508895043906</v>
      </c>
      <c r="O20" s="19"/>
      <c r="P20" s="19"/>
      <c r="Q20" s="20"/>
    </row>
    <row r="21" spans="1:17" x14ac:dyDescent="0.3">
      <c r="A21" s="18"/>
      <c r="B21" s="37" t="s">
        <v>12</v>
      </c>
      <c r="C21" s="32"/>
      <c r="D21" s="24"/>
      <c r="E21" s="4">
        <f>1/(1+$O$14)^E18</f>
        <v>0.95238095238095233</v>
      </c>
      <c r="F21" s="4">
        <f>1/(1+$O$14)^F18</f>
        <v>0.90702947845804982</v>
      </c>
      <c r="G21" s="4">
        <f t="shared" ref="G21:N21" si="1">1/(1+$O$14)^G18</f>
        <v>0.86383759853147601</v>
      </c>
      <c r="H21" s="4">
        <f t="shared" si="1"/>
        <v>0.82270247479188197</v>
      </c>
      <c r="I21" s="4">
        <f t="shared" si="1"/>
        <v>0.78352616646845896</v>
      </c>
      <c r="J21" s="4">
        <f t="shared" si="1"/>
        <v>0.74621539663662761</v>
      </c>
      <c r="K21" s="4">
        <f t="shared" si="1"/>
        <v>0.71068133013012147</v>
      </c>
      <c r="L21" s="4">
        <f t="shared" si="1"/>
        <v>0.67683936202868722</v>
      </c>
      <c r="M21" s="4">
        <f t="shared" si="1"/>
        <v>0.64460891621779726</v>
      </c>
      <c r="N21" s="10">
        <f t="shared" si="1"/>
        <v>0.61391325354075932</v>
      </c>
      <c r="O21" s="19"/>
      <c r="P21" s="19"/>
      <c r="Q21" s="20"/>
    </row>
    <row r="22" spans="1:17" ht="19.5" thickBot="1" x14ac:dyDescent="0.35">
      <c r="A22" s="21"/>
      <c r="B22" s="38" t="s">
        <v>13</v>
      </c>
      <c r="C22" s="30"/>
      <c r="D22" s="31"/>
      <c r="E22" s="11">
        <f>E20*E21</f>
        <v>8544.0180952380942</v>
      </c>
      <c r="F22" s="11">
        <f t="shared" ref="F22:N22" si="2">F20*F21</f>
        <v>8796.270058049884</v>
      </c>
      <c r="G22" s="11">
        <f t="shared" si="2"/>
        <v>9055.9694597637372</v>
      </c>
      <c r="H22" s="11">
        <f t="shared" si="2"/>
        <v>9323.3361771472391</v>
      </c>
      <c r="I22" s="11">
        <f t="shared" si="2"/>
        <v>9598.5965785677745</v>
      </c>
      <c r="J22" s="11">
        <f t="shared" si="2"/>
        <v>9881.9837156493013</v>
      </c>
      <c r="K22" s="11">
        <f t="shared" si="2"/>
        <v>10173.737520587518</v>
      </c>
      <c r="L22" s="11">
        <f t="shared" si="2"/>
        <v>10474.105009290579</v>
      </c>
      <c r="M22" s="11">
        <f t="shared" si="2"/>
        <v>10783.340490517252</v>
      </c>
      <c r="N22" s="11">
        <f t="shared" si="2"/>
        <v>11101.705781189667</v>
      </c>
      <c r="O22" s="22"/>
      <c r="P22" s="22"/>
      <c r="Q22" s="23"/>
    </row>
    <row r="24" spans="1:17" ht="19.5" thickBot="1" x14ac:dyDescent="0.35">
      <c r="A24" s="26"/>
      <c r="B24" s="26"/>
      <c r="C24" s="26"/>
      <c r="D24" s="26"/>
      <c r="E24" s="26"/>
    </row>
    <row r="25" spans="1:17" x14ac:dyDescent="0.3">
      <c r="A25" s="26"/>
      <c r="B25" s="27" t="s">
        <v>21</v>
      </c>
      <c r="C25" s="89" t="s">
        <v>16</v>
      </c>
      <c r="D25" s="90"/>
      <c r="E25" s="26"/>
    </row>
    <row r="26" spans="1:17" x14ac:dyDescent="0.3">
      <c r="A26" s="26"/>
      <c r="B26" s="28" t="s">
        <v>22</v>
      </c>
      <c r="C26" s="71">
        <v>0.05</v>
      </c>
      <c r="D26" s="72"/>
      <c r="E26" s="26"/>
    </row>
    <row r="27" spans="1:17" x14ac:dyDescent="0.3">
      <c r="A27" s="26"/>
      <c r="B27" s="28">
        <v>1</v>
      </c>
      <c r="C27" s="71">
        <v>0.06</v>
      </c>
      <c r="D27" s="72"/>
      <c r="E27" s="26"/>
    </row>
    <row r="28" spans="1:17" x14ac:dyDescent="0.3">
      <c r="A28" s="26"/>
      <c r="B28" s="28">
        <v>1.1000000000000001</v>
      </c>
      <c r="C28" s="71">
        <v>6.5000000000000002E-2</v>
      </c>
      <c r="D28" s="72"/>
      <c r="E28" s="26"/>
    </row>
    <row r="29" spans="1:17" x14ac:dyDescent="0.3">
      <c r="A29" s="26"/>
      <c r="B29" s="28">
        <v>1.2</v>
      </c>
      <c r="C29" s="71">
        <v>7.0000000000000007E-2</v>
      </c>
      <c r="D29" s="72"/>
      <c r="E29" s="26"/>
    </row>
    <row r="30" spans="1:17" x14ac:dyDescent="0.3">
      <c r="A30" s="26"/>
      <c r="B30" s="28">
        <v>1.3</v>
      </c>
      <c r="C30" s="71">
        <v>7.4999999999999997E-2</v>
      </c>
      <c r="D30" s="72"/>
      <c r="E30" s="26"/>
    </row>
    <row r="31" spans="1:17" x14ac:dyDescent="0.3">
      <c r="A31" s="26"/>
      <c r="B31" s="28">
        <v>1.4</v>
      </c>
      <c r="C31" s="71">
        <v>0.08</v>
      </c>
      <c r="D31" s="72"/>
      <c r="E31" s="26"/>
    </row>
    <row r="32" spans="1:17" x14ac:dyDescent="0.3">
      <c r="A32" s="26"/>
      <c r="B32" s="28">
        <v>1.5</v>
      </c>
      <c r="C32" s="71">
        <v>8.5000000000000006E-2</v>
      </c>
      <c r="D32" s="72"/>
      <c r="E32" s="26"/>
    </row>
    <row r="33" spans="1:5" ht="19.5" thickBot="1" x14ac:dyDescent="0.35">
      <c r="A33" s="26"/>
      <c r="B33" s="29" t="s">
        <v>24</v>
      </c>
      <c r="C33" s="91">
        <v>0.09</v>
      </c>
      <c r="D33" s="92"/>
      <c r="E33" s="26"/>
    </row>
    <row r="34" spans="1:5" x14ac:dyDescent="0.3">
      <c r="A34" s="26"/>
      <c r="B34" s="26"/>
      <c r="C34" s="26"/>
      <c r="D34" s="26"/>
      <c r="E34" s="26"/>
    </row>
  </sheetData>
  <mergeCells count="43">
    <mergeCell ref="C33:D33"/>
    <mergeCell ref="C27:D27"/>
    <mergeCell ref="C28:D28"/>
    <mergeCell ref="C29:D29"/>
    <mergeCell ref="C30:D30"/>
    <mergeCell ref="C31:D31"/>
    <mergeCell ref="C32:D32"/>
    <mergeCell ref="C26:D26"/>
    <mergeCell ref="B12:F12"/>
    <mergeCell ref="G12:H12"/>
    <mergeCell ref="J12:N12"/>
    <mergeCell ref="O12:P12"/>
    <mergeCell ref="B14:F14"/>
    <mergeCell ref="G14:H14"/>
    <mergeCell ref="J14:N14"/>
    <mergeCell ref="O14:P14"/>
    <mergeCell ref="B15:F15"/>
    <mergeCell ref="G15:H15"/>
    <mergeCell ref="B16:F16"/>
    <mergeCell ref="G16:H16"/>
    <mergeCell ref="C25:D25"/>
    <mergeCell ref="B10:F10"/>
    <mergeCell ref="G10:H10"/>
    <mergeCell ref="J10:N10"/>
    <mergeCell ref="O10:P10"/>
    <mergeCell ref="B11:F11"/>
    <mergeCell ref="G11:H11"/>
    <mergeCell ref="B8:F8"/>
    <mergeCell ref="G8:H8"/>
    <mergeCell ref="J8:N8"/>
    <mergeCell ref="O8:P8"/>
    <mergeCell ref="B9:F9"/>
    <mergeCell ref="G9:H9"/>
    <mergeCell ref="J9:N9"/>
    <mergeCell ref="O9:P9"/>
    <mergeCell ref="B6:F6"/>
    <mergeCell ref="G6:H6"/>
    <mergeCell ref="J6:N6"/>
    <mergeCell ref="O6:P6"/>
    <mergeCell ref="B7:F7"/>
    <mergeCell ref="G7:H7"/>
    <mergeCell ref="J7:N7"/>
    <mergeCell ref="O7:P7"/>
  </mergeCells>
  <conditionalFormatting sqref="M16">
    <cfRule type="cellIs" dxfId="2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E2E1-650A-4501-9031-76ECE6BDD3A4}">
  <dimension ref="A1:R57"/>
  <sheetViews>
    <sheetView tabSelected="1" topLeftCell="A12" zoomScaleNormal="100" workbookViewId="0">
      <selection activeCell="G32" sqref="G32"/>
    </sheetView>
  </sheetViews>
  <sheetFormatPr defaultRowHeight="18.75" x14ac:dyDescent="0.3"/>
  <cols>
    <col min="1" max="4" width="9.140625" style="1"/>
    <col min="5" max="6" width="14.85546875" style="1" bestFit="1" customWidth="1"/>
    <col min="7" max="7" width="15.5703125" style="1" bestFit="1" customWidth="1"/>
    <col min="8" max="10" width="14.85546875" style="1" bestFit="1" customWidth="1"/>
    <col min="11" max="14" width="16.140625" style="1" bestFit="1" customWidth="1"/>
    <col min="15" max="15" width="11.7109375" style="1" bestFit="1" customWidth="1"/>
    <col min="16" max="16" width="16.140625" style="1" bestFit="1" customWidth="1"/>
    <col min="17" max="16384" width="9.140625" style="1"/>
  </cols>
  <sheetData>
    <row r="1" spans="1:18" x14ac:dyDescent="0.3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8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</row>
    <row r="3" spans="1:18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8" ht="19.5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</row>
    <row r="5" spans="1:18" ht="19.5" thickBot="1" x14ac:dyDescent="0.35">
      <c r="A5" s="18"/>
      <c r="B5" s="2"/>
      <c r="C5" s="41" t="s">
        <v>28</v>
      </c>
      <c r="D5" s="3"/>
      <c r="E5" s="83" t="e">
        <f>RTD("tos.rtd", , "DESCRIPTION", G7)</f>
        <v>#N/A</v>
      </c>
      <c r="F5" s="93"/>
      <c r="G5" s="93"/>
      <c r="H5" s="84"/>
      <c r="I5" s="19"/>
      <c r="J5" s="19"/>
      <c r="K5" s="19"/>
      <c r="L5" s="19"/>
      <c r="M5" s="19"/>
      <c r="N5" s="19"/>
      <c r="O5" s="19"/>
      <c r="P5" s="19"/>
      <c r="Q5" s="20"/>
    </row>
    <row r="6" spans="1:18" x14ac:dyDescent="0.3">
      <c r="A6" s="18"/>
      <c r="B6" s="46" t="s">
        <v>0</v>
      </c>
      <c r="C6" s="47"/>
      <c r="D6" s="47"/>
      <c r="E6" s="47"/>
      <c r="F6" s="48"/>
      <c r="G6" s="94" t="e">
        <f>RTD("tos.rtd", , "DESCRIPTION", G7)</f>
        <v>#N/A</v>
      </c>
      <c r="H6" s="95"/>
      <c r="I6" s="19"/>
      <c r="J6" s="46" t="s">
        <v>8</v>
      </c>
      <c r="K6" s="47"/>
      <c r="L6" s="47"/>
      <c r="M6" s="47"/>
      <c r="N6" s="48"/>
      <c r="O6" s="51">
        <f>SUM(E22:N22)</f>
        <v>1252697.8531505971</v>
      </c>
      <c r="P6" s="52"/>
      <c r="Q6" s="20"/>
    </row>
    <row r="7" spans="1:18" x14ac:dyDescent="0.3">
      <c r="A7" s="18"/>
      <c r="B7" s="53" t="s">
        <v>1</v>
      </c>
      <c r="C7" s="54"/>
      <c r="D7" s="54"/>
      <c r="E7" s="54"/>
      <c r="F7" s="55"/>
      <c r="G7" s="56" t="s">
        <v>32</v>
      </c>
      <c r="H7" s="57"/>
      <c r="I7" s="19"/>
      <c r="J7" s="53" t="s">
        <v>9</v>
      </c>
      <c r="K7" s="54"/>
      <c r="L7" s="54"/>
      <c r="M7" s="54"/>
      <c r="N7" s="55"/>
      <c r="O7" s="58" t="e">
        <f>O6/G14</f>
        <v>#N/A</v>
      </c>
      <c r="P7" s="59"/>
      <c r="Q7" s="20"/>
    </row>
    <row r="8" spans="1:18" x14ac:dyDescent="0.3">
      <c r="A8" s="18"/>
      <c r="B8" s="53" t="s">
        <v>2</v>
      </c>
      <c r="C8" s="54"/>
      <c r="D8" s="54"/>
      <c r="E8" s="54"/>
      <c r="F8" s="55"/>
      <c r="G8" s="60">
        <v>112241</v>
      </c>
      <c r="H8" s="61"/>
      <c r="I8" s="19"/>
      <c r="J8" s="53" t="s">
        <v>19</v>
      </c>
      <c r="K8" s="54"/>
      <c r="L8" s="54"/>
      <c r="M8" s="54"/>
      <c r="N8" s="55"/>
      <c r="O8" s="58" t="e">
        <f>G9/G14</f>
        <v>#N/A</v>
      </c>
      <c r="P8" s="59"/>
      <c r="Q8" s="20"/>
    </row>
    <row r="9" spans="1:18" ht="19.5" thickBot="1" x14ac:dyDescent="0.35">
      <c r="A9" s="18"/>
      <c r="B9" s="53" t="s">
        <v>3</v>
      </c>
      <c r="C9" s="54"/>
      <c r="D9" s="54"/>
      <c r="E9" s="54"/>
      <c r="F9" s="55"/>
      <c r="G9" s="60">
        <v>62639</v>
      </c>
      <c r="H9" s="61"/>
      <c r="I9" s="19"/>
      <c r="J9" s="53" t="s">
        <v>18</v>
      </c>
      <c r="K9" s="54"/>
      <c r="L9" s="54"/>
      <c r="M9" s="54"/>
      <c r="N9" s="55"/>
      <c r="O9" s="62" t="e">
        <f>G10/G14</f>
        <v>#N/A</v>
      </c>
      <c r="P9" s="63"/>
      <c r="Q9" s="20"/>
    </row>
    <row r="10" spans="1:18" ht="19.5" thickBot="1" x14ac:dyDescent="0.35">
      <c r="A10" s="18"/>
      <c r="B10" s="53" t="s">
        <v>4</v>
      </c>
      <c r="C10" s="54"/>
      <c r="D10" s="54"/>
      <c r="E10" s="54"/>
      <c r="F10" s="55"/>
      <c r="G10" s="60">
        <v>96050</v>
      </c>
      <c r="H10" s="61"/>
      <c r="I10" s="19"/>
      <c r="J10" s="64" t="s">
        <v>14</v>
      </c>
      <c r="K10" s="65"/>
      <c r="L10" s="65"/>
      <c r="M10" s="65"/>
      <c r="N10" s="66"/>
      <c r="O10" s="67" t="e">
        <f>O7-O8+O9</f>
        <v>#N/A</v>
      </c>
      <c r="P10" s="68"/>
      <c r="Q10" s="20"/>
    </row>
    <row r="11" spans="1:18" ht="19.5" thickBot="1" x14ac:dyDescent="0.35">
      <c r="A11" s="18"/>
      <c r="B11" s="53" t="s">
        <v>5</v>
      </c>
      <c r="C11" s="54"/>
      <c r="D11" s="54"/>
      <c r="E11" s="54"/>
      <c r="F11" s="55"/>
      <c r="G11" s="69">
        <v>0.14699999999999999</v>
      </c>
      <c r="H11" s="70"/>
      <c r="I11" s="19"/>
      <c r="J11" s="19"/>
      <c r="K11" s="19"/>
      <c r="L11" s="19"/>
      <c r="M11" s="19"/>
      <c r="N11" s="19"/>
      <c r="O11" s="19"/>
      <c r="P11" s="43" t="e">
        <f>(P57/G14)-O8+O9</f>
        <v>#N/A</v>
      </c>
      <c r="Q11" s="20"/>
      <c r="R11" s="1" t="s">
        <v>31</v>
      </c>
    </row>
    <row r="12" spans="1:18" ht="19.5" thickBot="1" x14ac:dyDescent="0.35">
      <c r="A12" s="18"/>
      <c r="B12" s="73" t="s">
        <v>6</v>
      </c>
      <c r="C12" s="74"/>
      <c r="D12" s="74"/>
      <c r="E12" s="74"/>
      <c r="F12" s="75"/>
      <c r="G12" s="76">
        <v>0.04</v>
      </c>
      <c r="H12" s="77"/>
      <c r="I12" s="19"/>
      <c r="J12" s="78" t="s">
        <v>17</v>
      </c>
      <c r="K12" s="79"/>
      <c r="L12" s="79"/>
      <c r="M12" s="79"/>
      <c r="N12" s="80"/>
      <c r="O12" s="81">
        <v>2021</v>
      </c>
      <c r="P12" s="82"/>
      <c r="Q12" s="20"/>
    </row>
    <row r="13" spans="1:18" ht="19.5" thickBot="1" x14ac:dyDescent="0.3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0"/>
    </row>
    <row r="14" spans="1:18" ht="19.5" thickBot="1" x14ac:dyDescent="0.35">
      <c r="A14" s="18"/>
      <c r="B14" s="78" t="s">
        <v>7</v>
      </c>
      <c r="C14" s="79"/>
      <c r="D14" s="79"/>
      <c r="E14" s="79"/>
      <c r="F14" s="80"/>
      <c r="G14" s="83" t="e">
        <f>RTD("tos.rtd", , "SHARES", G7)/1000000</f>
        <v>#N/A</v>
      </c>
      <c r="H14" s="84"/>
      <c r="I14" s="19"/>
      <c r="J14" s="78" t="s">
        <v>16</v>
      </c>
      <c r="K14" s="79"/>
      <c r="L14" s="79"/>
      <c r="M14" s="79"/>
      <c r="N14" s="80"/>
      <c r="O14" s="85">
        <v>7.0000000000000007E-2</v>
      </c>
      <c r="P14" s="86"/>
      <c r="Q14" s="20"/>
    </row>
    <row r="15" spans="1:18" ht="19.5" thickBot="1" x14ac:dyDescent="0.35">
      <c r="A15" s="18"/>
      <c r="B15" s="78" t="s">
        <v>20</v>
      </c>
      <c r="C15" s="79"/>
      <c r="D15" s="79"/>
      <c r="E15" s="79"/>
      <c r="F15" s="80"/>
      <c r="G15" s="83" t="e">
        <f>RTD("tos.rtd", , "BETA", G7)</f>
        <v>#N/A</v>
      </c>
      <c r="H15" s="84"/>
      <c r="I15" s="19"/>
      <c r="J15" s="19"/>
      <c r="K15" s="19"/>
      <c r="L15" s="19"/>
      <c r="M15" s="19"/>
      <c r="N15" s="19"/>
      <c r="O15" s="19"/>
      <c r="P15" s="19"/>
      <c r="Q15" s="20"/>
    </row>
    <row r="16" spans="1:18" ht="19.5" thickBot="1" x14ac:dyDescent="0.35">
      <c r="A16" s="18"/>
      <c r="B16" s="78" t="s">
        <v>25</v>
      </c>
      <c r="C16" s="79"/>
      <c r="D16" s="79"/>
      <c r="E16" s="79"/>
      <c r="F16" s="80"/>
      <c r="G16" s="87" t="e">
        <f>RTD("tos.rtd", , "CLOSE", G7)</f>
        <v>#N/A</v>
      </c>
      <c r="H16" s="88"/>
      <c r="I16" s="19"/>
      <c r="J16" s="19"/>
      <c r="K16" s="19"/>
      <c r="L16" s="40" t="s">
        <v>26</v>
      </c>
      <c r="M16" s="44" t="e">
        <f>(G16-O10)/G16</f>
        <v>#N/A</v>
      </c>
      <c r="N16" s="19" t="s">
        <v>30</v>
      </c>
      <c r="O16" s="44" t="e">
        <f>(P11-G16)/G16</f>
        <v>#N/A</v>
      </c>
      <c r="P16" s="19"/>
      <c r="Q16" s="20"/>
    </row>
    <row r="17" spans="1:17" ht="19.5" thickBot="1" x14ac:dyDescent="0.35">
      <c r="A17" s="18"/>
      <c r="B17" s="96" t="s">
        <v>29</v>
      </c>
      <c r="C17" s="97"/>
      <c r="D17" s="97"/>
      <c r="E17" s="97"/>
      <c r="F17" s="98"/>
      <c r="G17" s="87" t="e">
        <f>RTD("tos.rtd", , "LAST", G7)</f>
        <v>#N/A</v>
      </c>
      <c r="H17" s="88"/>
      <c r="I17" s="19"/>
      <c r="J17" s="19"/>
      <c r="K17" s="19"/>
      <c r="L17" s="19"/>
      <c r="M17" s="19"/>
      <c r="N17" s="19"/>
      <c r="O17" s="19"/>
      <c r="P17" s="19"/>
      <c r="Q17" s="20"/>
    </row>
    <row r="18" spans="1:17" ht="19.5" thickBot="1" x14ac:dyDescent="0.35">
      <c r="A18" s="18"/>
      <c r="B18" s="35" t="s">
        <v>15</v>
      </c>
      <c r="C18" s="25"/>
      <c r="D18" s="25"/>
      <c r="E18" s="19">
        <v>1</v>
      </c>
      <c r="F18" s="19">
        <v>2</v>
      </c>
      <c r="G18" s="19">
        <v>3</v>
      </c>
      <c r="H18" s="19">
        <v>4</v>
      </c>
      <c r="I18" s="19">
        <v>5</v>
      </c>
      <c r="J18" s="19">
        <v>6</v>
      </c>
      <c r="K18" s="19">
        <v>7</v>
      </c>
      <c r="L18" s="19">
        <v>8</v>
      </c>
      <c r="M18" s="19">
        <v>9</v>
      </c>
      <c r="N18" s="19">
        <v>10</v>
      </c>
      <c r="O18" s="19"/>
      <c r="P18" s="19"/>
      <c r="Q18" s="20"/>
    </row>
    <row r="19" spans="1:17" ht="19.5" thickBot="1" x14ac:dyDescent="0.35">
      <c r="A19" s="18"/>
      <c r="B19" s="36" t="s">
        <v>10</v>
      </c>
      <c r="C19" s="33"/>
      <c r="D19" s="34"/>
      <c r="E19" s="5">
        <v>2022</v>
      </c>
      <c r="F19" s="6">
        <v>2023</v>
      </c>
      <c r="G19" s="5">
        <v>2024</v>
      </c>
      <c r="H19" s="6">
        <v>2025</v>
      </c>
      <c r="I19" s="5">
        <v>2026</v>
      </c>
      <c r="J19" s="6">
        <v>2027</v>
      </c>
      <c r="K19" s="5">
        <v>2028</v>
      </c>
      <c r="L19" s="6">
        <v>2029</v>
      </c>
      <c r="M19" s="5">
        <v>2030</v>
      </c>
      <c r="N19" s="6">
        <v>2031</v>
      </c>
      <c r="O19" s="19"/>
      <c r="P19" s="19"/>
      <c r="Q19" s="20"/>
    </row>
    <row r="20" spans="1:17" x14ac:dyDescent="0.3">
      <c r="A20" s="18"/>
      <c r="B20" s="37" t="s">
        <v>11</v>
      </c>
      <c r="C20" s="32"/>
      <c r="D20" s="24"/>
      <c r="E20" s="7">
        <f>$G$8*(1+$G$11)</f>
        <v>128740.427</v>
      </c>
      <c r="F20" s="8">
        <f>E20*(1+$G$11)</f>
        <v>147665.26976900001</v>
      </c>
      <c r="G20" s="8">
        <f>F20*(1+$G$11)</f>
        <v>169372.06442504301</v>
      </c>
      <c r="H20" s="8">
        <f>G20*(1+$G$12)</f>
        <v>176146.94700204473</v>
      </c>
      <c r="I20" s="8">
        <f>H20*(1+$G$12)</f>
        <v>183192.82488212653</v>
      </c>
      <c r="J20" s="8">
        <f>I20*(1+$G$12)</f>
        <v>190520.53787741161</v>
      </c>
      <c r="K20" s="8">
        <f>J20*(1+$G$12)</f>
        <v>198141.35939250808</v>
      </c>
      <c r="L20" s="8">
        <f t="shared" ref="L20:N20" si="0">K20*(1+$G$12)</f>
        <v>206067.01376820842</v>
      </c>
      <c r="M20" s="8">
        <f t="shared" si="0"/>
        <v>214309.69431893676</v>
      </c>
      <c r="N20" s="9">
        <f t="shared" si="0"/>
        <v>222882.08209169423</v>
      </c>
      <c r="O20" s="19"/>
      <c r="P20" s="19"/>
      <c r="Q20" s="20"/>
    </row>
    <row r="21" spans="1:17" x14ac:dyDescent="0.3">
      <c r="A21" s="18"/>
      <c r="B21" s="37" t="s">
        <v>12</v>
      </c>
      <c r="C21" s="32"/>
      <c r="D21" s="24"/>
      <c r="E21" s="4">
        <f>1/(1+$O$14)^E18</f>
        <v>0.93457943925233644</v>
      </c>
      <c r="F21" s="4">
        <f>1/(1+$O$14)^F18</f>
        <v>0.87343872827321156</v>
      </c>
      <c r="G21" s="4">
        <f t="shared" ref="G21:N21" si="1">1/(1+$O$14)^G18</f>
        <v>0.81629787689085187</v>
      </c>
      <c r="H21" s="4">
        <f t="shared" si="1"/>
        <v>0.7628952120475252</v>
      </c>
      <c r="I21" s="4">
        <f t="shared" si="1"/>
        <v>0.71298617948366838</v>
      </c>
      <c r="J21" s="4">
        <f t="shared" si="1"/>
        <v>0.66634222381651254</v>
      </c>
      <c r="K21" s="4">
        <f t="shared" si="1"/>
        <v>0.62274974188459109</v>
      </c>
      <c r="L21" s="4">
        <f t="shared" si="1"/>
        <v>0.5820091045650384</v>
      </c>
      <c r="M21" s="4">
        <f t="shared" si="1"/>
        <v>0.54393374258414806</v>
      </c>
      <c r="N21" s="10">
        <f t="shared" si="1"/>
        <v>0.5083492921347178</v>
      </c>
      <c r="O21" s="19"/>
      <c r="P21" s="19"/>
      <c r="Q21" s="20"/>
    </row>
    <row r="22" spans="1:17" ht="19.5" thickBot="1" x14ac:dyDescent="0.35">
      <c r="A22" s="21"/>
      <c r="B22" s="38" t="s">
        <v>13</v>
      </c>
      <c r="C22" s="30"/>
      <c r="D22" s="31"/>
      <c r="E22" s="11">
        <f>E20*E21</f>
        <v>120318.15607476635</v>
      </c>
      <c r="F22" s="11">
        <f t="shared" ref="F22:N22" si="2">F20*F21</f>
        <v>128976.56543715608</v>
      </c>
      <c r="G22" s="11">
        <f t="shared" si="2"/>
        <v>138258.05659478318</v>
      </c>
      <c r="H22" s="11">
        <f t="shared" si="2"/>
        <v>134381.6624846491</v>
      </c>
      <c r="I22" s="11">
        <f t="shared" si="2"/>
        <v>130613.95232152809</v>
      </c>
      <c r="J22" s="11">
        <f t="shared" si="2"/>
        <v>126951.87889195257</v>
      </c>
      <c r="K22" s="11">
        <f t="shared" si="2"/>
        <v>123392.4804183464</v>
      </c>
      <c r="L22" s="11">
        <f t="shared" si="2"/>
        <v>119932.87816362642</v>
      </c>
      <c r="M22" s="11">
        <f t="shared" si="2"/>
        <v>116570.274102964</v>
      </c>
      <c r="N22" s="11">
        <f t="shared" si="2"/>
        <v>113301.94866082483</v>
      </c>
      <c r="O22" s="22"/>
      <c r="P22" s="22"/>
      <c r="Q22" s="23"/>
    </row>
    <row r="24" spans="1:17" ht="19.5" thickBot="1" x14ac:dyDescent="0.35">
      <c r="A24" s="26"/>
      <c r="B24" s="26"/>
      <c r="C24" s="26"/>
      <c r="D24" s="26"/>
      <c r="E24" s="26"/>
    </row>
    <row r="25" spans="1:17" x14ac:dyDescent="0.3">
      <c r="A25" s="26"/>
      <c r="B25" s="27" t="s">
        <v>21</v>
      </c>
      <c r="C25" s="89" t="s">
        <v>16</v>
      </c>
      <c r="D25" s="90"/>
      <c r="E25" s="26"/>
    </row>
    <row r="26" spans="1:17" x14ac:dyDescent="0.3">
      <c r="A26" s="26"/>
      <c r="B26" s="28" t="s">
        <v>22</v>
      </c>
      <c r="C26" s="71">
        <v>0.05</v>
      </c>
      <c r="D26" s="72"/>
      <c r="E26" s="26"/>
      <c r="L26" s="45"/>
    </row>
    <row r="27" spans="1:17" x14ac:dyDescent="0.3">
      <c r="A27" s="26"/>
      <c r="B27" s="28">
        <v>1</v>
      </c>
      <c r="C27" s="71">
        <v>0.06</v>
      </c>
      <c r="D27" s="72"/>
      <c r="E27" s="26"/>
    </row>
    <row r="28" spans="1:17" x14ac:dyDescent="0.3">
      <c r="A28" s="26"/>
      <c r="B28" s="28">
        <v>1.1000000000000001</v>
      </c>
      <c r="C28" s="71">
        <v>6.5000000000000002E-2</v>
      </c>
      <c r="D28" s="72"/>
      <c r="E28" s="26"/>
    </row>
    <row r="29" spans="1:17" x14ac:dyDescent="0.3">
      <c r="A29" s="26"/>
      <c r="B29" s="28">
        <v>1.2</v>
      </c>
      <c r="C29" s="71">
        <v>7.0000000000000007E-2</v>
      </c>
      <c r="D29" s="72"/>
      <c r="E29" s="26"/>
    </row>
    <row r="30" spans="1:17" x14ac:dyDescent="0.3">
      <c r="A30" s="26"/>
      <c r="B30" s="28">
        <v>1.3</v>
      </c>
      <c r="C30" s="71">
        <v>7.4999999999999997E-2</v>
      </c>
      <c r="D30" s="72"/>
      <c r="E30" s="26"/>
    </row>
    <row r="31" spans="1:17" x14ac:dyDescent="0.3">
      <c r="A31" s="26"/>
      <c r="B31" s="28">
        <v>1.4</v>
      </c>
      <c r="C31" s="71">
        <v>0.08</v>
      </c>
      <c r="D31" s="72"/>
      <c r="E31" s="26"/>
    </row>
    <row r="32" spans="1:17" x14ac:dyDescent="0.3">
      <c r="A32" s="26"/>
      <c r="B32" s="28">
        <v>1.5</v>
      </c>
      <c r="C32" s="71">
        <v>8.5000000000000006E-2</v>
      </c>
      <c r="D32" s="72"/>
      <c r="E32" s="26"/>
    </row>
    <row r="33" spans="1:5" ht="19.5" thickBot="1" x14ac:dyDescent="0.35">
      <c r="A33" s="26"/>
      <c r="B33" s="29" t="s">
        <v>24</v>
      </c>
      <c r="C33" s="91">
        <v>0.09</v>
      </c>
      <c r="D33" s="92"/>
      <c r="E33" s="26"/>
    </row>
    <row r="34" spans="1:5" x14ac:dyDescent="0.3">
      <c r="A34" s="26"/>
      <c r="B34" s="26"/>
      <c r="C34" s="26"/>
      <c r="D34" s="26"/>
      <c r="E34" s="26"/>
    </row>
    <row r="53" spans="2:16" ht="19.5" thickBot="1" x14ac:dyDescent="0.35">
      <c r="B53" s="35" t="s">
        <v>15</v>
      </c>
      <c r="C53" s="25"/>
      <c r="D53" s="25"/>
      <c r="E53" s="19">
        <v>1</v>
      </c>
      <c r="F53" s="19">
        <v>2</v>
      </c>
      <c r="G53" s="19">
        <v>3</v>
      </c>
      <c r="H53" s="19">
        <v>4</v>
      </c>
      <c r="I53" s="19">
        <v>5</v>
      </c>
      <c r="J53" s="19">
        <v>6</v>
      </c>
      <c r="K53" s="19">
        <v>7</v>
      </c>
      <c r="L53" s="19">
        <v>8</v>
      </c>
      <c r="M53" s="19">
        <v>9</v>
      </c>
      <c r="N53" s="19">
        <v>10</v>
      </c>
    </row>
    <row r="54" spans="2:16" ht="19.5" thickBot="1" x14ac:dyDescent="0.35">
      <c r="B54" s="36" t="s">
        <v>10</v>
      </c>
      <c r="C54" s="33"/>
      <c r="D54" s="34"/>
      <c r="E54" s="5">
        <v>2022</v>
      </c>
      <c r="F54" s="6">
        <v>2023</v>
      </c>
      <c r="G54" s="5">
        <v>2024</v>
      </c>
      <c r="H54" s="6">
        <v>2025</v>
      </c>
      <c r="I54" s="5">
        <v>2026</v>
      </c>
      <c r="J54" s="6">
        <v>2027</v>
      </c>
      <c r="K54" s="5">
        <v>2028</v>
      </c>
      <c r="L54" s="6">
        <v>2029</v>
      </c>
      <c r="M54" s="5">
        <v>2030</v>
      </c>
      <c r="N54" s="6">
        <v>2031</v>
      </c>
    </row>
    <row r="55" spans="2:16" x14ac:dyDescent="0.3">
      <c r="B55" s="37" t="s">
        <v>11</v>
      </c>
      <c r="C55" s="32"/>
      <c r="D55" s="24"/>
      <c r="E55" s="7">
        <f>$G$8*(1+$G$11)</f>
        <v>128740.427</v>
      </c>
      <c r="F55" s="8">
        <f>E55*(1+$G$11)</f>
        <v>147665.26976900001</v>
      </c>
      <c r="G55" s="8">
        <f>F55*(1+$G$11)</f>
        <v>169372.06442504301</v>
      </c>
      <c r="H55" s="8">
        <f>G55*(1+$G$11)</f>
        <v>194269.75789552432</v>
      </c>
      <c r="I55" s="8">
        <f>H55*(1+$G$11)</f>
        <v>222827.4123061664</v>
      </c>
      <c r="J55" s="8">
        <f>I55*(1+$G$12)</f>
        <v>231740.50879841307</v>
      </c>
      <c r="K55" s="8">
        <f>J55*(1+$G$12)</f>
        <v>241010.12915034959</v>
      </c>
      <c r="L55" s="8">
        <f t="shared" ref="L55" si="3">K55*(1+$G$12)</f>
        <v>250650.53431636357</v>
      </c>
      <c r="M55" s="8">
        <f t="shared" ref="M55" si="4">L55*(1+$G$12)</f>
        <v>260676.55568901813</v>
      </c>
      <c r="N55" s="9">
        <f t="shared" ref="N55" si="5">M55*(1+$G$12)</f>
        <v>271103.61791657889</v>
      </c>
    </row>
    <row r="56" spans="2:16" x14ac:dyDescent="0.3">
      <c r="B56" s="37" t="s">
        <v>12</v>
      </c>
      <c r="C56" s="32"/>
      <c r="D56" s="24"/>
      <c r="E56" s="4">
        <f>1/(1+$O$14)^E53</f>
        <v>0.93457943925233644</v>
      </c>
      <c r="F56" s="4">
        <f>1/(1+$O$14)^F53</f>
        <v>0.87343872827321156</v>
      </c>
      <c r="G56" s="4">
        <f t="shared" ref="G56:N56" si="6">1/(1+$O$14)^G53</f>
        <v>0.81629787689085187</v>
      </c>
      <c r="H56" s="4">
        <f t="shared" si="6"/>
        <v>0.7628952120475252</v>
      </c>
      <c r="I56" s="4">
        <f t="shared" si="6"/>
        <v>0.71298617948366838</v>
      </c>
      <c r="J56" s="4">
        <f t="shared" si="6"/>
        <v>0.66634222381651254</v>
      </c>
      <c r="K56" s="4">
        <f t="shared" si="6"/>
        <v>0.62274974188459109</v>
      </c>
      <c r="L56" s="4">
        <f t="shared" si="6"/>
        <v>0.5820091045650384</v>
      </c>
      <c r="M56" s="4">
        <f t="shared" si="6"/>
        <v>0.54393374258414806</v>
      </c>
      <c r="N56" s="10">
        <f t="shared" si="6"/>
        <v>0.5083492921347178</v>
      </c>
    </row>
    <row r="57" spans="2:16" ht="19.5" thickBot="1" x14ac:dyDescent="0.35">
      <c r="B57" s="38" t="s">
        <v>13</v>
      </c>
      <c r="C57" s="30"/>
      <c r="D57" s="31"/>
      <c r="E57" s="11">
        <f>E55*E56</f>
        <v>120318.15607476635</v>
      </c>
      <c r="F57" s="11">
        <f t="shared" ref="F57:N57" si="7">F55*F56</f>
        <v>128976.56543715608</v>
      </c>
      <c r="G57" s="11">
        <f t="shared" si="7"/>
        <v>138258.05659478318</v>
      </c>
      <c r="H57" s="11">
        <f t="shared" si="7"/>
        <v>148207.4681441274</v>
      </c>
      <c r="I57" s="11">
        <f t="shared" si="7"/>
        <v>158872.86538440574</v>
      </c>
      <c r="J57" s="11">
        <f t="shared" si="7"/>
        <v>154418.48598110466</v>
      </c>
      <c r="K57" s="11">
        <f t="shared" si="7"/>
        <v>150088.99571995216</v>
      </c>
      <c r="L57" s="11">
        <f t="shared" si="7"/>
        <v>145880.89303621519</v>
      </c>
      <c r="M57" s="11">
        <f t="shared" si="7"/>
        <v>141790.77453987271</v>
      </c>
      <c r="N57" s="11">
        <f t="shared" si="7"/>
        <v>137815.33226305389</v>
      </c>
      <c r="P57" s="42">
        <f>SUM(E57:N57)</f>
        <v>1424627.5931754373</v>
      </c>
    </row>
  </sheetData>
  <mergeCells count="46">
    <mergeCell ref="B16:F16"/>
    <mergeCell ref="G16:H16"/>
    <mergeCell ref="C27:D27"/>
    <mergeCell ref="C26:D26"/>
    <mergeCell ref="B15:F15"/>
    <mergeCell ref="G15:H15"/>
    <mergeCell ref="C25:D25"/>
    <mergeCell ref="G17:H17"/>
    <mergeCell ref="B17:F17"/>
    <mergeCell ref="C33:D33"/>
    <mergeCell ref="C32:D32"/>
    <mergeCell ref="C31:D31"/>
    <mergeCell ref="C30:D30"/>
    <mergeCell ref="C29:D29"/>
    <mergeCell ref="C28:D28"/>
    <mergeCell ref="O7:P7"/>
    <mergeCell ref="O6:P6"/>
    <mergeCell ref="G14:H14"/>
    <mergeCell ref="G12:H12"/>
    <mergeCell ref="G11:H11"/>
    <mergeCell ref="G10:H10"/>
    <mergeCell ref="G9:H9"/>
    <mergeCell ref="G8:H8"/>
    <mergeCell ref="G7:H7"/>
    <mergeCell ref="G6:H6"/>
    <mergeCell ref="J6:N6"/>
    <mergeCell ref="O14:P14"/>
    <mergeCell ref="O12:P12"/>
    <mergeCell ref="O10:P10"/>
    <mergeCell ref="O9:P9"/>
    <mergeCell ref="O8:P8"/>
    <mergeCell ref="J14:N14"/>
    <mergeCell ref="J12:N12"/>
    <mergeCell ref="J10:N10"/>
    <mergeCell ref="J9:N9"/>
    <mergeCell ref="J8:N8"/>
    <mergeCell ref="E5:H5"/>
    <mergeCell ref="J7:N7"/>
    <mergeCell ref="B6:F6"/>
    <mergeCell ref="B14:F14"/>
    <mergeCell ref="B12:F12"/>
    <mergeCell ref="B11:F11"/>
    <mergeCell ref="B10:F10"/>
    <mergeCell ref="B9:F9"/>
    <mergeCell ref="B8:F8"/>
    <mergeCell ref="B7:F7"/>
  </mergeCells>
  <conditionalFormatting sqref="M16">
    <cfRule type="cellIs" dxfId="1" priority="2" operator="greaterThan">
      <formula>0</formula>
    </cfRule>
  </conditionalFormatting>
  <conditionalFormatting sqref="O16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(inconsistent CFO)</vt:lpstr>
      <vt:lpstr>DCF (Consistent CFO)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 Karki</dc:creator>
  <cp:lastModifiedBy>Uttam Karki</cp:lastModifiedBy>
  <dcterms:created xsi:type="dcterms:W3CDTF">2021-12-09T01:37:00Z</dcterms:created>
  <dcterms:modified xsi:type="dcterms:W3CDTF">2023-08-11T14:11:58Z</dcterms:modified>
</cp:coreProperties>
</file>