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wnloads\"/>
    </mc:Choice>
  </mc:AlternateContent>
  <xr:revisionPtr revIDLastSave="0" documentId="13_ncr:40009_{2CFDC89A-4EA3-4510-8A96-5F547469195C}" xr6:coauthVersionLast="47" xr6:coauthVersionMax="47" xr10:uidLastSave="{00000000-0000-0000-0000-000000000000}"/>
  <bookViews>
    <workbookView xWindow="-110" yWindow="-110" windowWidth="25820" windowHeight="1390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P32" i="1" s="1"/>
  <c r="E32" i="1"/>
  <c r="G31" i="1"/>
  <c r="E31" i="1"/>
  <c r="E30" i="1"/>
  <c r="G29" i="1"/>
  <c r="M29" i="1" s="1"/>
  <c r="M28" i="1" s="1"/>
  <c r="N28" i="1" s="1"/>
  <c r="E29" i="1"/>
  <c r="P28" i="1"/>
  <c r="G28" i="1"/>
  <c r="E28" i="1"/>
  <c r="R28" i="1" s="1"/>
  <c r="G27" i="1"/>
  <c r="P27" i="1" s="1"/>
  <c r="E27" i="1"/>
  <c r="I29" i="1" s="1"/>
  <c r="P26" i="1"/>
  <c r="R26" i="1" s="1"/>
  <c r="G26" i="1"/>
  <c r="M26" i="1" s="1"/>
  <c r="M25" i="1" s="1"/>
  <c r="N25" i="1" s="1"/>
  <c r="E26" i="1"/>
  <c r="K25" i="1"/>
  <c r="G25" i="1"/>
  <c r="P25" i="1" s="1"/>
  <c r="E25" i="1"/>
  <c r="G24" i="1"/>
  <c r="P24" i="1" s="1"/>
  <c r="E24" i="1"/>
  <c r="P23" i="1"/>
  <c r="G23" i="1"/>
  <c r="E23" i="1"/>
  <c r="R23" i="1" s="1"/>
  <c r="G22" i="1"/>
  <c r="E22" i="1"/>
  <c r="G21" i="1"/>
  <c r="E21" i="1"/>
  <c r="M32" i="1" l="1"/>
  <c r="M31" i="1" s="1"/>
  <c r="N31" i="1" s="1"/>
  <c r="R32" i="1"/>
  <c r="K31" i="1"/>
  <c r="P31" i="1"/>
  <c r="R31" i="1" s="1"/>
  <c r="S32" i="1" s="1"/>
  <c r="R24" i="1"/>
  <c r="S26" i="1" s="1"/>
  <c r="N29" i="1"/>
  <c r="L25" i="1"/>
  <c r="K22" i="1"/>
  <c r="J29" i="1"/>
  <c r="K29" i="1" s="1"/>
  <c r="L29" i="1" s="1"/>
  <c r="R25" i="1"/>
  <c r="I23" i="1"/>
  <c r="I26" i="1"/>
  <c r="J26" i="1" s="1"/>
  <c r="K26" i="1" s="1"/>
  <c r="P22" i="1"/>
  <c r="R22" i="1" s="1"/>
  <c r="K28" i="1"/>
  <c r="L28" i="1" s="1"/>
  <c r="P29" i="1"/>
  <c r="R29" i="1" s="1"/>
  <c r="I32" i="1"/>
  <c r="N32" i="1" s="1"/>
  <c r="M23" i="1"/>
  <c r="M22" i="1" s="1"/>
  <c r="N22" i="1" s="1"/>
  <c r="R27" i="1"/>
  <c r="P21" i="1"/>
  <c r="R21" i="1" s="1"/>
  <c r="S23" i="1" s="1"/>
  <c r="L31" i="1" l="1"/>
  <c r="O24" i="1"/>
  <c r="O25" i="1"/>
  <c r="Q26" i="1" s="1"/>
  <c r="L22" i="1"/>
  <c r="N23" i="1"/>
  <c r="N26" i="1"/>
  <c r="L26" i="1" s="1"/>
  <c r="O26" i="1"/>
  <c r="O29" i="1"/>
  <c r="O28" i="1"/>
  <c r="Q29" i="1" s="1"/>
  <c r="S29" i="1"/>
  <c r="J23" i="1"/>
  <c r="K23" i="1" s="1"/>
  <c r="L23" i="1" s="1"/>
  <c r="O27" i="1"/>
  <c r="J32" i="1"/>
  <c r="K32" i="1" s="1"/>
  <c r="L32" i="1" s="1"/>
  <c r="O32" i="1" l="1"/>
  <c r="O31" i="1"/>
  <c r="O22" i="1"/>
  <c r="Q23" i="1" s="1"/>
  <c r="O21" i="1"/>
  <c r="O23" i="1"/>
</calcChain>
</file>

<file path=xl/sharedStrings.xml><?xml version="1.0" encoding="utf-8"?>
<sst xmlns="http://schemas.openxmlformats.org/spreadsheetml/2006/main" count="115" uniqueCount="88">
  <si>
    <t>INSTRUCTIONS</t>
  </si>
  <si>
    <t>You need to measure and enter all green fields labaled “us” and “Degrees”</t>
  </si>
  <si>
    <t>You shall only enter numbers into green fields</t>
  </si>
  <si>
    <t>Connect motors to corret channels</t>
  </si>
  <si>
    <t>Measure Angle in degree and adjust microseconds until you have angles close to the suggested ones</t>
  </si>
  <si>
    <t>Repeat step 2 and 3 for all 3 angles</t>
  </si>
  <si>
    <t>Examine column "Error"</t>
  </si>
  <si>
    <t>If you have large values, you need to redo your angle measurements</t>
  </si>
  <si>
    <t>You could stop here and just use the red values for sweepMin and sweepMax</t>
  </si>
  <si>
    <t>But you can try one more hand tuning approach, perhaps it gives better accuracy:</t>
  </si>
  <si>
    <t>Examine your green gain values</t>
  </si>
  <si>
    <t>They should be more or less the same for all motors, in my case its about 130</t>
  </si>
  <si>
    <t>Force all Gains to a common value in the green gain  field</t>
  </si>
  <si>
    <t>Adjust green base until the last column Error is minimal. Mismatch should be small.</t>
  </si>
  <si>
    <t>Instead of red sweepMinBase,sweeMaxbase use the black computed ones</t>
  </si>
  <si>
    <t>Values for gripper are not that critical as we just want to open and close the gripper</t>
  </si>
  <si>
    <t>CALCULATIONS</t>
  </si>
  <si>
    <t>You Measure</t>
  </si>
  <si>
    <t>You Need</t>
  </si>
  <si>
    <t>You need</t>
  </si>
  <si>
    <t>Pin</t>
  </si>
  <si>
    <t>us</t>
  </si>
  <si>
    <t>PWM</t>
  </si>
  <si>
    <t>Degrees</t>
  </si>
  <si>
    <t>Radians</t>
  </si>
  <si>
    <t>Gain</t>
  </si>
  <si>
    <t>Zero</t>
  </si>
  <si>
    <t>n_min</t>
  </si>
  <si>
    <t>n_max</t>
  </si>
  <si>
    <t>Delta PWM</t>
  </si>
  <si>
    <t>PWM compputed</t>
  </si>
  <si>
    <t>PWM handadjusted</t>
  </si>
  <si>
    <t>Error</t>
  </si>
  <si>
    <t>Total Error</t>
  </si>
  <si>
    <t>Must Enter</t>
  </si>
  <si>
    <t>Base</t>
  </si>
  <si>
    <t>sweepMinBase</t>
  </si>
  <si>
    <t>sweepMaxBase</t>
  </si>
  <si>
    <t>a_range</t>
  </si>
  <si>
    <t>n_range</t>
  </si>
  <si>
    <t>Verify</t>
  </si>
  <si>
    <t>Base Straight</t>
  </si>
  <si>
    <t>Computed:</t>
  </si>
  <si>
    <t>Shoulder</t>
  </si>
  <si>
    <t>sweepMinShoulder</t>
  </si>
  <si>
    <t>sweepMaxShoulder</t>
  </si>
  <si>
    <t>Shoulder Vert</t>
  </si>
  <si>
    <t>Elbow</t>
  </si>
  <si>
    <t>sweepMinElbow</t>
  </si>
  <si>
    <t>sweepMaxElbow</t>
  </si>
  <si>
    <t>Elbow Horiz</t>
  </si>
  <si>
    <t>Gripper</t>
  </si>
  <si>
    <t>sweepMinGripper</t>
  </si>
  <si>
    <t>sweepMaxGripper</t>
  </si>
  <si>
    <t>Gripper Min (closed)</t>
  </si>
  <si>
    <t>Gripper Max (both claws 90 deg out)</t>
  </si>
  <si>
    <t>Entered in Calibrate.py</t>
  </si>
  <si>
    <t>Measured
with protractor</t>
  </si>
  <si>
    <t>Calculated 1st Step</t>
  </si>
  <si>
    <t>Calculated 2nd Step
Do not modify these numbers</t>
  </si>
  <si>
    <t>If you did a good job
measuring, these bold
numbers are low</t>
  </si>
  <si>
    <t>If you want to
use hand ajusted
number make sure
these errors are small</t>
  </si>
  <si>
    <t>These values go into meArm.py</t>
  </si>
  <si>
    <t>Either Yellow or Green</t>
  </si>
  <si>
    <t>PWM Frequ.</t>
  </si>
  <si>
    <t>50Hz</t>
  </si>
  <si>
    <t>20ms</t>
  </si>
  <si>
    <t>Please make sure you have the proper frequency in the test program (Simple Demo) as well as for the MeArm.py [pwm.setPWMFreq(50)]</t>
  </si>
  <si>
    <t>microSeconds = X</t>
  </si>
  <si>
    <t>PWM Value in microSeconds</t>
  </si>
  <si>
    <t>PWM =X/4.88</t>
  </si>
  <si>
    <t>PWM Value sent to Driver Software</t>
  </si>
  <si>
    <t>PWM = angle*gain + zero</t>
  </si>
  <si>
    <t>a_range = a_max - a_min</t>
  </si>
  <si>
    <t>n_range = gain x a_range</t>
  </si>
  <si>
    <t>n_min = zero +gain * a_min</t>
  </si>
  <si>
    <t>n_max = n_range + n_min</t>
  </si>
  <si>
    <t>Suggested Angles for calibrating your meArm</t>
  </si>
  <si>
    <t>in the formulas values are in radians, here they are reported in degrees</t>
  </si>
  <si>
    <t>Enter values in micro second on last line of calibrate.py program. Dop not change any other numbers in Calibrate.py</t>
  </si>
  <si>
    <t>SLOPE</t>
  </si>
  <si>
    <t>OFFSET</t>
  </si>
  <si>
    <t>Base Min, all the way clockwise</t>
  </si>
  <si>
    <t>Base Max, all the way counterclock wise</t>
  </si>
  <si>
    <t>Shoulder as far to the back as possible</t>
  </si>
  <si>
    <t>Shoulder, as far to the surface of the table as possible</t>
  </si>
  <si>
    <t>Elbow, as far towards the base of the arm as possible</t>
  </si>
  <si>
    <t>Elbow, as far away from the base as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</si>
</sst>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"/>
  </numFmts>
  <fonts count="26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mbria"/>
      <family val="1"/>
    </font>
    <font>
      <b/>
      <sz val="10"/>
      <color rgb="FFFF0000"/>
      <name val="Arial"/>
      <family val="2"/>
    </font>
    <font>
      <b/>
      <sz val="11"/>
      <color rgb="FFFF0000"/>
      <name val="Cambria"/>
      <family val="1"/>
    </font>
    <font>
      <b/>
      <i/>
      <sz val="10"/>
      <color rgb="FFFF0000"/>
      <name val="Arial"/>
      <family val="2"/>
    </font>
    <font>
      <b/>
      <sz val="10"/>
      <color rgb="FF21212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Lato"/>
      <family val="2"/>
    </font>
    <font>
      <sz val="11"/>
      <color rgb="FF000000"/>
      <name val="Inconsolata"/>
    </font>
    <font>
      <b/>
      <sz val="11"/>
      <color rgb="FF000000"/>
      <name val="Cambria"/>
      <family val="1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7D1D5"/>
        <bgColor rgb="FFF7D1D5"/>
      </patternFill>
    </fill>
    <fill>
      <patternFill patternType="solid">
        <fgColor rgb="FFD9EAD3"/>
        <bgColor rgb="FFD9EAD3"/>
      </patternFill>
    </fill>
    <fill>
      <patternFill patternType="solid">
        <fgColor rgb="FFFCE2E5"/>
        <bgColor rgb="FFFCE2E5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rgb="FF38761D"/>
      </right>
      <top/>
      <bottom style="medium">
        <color rgb="FF38761D"/>
      </bottom>
      <diagonal/>
    </border>
    <border>
      <left/>
      <right/>
      <top/>
      <bottom style="medium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38761D"/>
      </right>
      <top/>
      <bottom/>
      <diagonal/>
    </border>
    <border>
      <left style="medium">
        <color rgb="FF38761D"/>
      </left>
      <right/>
      <top style="medium">
        <color rgb="FF38761D"/>
      </top>
      <bottom/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>
      <left style="medium">
        <color rgb="FF6AA84F"/>
      </left>
      <right/>
      <top style="medium">
        <color rgb="FF6AA84F"/>
      </top>
      <bottom style="medium">
        <color rgb="FF6AA84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>
      <left style="medium">
        <color rgb="FF38761D"/>
      </left>
      <right/>
      <top/>
      <bottom/>
      <diagonal/>
    </border>
    <border>
      <left style="medium">
        <color rgb="FF38761D"/>
      </left>
      <right/>
      <top/>
      <bottom style="medium">
        <color rgb="FF38761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2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/>
    <xf numFmtId="0" fontId="15" fillId="0" borderId="2" xfId="0" applyFont="1" applyBorder="1" applyAlignment="1"/>
    <xf numFmtId="0" fontId="2" fillId="0" borderId="3" xfId="0" applyFont="1" applyBorder="1" applyAlignment="1"/>
    <xf numFmtId="0" fontId="2" fillId="0" borderId="0" xfId="0" applyFont="1"/>
    <xf numFmtId="0" fontId="15" fillId="0" borderId="4" xfId="0" applyFont="1" applyBorder="1" applyAlignment="1"/>
    <xf numFmtId="0" fontId="16" fillId="0" borderId="4" xfId="0" applyFont="1" applyBorder="1" applyAlignment="1"/>
    <xf numFmtId="0" fontId="17" fillId="0" borderId="4" xfId="0" applyFont="1" applyBorder="1" applyAlignment="1"/>
    <xf numFmtId="0" fontId="0" fillId="0" borderId="4" xfId="0" applyBorder="1"/>
    <xf numFmtId="0" fontId="2" fillId="0" borderId="5" xfId="0" applyFont="1" applyBorder="1" applyAlignment="1"/>
    <xf numFmtId="0" fontId="2" fillId="9" borderId="6" xfId="0" applyFont="1" applyFill="1" applyBorder="1" applyAlignment="1"/>
    <xf numFmtId="0" fontId="15" fillId="0" borderId="7" xfId="0" applyFont="1" applyBorder="1" applyAlignment="1"/>
    <xf numFmtId="0" fontId="2" fillId="9" borderId="7" xfId="0" applyFont="1" applyFill="1" applyBorder="1" applyAlignment="1"/>
    <xf numFmtId="2" fontId="19" fillId="0" borderId="7" xfId="0" applyNumberFormat="1" applyFont="1" applyBorder="1" applyAlignment="1"/>
    <xf numFmtId="0" fontId="15" fillId="0" borderId="8" xfId="0" applyFont="1" applyBorder="1" applyAlignment="1"/>
    <xf numFmtId="0" fontId="15" fillId="0" borderId="9" xfId="0" applyFont="1" applyBorder="1" applyAlignment="1"/>
    <xf numFmtId="1" fontId="15" fillId="10" borderId="4" xfId="0" applyNumberFormat="1" applyFont="1" applyFill="1" applyBorder="1" applyAlignment="1"/>
    <xf numFmtId="1" fontId="15" fillId="0" borderId="4" xfId="0" applyNumberFormat="1" applyFont="1" applyBorder="1"/>
    <xf numFmtId="165" fontId="16" fillId="0" borderId="4" xfId="0" applyNumberFormat="1" applyFont="1" applyBorder="1"/>
    <xf numFmtId="1" fontId="18" fillId="11" borderId="10" xfId="0" applyNumberFormat="1" applyFont="1" applyFill="1" applyBorder="1"/>
    <xf numFmtId="0" fontId="2" fillId="12" borderId="11" xfId="0" applyFont="1" applyFill="1" applyBorder="1" applyAlignment="1"/>
    <xf numFmtId="0" fontId="2" fillId="12" borderId="7" xfId="0" applyFont="1" applyFill="1" applyBorder="1" applyAlignment="1"/>
    <xf numFmtId="2" fontId="15" fillId="0" borderId="7" xfId="0" applyNumberFormat="1" applyFont="1" applyBorder="1" applyAlignment="1"/>
    <xf numFmtId="1" fontId="20" fillId="9" borderId="7" xfId="0" applyNumberFormat="1" applyFont="1" applyFill="1" applyBorder="1" applyAlignment="1"/>
    <xf numFmtId="1" fontId="20" fillId="9" borderId="8" xfId="0" applyNumberFormat="1" applyFont="1" applyFill="1" applyBorder="1" applyAlignment="1"/>
    <xf numFmtId="1" fontId="15" fillId="10" borderId="9" xfId="0" applyNumberFormat="1" applyFont="1" applyFill="1" applyBorder="1" applyAlignment="1"/>
    <xf numFmtId="2" fontId="15" fillId="0" borderId="0" xfId="0" applyNumberFormat="1" applyFont="1"/>
    <xf numFmtId="1" fontId="15" fillId="12" borderId="0" xfId="0" applyNumberFormat="1" applyFont="1" applyFill="1"/>
    <xf numFmtId="1" fontId="17" fillId="10" borderId="4" xfId="0" applyNumberFormat="1" applyFont="1" applyFill="1" applyBorder="1"/>
    <xf numFmtId="0" fontId="16" fillId="11" borderId="10" xfId="0" applyFont="1" applyFill="1" applyBorder="1"/>
    <xf numFmtId="0" fontId="2" fillId="9" borderId="12" xfId="0" applyFont="1" applyFill="1" applyBorder="1" applyAlignment="1"/>
    <xf numFmtId="1" fontId="21" fillId="10" borderId="7" xfId="0" applyNumberFormat="1" applyFont="1" applyFill="1" applyBorder="1" applyAlignment="1"/>
    <xf numFmtId="1" fontId="21" fillId="10" borderId="8" xfId="0" applyNumberFormat="1" applyFont="1" applyFill="1" applyBorder="1" applyAlignment="1"/>
    <xf numFmtId="1" fontId="21" fillId="10" borderId="9" xfId="0" applyNumberFormat="1" applyFont="1" applyFill="1" applyBorder="1" applyAlignment="1"/>
    <xf numFmtId="1" fontId="17" fillId="10" borderId="9" xfId="0" applyNumberFormat="1" applyFont="1" applyFill="1" applyBorder="1" applyAlignment="1"/>
    <xf numFmtId="1" fontId="15" fillId="9" borderId="0" xfId="0" applyNumberFormat="1" applyFont="1" applyFill="1"/>
    <xf numFmtId="1" fontId="17" fillId="0" borderId="4" xfId="0" applyNumberFormat="1" applyFont="1" applyBorder="1"/>
    <xf numFmtId="0" fontId="22" fillId="11" borderId="10" xfId="0" applyFont="1" applyFill="1" applyBorder="1" applyAlignment="1"/>
    <xf numFmtId="0" fontId="23" fillId="0" borderId="0" xfId="0" applyFont="1"/>
    <xf numFmtId="164" fontId="15" fillId="0" borderId="7" xfId="0" applyNumberFormat="1" applyFont="1" applyBorder="1" applyAlignment="1"/>
    <xf numFmtId="1" fontId="18" fillId="13" borderId="4" xfId="0" applyNumberFormat="1" applyFont="1" applyFill="1" applyBorder="1"/>
    <xf numFmtId="0" fontId="16" fillId="13" borderId="4" xfId="0" applyFont="1" applyFill="1" applyBorder="1"/>
    <xf numFmtId="2" fontId="17" fillId="0" borderId="7" xfId="0" applyNumberFormat="1" applyFont="1" applyBorder="1" applyAlignment="1"/>
    <xf numFmtId="0" fontId="22" fillId="13" borderId="4" xfId="0" applyFont="1" applyFill="1" applyBorder="1" applyAlignment="1"/>
    <xf numFmtId="1" fontId="18" fillId="11" borderId="4" xfId="0" applyNumberFormat="1" applyFont="1" applyFill="1" applyBorder="1"/>
    <xf numFmtId="0" fontId="16" fillId="11" borderId="4" xfId="0" applyFont="1" applyFill="1" applyBorder="1"/>
    <xf numFmtId="0" fontId="2" fillId="12" borderId="6" xfId="0" applyFont="1" applyFill="1" applyBorder="1" applyAlignment="1"/>
    <xf numFmtId="0" fontId="2" fillId="9" borderId="11" xfId="0" applyFont="1" applyFill="1" applyBorder="1" applyAlignment="1"/>
    <xf numFmtId="0" fontId="15" fillId="0" borderId="7" xfId="0" applyFont="1" applyBorder="1" applyAlignment="1">
      <alignment wrapText="1"/>
    </xf>
    <xf numFmtId="0" fontId="16" fillId="0" borderId="7" xfId="0" applyFont="1" applyBorder="1"/>
    <xf numFmtId="0" fontId="15" fillId="0" borderId="7" xfId="0" applyFont="1" applyBorder="1"/>
    <xf numFmtId="0" fontId="15" fillId="0" borderId="3" xfId="0" applyFont="1" applyBorder="1" applyAlignment="1"/>
    <xf numFmtId="0" fontId="15" fillId="0" borderId="3" xfId="0" applyFont="1" applyBorder="1"/>
    <xf numFmtId="0" fontId="15" fillId="0" borderId="13" xfId="0" applyFont="1" applyBorder="1" applyAlignment="1"/>
    <xf numFmtId="0" fontId="15" fillId="0" borderId="14" xfId="0" applyFont="1" applyBorder="1"/>
    <xf numFmtId="0" fontId="16" fillId="0" borderId="0" xfId="0" applyFont="1" applyFill="1" applyBorder="1" applyAlignment="1"/>
    <xf numFmtId="0" fontId="16" fillId="0" borderId="0" xfId="0" applyFont="1" applyFill="1" applyBorder="1"/>
    <xf numFmtId="0" fontId="24" fillId="0" borderId="0" xfId="0" applyFont="1" applyAlignment="1"/>
    <xf numFmtId="0" fontId="15" fillId="0" borderId="0" xfId="0" applyFont="1" applyAlignment="1"/>
    <xf numFmtId="0" fontId="25" fillId="0" borderId="4" xfId="0" applyFont="1" applyBorder="1" applyAlignment="1"/>
    <xf numFmtId="0" fontId="22" fillId="11" borderId="4" xfId="0" applyFont="1" applyFill="1" applyBorder="1" applyAlignme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9" workbookViewId="0">
      <selection activeCell="S29" sqref="S29"/>
    </sheetView>
  </sheetViews>
  <sheetFormatPr defaultRowHeight="15.75" customHeight="1" x14ac:dyDescent="0.3"/>
  <cols>
    <col min="1" max="1" width="3.25" customWidth="1"/>
    <col min="2" max="2" width="8.6640625" customWidth="1"/>
    <col min="3" max="3" width="27.1640625" customWidth="1"/>
    <col min="4" max="4" width="9.4140625" customWidth="1"/>
    <col min="5" max="5" width="9.5" customWidth="1"/>
    <col min="6" max="6" width="9" customWidth="1"/>
    <col min="7" max="7" width="12.83203125" customWidth="1"/>
    <col min="8" max="8" width="10" customWidth="1"/>
    <col min="9" max="10" width="8.4140625" customWidth="1"/>
    <col min="11" max="11" width="13" customWidth="1"/>
    <col min="12" max="12" width="14" customWidth="1"/>
    <col min="13" max="13" width="6.58203125" hidden="1" customWidth="1"/>
    <col min="14" max="14" width="6.25" hidden="1" customWidth="1"/>
    <col min="15" max="15" width="6.1640625" hidden="1" customWidth="1"/>
    <col min="16" max="16" width="9.4140625" hidden="1" customWidth="1"/>
    <col min="17" max="17" width="6" customWidth="1"/>
    <col min="18" max="18" width="5.9140625" hidden="1" customWidth="1"/>
    <col min="19" max="19" width="7.4140625" customWidth="1"/>
    <col min="20" max="21" width="6.5" customWidth="1"/>
    <col min="22" max="22" width="9.83203125" customWidth="1"/>
    <col min="23" max="64" width="11.6640625" customWidth="1"/>
  </cols>
  <sheetData>
    <row r="1" spans="1:19" ht="14" x14ac:dyDescent="0.3">
      <c r="A1" s="1" t="s">
        <v>0</v>
      </c>
      <c r="B1" s="2"/>
      <c r="C1" s="2"/>
      <c r="D1" s="1"/>
      <c r="E1" s="1"/>
      <c r="F1" s="1"/>
      <c r="G1" s="3"/>
      <c r="H1" s="3"/>
      <c r="I1" s="1"/>
      <c r="J1" s="1"/>
      <c r="K1" s="1"/>
      <c r="L1" s="1"/>
      <c r="M1" s="4"/>
      <c r="N1" s="2"/>
      <c r="O1" s="2"/>
      <c r="P1" s="2"/>
      <c r="Q1" s="2"/>
      <c r="S1" s="5"/>
    </row>
    <row r="2" spans="1:19" ht="14" x14ac:dyDescent="0.3">
      <c r="A2" s="1">
        <v>0</v>
      </c>
      <c r="B2" s="62" t="s">
        <v>1</v>
      </c>
      <c r="C2" s="62"/>
      <c r="D2" s="62"/>
      <c r="E2" s="62"/>
      <c r="F2" s="62"/>
      <c r="G2" s="62"/>
      <c r="H2" s="3"/>
      <c r="I2" s="1"/>
      <c r="J2" s="1"/>
      <c r="K2" s="1"/>
      <c r="L2" s="1"/>
      <c r="M2" s="4"/>
      <c r="N2" s="2"/>
      <c r="O2" s="2"/>
      <c r="P2" s="2"/>
      <c r="Q2" s="2"/>
      <c r="S2" s="5"/>
    </row>
    <row r="3" spans="1:19" ht="14" x14ac:dyDescent="0.3">
      <c r="A3" s="1"/>
      <c r="B3" s="62" t="s">
        <v>2</v>
      </c>
      <c r="C3" s="62"/>
      <c r="D3" s="62"/>
      <c r="E3" s="62"/>
      <c r="F3" s="62"/>
      <c r="G3" s="62"/>
      <c r="H3" s="3"/>
      <c r="I3" s="1"/>
      <c r="J3" s="1"/>
      <c r="K3" s="1"/>
      <c r="L3" s="1"/>
      <c r="M3" s="4"/>
      <c r="N3" s="2"/>
      <c r="O3" s="2"/>
      <c r="P3" s="2"/>
      <c r="Q3" s="2"/>
      <c r="S3" s="5"/>
    </row>
    <row r="4" spans="1:19" ht="14" x14ac:dyDescent="0.3">
      <c r="A4" s="1">
        <v>1</v>
      </c>
      <c r="B4" s="62" t="s">
        <v>3</v>
      </c>
      <c r="C4" s="62"/>
      <c r="D4" s="62"/>
      <c r="E4" s="62"/>
      <c r="F4" s="62"/>
      <c r="G4" s="62"/>
      <c r="H4" s="3"/>
      <c r="I4" s="1"/>
      <c r="J4" s="1"/>
      <c r="K4" s="1"/>
      <c r="L4" s="1"/>
      <c r="M4" s="4"/>
      <c r="N4" s="2"/>
      <c r="O4" s="2"/>
      <c r="P4" s="2"/>
      <c r="Q4" s="2"/>
      <c r="S4" s="5"/>
    </row>
    <row r="5" spans="1:19" ht="14" x14ac:dyDescent="0.3">
      <c r="A5" s="1">
        <v>2</v>
      </c>
      <c r="B5" s="62" t="s">
        <v>79</v>
      </c>
      <c r="C5" s="62"/>
      <c r="D5" s="62"/>
      <c r="E5" s="62"/>
      <c r="F5" s="62"/>
      <c r="G5" s="62"/>
      <c r="H5" s="3"/>
      <c r="I5" s="1"/>
      <c r="J5" s="1"/>
      <c r="K5" s="1"/>
      <c r="L5" s="1"/>
      <c r="M5" s="4"/>
      <c r="N5" s="2"/>
      <c r="O5" s="2"/>
      <c r="P5" s="2"/>
      <c r="Q5" s="2"/>
      <c r="S5" s="5"/>
    </row>
    <row r="6" spans="1:19" ht="14" x14ac:dyDescent="0.3">
      <c r="A6" s="1">
        <v>3</v>
      </c>
      <c r="B6" s="62" t="s">
        <v>4</v>
      </c>
      <c r="C6" s="62"/>
      <c r="D6" s="62"/>
      <c r="E6" s="62"/>
      <c r="F6" s="62"/>
      <c r="G6" s="62"/>
      <c r="H6" s="3"/>
      <c r="I6" s="1"/>
      <c r="J6" s="1"/>
      <c r="K6" s="1"/>
      <c r="L6" s="1"/>
      <c r="M6" s="4"/>
      <c r="N6" s="2"/>
      <c r="O6" s="2"/>
      <c r="P6" s="2"/>
      <c r="Q6" s="2"/>
      <c r="S6" s="5"/>
    </row>
    <row r="7" spans="1:19" ht="14" x14ac:dyDescent="0.3">
      <c r="A7" s="1">
        <v>4</v>
      </c>
      <c r="B7" s="62" t="s">
        <v>5</v>
      </c>
      <c r="C7" s="62"/>
      <c r="D7" s="62"/>
      <c r="E7" s="62"/>
      <c r="F7" s="62"/>
      <c r="G7" s="62"/>
      <c r="H7" s="3"/>
      <c r="I7" s="1"/>
      <c r="J7" s="1"/>
      <c r="K7" s="1"/>
      <c r="L7" s="1"/>
      <c r="M7" s="4"/>
      <c r="N7" s="2"/>
      <c r="O7" s="2"/>
      <c r="P7" s="2"/>
      <c r="Q7" s="2"/>
      <c r="S7" s="5"/>
    </row>
    <row r="8" spans="1:19" ht="14" x14ac:dyDescent="0.3">
      <c r="A8" s="1">
        <v>5</v>
      </c>
      <c r="B8" s="62" t="s">
        <v>6</v>
      </c>
      <c r="C8" s="62"/>
      <c r="D8" s="62"/>
      <c r="E8" s="62"/>
      <c r="F8" s="62"/>
      <c r="G8" s="62"/>
      <c r="H8" s="3"/>
      <c r="I8" s="1"/>
      <c r="J8" s="1"/>
      <c r="K8" s="1"/>
      <c r="L8" s="1"/>
      <c r="M8" s="4"/>
      <c r="N8" s="2"/>
      <c r="O8" s="2"/>
      <c r="P8" s="2"/>
      <c r="Q8" s="2"/>
      <c r="S8" s="5"/>
    </row>
    <row r="9" spans="1:19" ht="14" x14ac:dyDescent="0.3">
      <c r="A9" s="1">
        <v>6</v>
      </c>
      <c r="B9" s="62" t="s">
        <v>7</v>
      </c>
      <c r="C9" s="62"/>
      <c r="D9" s="62"/>
      <c r="E9" s="62"/>
      <c r="F9" s="62"/>
      <c r="G9" s="62"/>
      <c r="H9" s="3"/>
      <c r="I9" s="1"/>
      <c r="J9" s="1"/>
      <c r="K9" s="1"/>
      <c r="L9" s="1"/>
      <c r="M9" s="4"/>
      <c r="N9" s="2"/>
      <c r="O9" s="2"/>
      <c r="P9" s="2"/>
      <c r="Q9" s="2"/>
      <c r="S9" s="5"/>
    </row>
    <row r="10" spans="1:19" ht="14" x14ac:dyDescent="0.3">
      <c r="A10" s="1"/>
      <c r="B10" s="62" t="s">
        <v>8</v>
      </c>
      <c r="C10" s="62"/>
      <c r="D10" s="62"/>
      <c r="E10" s="62"/>
      <c r="F10" s="62"/>
      <c r="G10" s="62"/>
      <c r="H10" s="3"/>
      <c r="I10" s="1"/>
      <c r="J10" s="1"/>
      <c r="K10" s="1"/>
      <c r="L10" s="1"/>
      <c r="M10" s="4"/>
      <c r="N10" s="2"/>
      <c r="O10" s="2"/>
      <c r="P10" s="2"/>
      <c r="Q10" s="2"/>
      <c r="S10" s="5"/>
    </row>
    <row r="11" spans="1:19" ht="14" x14ac:dyDescent="0.3">
      <c r="A11" s="1"/>
      <c r="B11" s="62" t="s">
        <v>9</v>
      </c>
      <c r="C11" s="62"/>
      <c r="D11" s="62"/>
      <c r="E11" s="62"/>
      <c r="F11" s="62"/>
      <c r="G11" s="62"/>
      <c r="H11" s="3"/>
      <c r="I11" s="1"/>
      <c r="J11" s="1"/>
      <c r="K11" s="1"/>
      <c r="L11" s="1"/>
      <c r="M11" s="4"/>
      <c r="N11" s="2"/>
      <c r="O11" s="2"/>
      <c r="P11" s="2"/>
      <c r="Q11" s="2"/>
      <c r="S11" s="5"/>
    </row>
    <row r="12" spans="1:19" ht="14" x14ac:dyDescent="0.3">
      <c r="A12" s="1">
        <v>7</v>
      </c>
      <c r="B12" s="62" t="s">
        <v>10</v>
      </c>
      <c r="C12" s="62"/>
      <c r="D12" s="62"/>
      <c r="E12" s="62"/>
      <c r="F12" s="62"/>
      <c r="G12" s="62"/>
      <c r="H12" s="3"/>
      <c r="I12" s="1"/>
      <c r="J12" s="1"/>
      <c r="K12" s="1"/>
      <c r="L12" s="1"/>
      <c r="M12" s="4"/>
      <c r="N12" s="2"/>
      <c r="O12" s="2"/>
      <c r="P12" s="2"/>
      <c r="Q12" s="2"/>
      <c r="S12" s="5"/>
    </row>
    <row r="13" spans="1:19" ht="14" x14ac:dyDescent="0.3">
      <c r="A13" s="1">
        <v>8</v>
      </c>
      <c r="B13" s="62" t="s">
        <v>11</v>
      </c>
      <c r="C13" s="62"/>
      <c r="D13" s="62"/>
      <c r="E13" s="62"/>
      <c r="F13" s="62"/>
      <c r="G13" s="62"/>
      <c r="H13" s="3"/>
      <c r="I13" s="1"/>
      <c r="J13" s="1"/>
      <c r="K13" s="1"/>
      <c r="L13" s="1"/>
      <c r="M13" s="4"/>
      <c r="N13" s="2"/>
      <c r="O13" s="2"/>
      <c r="P13" s="2"/>
      <c r="Q13" s="2"/>
      <c r="S13" s="5"/>
    </row>
    <row r="14" spans="1:19" ht="14" x14ac:dyDescent="0.3">
      <c r="A14" s="1">
        <v>9</v>
      </c>
      <c r="B14" s="62" t="s">
        <v>12</v>
      </c>
      <c r="C14" s="62"/>
      <c r="D14" s="62"/>
      <c r="E14" s="62"/>
      <c r="F14" s="62"/>
      <c r="G14" s="62"/>
      <c r="H14" s="3"/>
      <c r="I14" s="1"/>
      <c r="J14" s="1"/>
      <c r="K14" s="1"/>
      <c r="L14" s="1"/>
      <c r="M14" s="4"/>
      <c r="N14" s="2"/>
      <c r="O14" s="2"/>
      <c r="P14" s="2"/>
      <c r="Q14" s="2"/>
      <c r="S14" s="5"/>
    </row>
    <row r="15" spans="1:19" ht="14" x14ac:dyDescent="0.3">
      <c r="A15" s="1">
        <v>10</v>
      </c>
      <c r="B15" s="62" t="s">
        <v>13</v>
      </c>
      <c r="C15" s="62"/>
      <c r="D15" s="62"/>
      <c r="E15" s="62"/>
      <c r="F15" s="62"/>
      <c r="G15" s="62"/>
      <c r="H15" s="3"/>
      <c r="I15" s="1"/>
      <c r="J15" s="1"/>
      <c r="K15" s="1"/>
      <c r="L15" s="1"/>
      <c r="M15" s="4"/>
      <c r="N15" s="2"/>
      <c r="O15" s="2"/>
      <c r="P15" s="2"/>
      <c r="Q15" s="2"/>
      <c r="S15" s="5"/>
    </row>
    <row r="16" spans="1:19" ht="14" x14ac:dyDescent="0.3">
      <c r="A16" s="1">
        <v>11</v>
      </c>
      <c r="B16" s="62" t="s">
        <v>14</v>
      </c>
      <c r="C16" s="62"/>
      <c r="D16" s="62"/>
      <c r="E16" s="62"/>
      <c r="F16" s="62"/>
      <c r="G16" s="62"/>
      <c r="H16" s="3"/>
      <c r="I16" s="1"/>
      <c r="J16" s="1"/>
      <c r="K16" s="1"/>
      <c r="L16" s="1"/>
      <c r="M16" s="4"/>
      <c r="N16" s="2"/>
      <c r="O16" s="2"/>
      <c r="P16" s="2"/>
      <c r="Q16" s="2"/>
      <c r="S16" s="5"/>
    </row>
    <row r="17" spans="1:21" ht="14" x14ac:dyDescent="0.3">
      <c r="A17" s="1">
        <v>12</v>
      </c>
      <c r="B17" s="62" t="s">
        <v>15</v>
      </c>
      <c r="C17" s="62"/>
      <c r="D17" s="62"/>
      <c r="E17" s="62"/>
      <c r="F17" s="62"/>
      <c r="G17" s="62"/>
      <c r="H17" s="1"/>
      <c r="I17" s="1"/>
      <c r="J17" s="1"/>
      <c r="K17" s="1"/>
      <c r="L17" s="1"/>
      <c r="M17" s="4"/>
      <c r="N17" s="2"/>
      <c r="O17" s="2"/>
      <c r="P17" s="2"/>
      <c r="Q17" s="2"/>
      <c r="S17" s="5"/>
    </row>
    <row r="18" spans="1:21" ht="14" x14ac:dyDescent="0.3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4"/>
      <c r="N18" s="2"/>
      <c r="O18" s="2"/>
      <c r="P18" s="2"/>
      <c r="Q18" s="2"/>
      <c r="S18" s="5"/>
    </row>
    <row r="19" spans="1:21" ht="14" x14ac:dyDescent="0.3">
      <c r="A19" s="1" t="s">
        <v>16</v>
      </c>
      <c r="B19" s="2"/>
      <c r="C19" s="2"/>
      <c r="D19" s="1" t="s">
        <v>17</v>
      </c>
      <c r="E19" s="1"/>
      <c r="F19" s="1" t="s">
        <v>17</v>
      </c>
      <c r="G19" s="1" t="s">
        <v>18</v>
      </c>
      <c r="H19" s="3"/>
      <c r="I19" s="1" t="s">
        <v>80</v>
      </c>
      <c r="J19" s="1" t="s">
        <v>81</v>
      </c>
      <c r="K19" s="1" t="s">
        <v>19</v>
      </c>
      <c r="L19" s="1" t="s">
        <v>19</v>
      </c>
      <c r="M19" s="4"/>
      <c r="N19" s="2"/>
      <c r="O19" s="2"/>
      <c r="P19" s="2"/>
      <c r="Q19" s="2"/>
      <c r="S19" s="5"/>
    </row>
    <row r="20" spans="1:21" ht="14" x14ac:dyDescent="0.3">
      <c r="A20" s="1" t="s">
        <v>20</v>
      </c>
      <c r="B20" s="2"/>
      <c r="C20" s="6"/>
      <c r="D20" s="7" t="s">
        <v>21</v>
      </c>
      <c r="E20" s="1" t="s">
        <v>22</v>
      </c>
      <c r="F20" s="1" t="s">
        <v>23</v>
      </c>
      <c r="G20" s="8" t="s">
        <v>24</v>
      </c>
      <c r="H20" s="3"/>
      <c r="I20" s="1" t="s">
        <v>25</v>
      </c>
      <c r="J20" s="1" t="s">
        <v>26</v>
      </c>
      <c r="K20" s="1" t="s">
        <v>27</v>
      </c>
      <c r="L20" s="1" t="s">
        <v>28</v>
      </c>
      <c r="M20" s="4"/>
      <c r="N20" s="2" t="s">
        <v>29</v>
      </c>
      <c r="O20" s="9" t="s">
        <v>30</v>
      </c>
      <c r="P20" s="10" t="s">
        <v>31</v>
      </c>
      <c r="Q20" s="11" t="s">
        <v>32</v>
      </c>
      <c r="R20" s="12"/>
      <c r="S20" s="63" t="s">
        <v>33</v>
      </c>
    </row>
    <row r="21" spans="1:21" ht="14" x14ac:dyDescent="0.3">
      <c r="A21" s="2">
        <v>0</v>
      </c>
      <c r="B21" s="1" t="s">
        <v>34</v>
      </c>
      <c r="C21" s="13" t="s">
        <v>82</v>
      </c>
      <c r="D21" s="14">
        <v>500</v>
      </c>
      <c r="E21" s="15" t="str">
        <f t="shared" ref="E21:E32" si="0">FIXED(D21/4.88)</f>
        <v>102.46</v>
      </c>
      <c r="F21" s="16">
        <v>86</v>
      </c>
      <c r="G21" s="17">
        <f t="shared" ref="G21:G29" si="1">F21*3.141/180</f>
        <v>1.5006999999999999</v>
      </c>
      <c r="H21" s="17"/>
      <c r="I21" s="15" t="s">
        <v>35</v>
      </c>
      <c r="J21" s="18" t="s">
        <v>35</v>
      </c>
      <c r="K21" s="19" t="s">
        <v>36</v>
      </c>
      <c r="L21" s="19" t="s">
        <v>37</v>
      </c>
      <c r="M21" s="2" t="s">
        <v>38</v>
      </c>
      <c r="N21" s="2" t="s">
        <v>39</v>
      </c>
      <c r="O21" s="20">
        <f>G21*I$23 + J$23</f>
        <v>102.45999999999998</v>
      </c>
      <c r="P21" s="20">
        <f>$G$21*$I$22 +$J$22</f>
        <v>100.9076</v>
      </c>
      <c r="Q21" s="21"/>
      <c r="R21" s="22">
        <f t="shared" ref="R21:R29" si="2">E21-P21</f>
        <v>1.5523999999999916</v>
      </c>
      <c r="S21" s="23"/>
    </row>
    <row r="22" spans="1:21" ht="14" x14ac:dyDescent="0.3">
      <c r="A22" s="2">
        <v>0</v>
      </c>
      <c r="B22" s="1" t="s">
        <v>40</v>
      </c>
      <c r="C22" s="13" t="s">
        <v>41</v>
      </c>
      <c r="D22" s="24">
        <v>1465</v>
      </c>
      <c r="E22" s="15" t="str">
        <f t="shared" si="0"/>
        <v>300.20</v>
      </c>
      <c r="F22" s="25">
        <v>0</v>
      </c>
      <c r="G22" s="26">
        <f t="shared" si="1"/>
        <v>0</v>
      </c>
      <c r="H22" s="26"/>
      <c r="I22" s="27">
        <v>-132</v>
      </c>
      <c r="J22" s="28">
        <v>299</v>
      </c>
      <c r="K22" s="29">
        <f>J22+I22*G21</f>
        <v>100.9076</v>
      </c>
      <c r="L22" s="29">
        <f>K22+N22</f>
        <v>506.30600000000004</v>
      </c>
      <c r="M22" s="30">
        <f>M23</f>
        <v>-3.0712000000000002</v>
      </c>
      <c r="N22" s="31">
        <f>I22*M22</f>
        <v>405.39840000000004</v>
      </c>
      <c r="O22" s="20">
        <f>G22*I$23 + J$23</f>
        <v>299.21431818181816</v>
      </c>
      <c r="P22" s="20">
        <f>($G$22*$I$22 + $J$22)</f>
        <v>299</v>
      </c>
      <c r="Q22" s="32"/>
      <c r="R22" s="22">
        <f t="shared" si="2"/>
        <v>1.1999999999999886</v>
      </c>
      <c r="S22" s="33"/>
    </row>
    <row r="23" spans="1:21" ht="18" x14ac:dyDescent="0.55000000000000004">
      <c r="A23" s="2">
        <v>0</v>
      </c>
      <c r="B23" s="1" t="s">
        <v>34</v>
      </c>
      <c r="C23" s="13" t="s">
        <v>83</v>
      </c>
      <c r="D23" s="34">
        <v>2465</v>
      </c>
      <c r="E23" s="15" t="str">
        <f t="shared" si="0"/>
        <v>505.12</v>
      </c>
      <c r="F23" s="16">
        <v>-90</v>
      </c>
      <c r="G23" s="17">
        <f t="shared" si="1"/>
        <v>-1.5705</v>
      </c>
      <c r="H23" s="17" t="s">
        <v>42</v>
      </c>
      <c r="I23" s="35">
        <f>((E21-E23)/(G21-G23))</f>
        <v>-131.10836155248762</v>
      </c>
      <c r="J23" s="36">
        <f>E21-G21*I23</f>
        <v>299.21431818181816</v>
      </c>
      <c r="K23" s="37">
        <f>J23+I23*G21</f>
        <v>102.45999999999998</v>
      </c>
      <c r="L23" s="38">
        <f>K23+N23</f>
        <v>505.12</v>
      </c>
      <c r="M23" s="30">
        <f>G23-G21</f>
        <v>-3.0712000000000002</v>
      </c>
      <c r="N23" s="39">
        <f>I23*M23</f>
        <v>402.66</v>
      </c>
      <c r="O23" s="20">
        <f>G23*I$23 + J$23</f>
        <v>505.12</v>
      </c>
      <c r="P23" s="20">
        <f>$G$23*$I$22 + $J$22</f>
        <v>506.30600000000004</v>
      </c>
      <c r="Q23" s="40">
        <f>E22-O22</f>
        <v>0.9856818181818312</v>
      </c>
      <c r="R23" s="22">
        <f t="shared" si="2"/>
        <v>-1.1860000000000355</v>
      </c>
      <c r="S23" s="41">
        <f>AVERAGE(R21:R23)</f>
        <v>0.52213333333331491</v>
      </c>
      <c r="U23" s="42"/>
    </row>
    <row r="24" spans="1:21" ht="14" x14ac:dyDescent="0.3">
      <c r="A24" s="2">
        <v>1</v>
      </c>
      <c r="B24" s="1" t="s">
        <v>34</v>
      </c>
      <c r="C24" s="13" t="s">
        <v>84</v>
      </c>
      <c r="D24" s="14">
        <v>520</v>
      </c>
      <c r="E24" s="15" t="str">
        <f t="shared" si="0"/>
        <v>106.56</v>
      </c>
      <c r="F24" s="16">
        <v>106</v>
      </c>
      <c r="G24" s="17">
        <f t="shared" si="1"/>
        <v>1.8497000000000001</v>
      </c>
      <c r="H24" s="17"/>
      <c r="I24" s="43" t="s">
        <v>43</v>
      </c>
      <c r="J24" s="18" t="s">
        <v>43</v>
      </c>
      <c r="K24" s="19" t="s">
        <v>44</v>
      </c>
      <c r="L24" s="19" t="s">
        <v>45</v>
      </c>
      <c r="M24" s="3"/>
      <c r="N24" s="39"/>
      <c r="O24" s="20">
        <f>G24*I$26 + J$26</f>
        <v>106.56000000000003</v>
      </c>
      <c r="P24" s="20">
        <f>$G$24*$I$25 + $J$25</f>
        <v>109.83959999999999</v>
      </c>
      <c r="Q24" s="21"/>
      <c r="R24" s="22">
        <f t="shared" si="2"/>
        <v>-3.2795999999999879</v>
      </c>
      <c r="S24" s="44"/>
    </row>
    <row r="25" spans="1:21" ht="14" x14ac:dyDescent="0.3">
      <c r="A25" s="2">
        <v>1</v>
      </c>
      <c r="B25" s="1" t="s">
        <v>40</v>
      </c>
      <c r="C25" s="13" t="s">
        <v>46</v>
      </c>
      <c r="D25" s="24">
        <v>720</v>
      </c>
      <c r="E25" s="15" t="str">
        <f t="shared" si="0"/>
        <v>147.54</v>
      </c>
      <c r="F25" s="25">
        <v>90</v>
      </c>
      <c r="G25" s="26">
        <f t="shared" si="1"/>
        <v>1.5705</v>
      </c>
      <c r="H25" s="26"/>
      <c r="I25" s="27">
        <v>-132</v>
      </c>
      <c r="J25" s="28">
        <v>354</v>
      </c>
      <c r="K25" s="29">
        <f>J25+I25*G24</f>
        <v>109.83959999999999</v>
      </c>
      <c r="L25" s="29">
        <f>K25+N25</f>
        <v>354</v>
      </c>
      <c r="M25" s="30">
        <f>M26</f>
        <v>-1.8497000000000001</v>
      </c>
      <c r="N25" s="31">
        <f>I25*M25</f>
        <v>244.16040000000001</v>
      </c>
      <c r="O25" s="20">
        <f>G25*I$26 + J$26</f>
        <v>144.29584905660383</v>
      </c>
      <c r="P25" s="20">
        <f>$G$25*$I$25 +$J$25</f>
        <v>146.69399999999999</v>
      </c>
      <c r="Q25" s="32"/>
      <c r="R25" s="22">
        <f t="shared" si="2"/>
        <v>0.84600000000000364</v>
      </c>
      <c r="S25" s="45"/>
    </row>
    <row r="26" spans="1:21" ht="18" x14ac:dyDescent="0.55000000000000004">
      <c r="A26" s="2">
        <v>1</v>
      </c>
      <c r="B26" s="1" t="s">
        <v>34</v>
      </c>
      <c r="C26" s="13" t="s">
        <v>85</v>
      </c>
      <c r="D26" s="34">
        <v>1740</v>
      </c>
      <c r="E26" s="15" t="str">
        <f t="shared" si="0"/>
        <v>356.56</v>
      </c>
      <c r="F26" s="16">
        <v>0</v>
      </c>
      <c r="G26" s="46">
        <f t="shared" si="1"/>
        <v>0</v>
      </c>
      <c r="H26" s="17" t="s">
        <v>42</v>
      </c>
      <c r="I26" s="35">
        <f>((E24-E26)/(G24-G26))</f>
        <v>-135.15705249499919</v>
      </c>
      <c r="J26" s="36">
        <f>E24-G24*I26</f>
        <v>356.56000000000006</v>
      </c>
      <c r="K26" s="37">
        <f>J26+I26*G24</f>
        <v>106.56000000000003</v>
      </c>
      <c r="L26" s="37">
        <f>K26+N26</f>
        <v>356.56000000000006</v>
      </c>
      <c r="M26" s="30">
        <f>G26-G24</f>
        <v>-1.8497000000000001</v>
      </c>
      <c r="N26" s="39">
        <f>I26*M26</f>
        <v>250.00000000000003</v>
      </c>
      <c r="O26" s="20">
        <f>G26*I$26 + J$26</f>
        <v>356.56000000000006</v>
      </c>
      <c r="P26" s="20">
        <f>($G26*$I$25 + $J$25)</f>
        <v>354</v>
      </c>
      <c r="Q26" s="40">
        <f>E25-O25</f>
        <v>3.2441509433961642</v>
      </c>
      <c r="R26" s="22">
        <f t="shared" si="2"/>
        <v>2.5600000000000023</v>
      </c>
      <c r="S26" s="47">
        <f>AVERAGE(R24:R26)</f>
        <v>4.2133333333339351E-2</v>
      </c>
      <c r="U26" s="42"/>
    </row>
    <row r="27" spans="1:21" ht="14" x14ac:dyDescent="0.3">
      <c r="A27" s="2">
        <v>14</v>
      </c>
      <c r="B27" s="1" t="s">
        <v>34</v>
      </c>
      <c r="C27" s="13" t="s">
        <v>87</v>
      </c>
      <c r="D27" s="14">
        <v>1950</v>
      </c>
      <c r="E27" s="15" t="str">
        <f t="shared" si="0"/>
        <v>399.59</v>
      </c>
      <c r="F27" s="16">
        <v>23</v>
      </c>
      <c r="G27" s="17">
        <f t="shared" si="1"/>
        <v>0.40134999999999998</v>
      </c>
      <c r="H27" s="17"/>
      <c r="I27" s="43" t="s">
        <v>47</v>
      </c>
      <c r="J27" s="18" t="s">
        <v>47</v>
      </c>
      <c r="K27" s="19" t="s">
        <v>48</v>
      </c>
      <c r="L27" s="19" t="s">
        <v>49</v>
      </c>
      <c r="M27" s="3"/>
      <c r="N27" s="39"/>
      <c r="O27" s="20">
        <f>G27*I$29 + J$29</f>
        <v>399.59</v>
      </c>
      <c r="P27" s="20">
        <f>$G$27*$I$28 +$J$28</f>
        <v>395.97820000000002</v>
      </c>
      <c r="Q27" s="21"/>
      <c r="R27" s="22">
        <f t="shared" si="2"/>
        <v>3.6117999999999597</v>
      </c>
      <c r="S27" s="48"/>
    </row>
    <row r="28" spans="1:21" ht="14" x14ac:dyDescent="0.3">
      <c r="A28" s="2">
        <v>14</v>
      </c>
      <c r="B28" s="1" t="s">
        <v>40</v>
      </c>
      <c r="C28" s="13" t="s">
        <v>50</v>
      </c>
      <c r="D28" s="24">
        <v>1675</v>
      </c>
      <c r="E28" s="15" t="str">
        <f t="shared" si="0"/>
        <v>343.24</v>
      </c>
      <c r="F28" s="25">
        <v>0</v>
      </c>
      <c r="G28" s="26">
        <f t="shared" si="1"/>
        <v>0</v>
      </c>
      <c r="H28" s="26"/>
      <c r="I28" s="27">
        <v>132</v>
      </c>
      <c r="J28" s="28">
        <v>343</v>
      </c>
      <c r="K28" s="29">
        <f>J28+I28*G27</f>
        <v>395.97820000000002</v>
      </c>
      <c r="L28" s="29">
        <f>K28+N28</f>
        <v>227.83</v>
      </c>
      <c r="M28" s="30">
        <f>M29</f>
        <v>-1.2738499999999999</v>
      </c>
      <c r="N28" s="31">
        <f>I28*M28</f>
        <v>-168.1482</v>
      </c>
      <c r="O28" s="20">
        <f>G28*I$29 + J$29</f>
        <v>344.71136986301366</v>
      </c>
      <c r="P28" s="20">
        <f>$G$28*$I$28 + $J$28</f>
        <v>343</v>
      </c>
      <c r="Q28" s="32"/>
      <c r="R28" s="22">
        <f t="shared" si="2"/>
        <v>0.24000000000000909</v>
      </c>
      <c r="S28" s="49"/>
    </row>
    <row r="29" spans="1:21" ht="18" x14ac:dyDescent="0.55000000000000004">
      <c r="A29" s="2">
        <v>14</v>
      </c>
      <c r="B29" s="1" t="s">
        <v>34</v>
      </c>
      <c r="C29" s="13" t="s">
        <v>86</v>
      </c>
      <c r="D29" s="34">
        <v>1100</v>
      </c>
      <c r="E29" s="15" t="str">
        <f t="shared" si="0"/>
        <v>225.41</v>
      </c>
      <c r="F29" s="16">
        <v>-50</v>
      </c>
      <c r="G29" s="17">
        <f t="shared" si="1"/>
        <v>-0.87250000000000005</v>
      </c>
      <c r="H29" s="17" t="s">
        <v>42</v>
      </c>
      <c r="I29" s="35">
        <f>((E27-E29)/(G27-G29))</f>
        <v>136.73509439886956</v>
      </c>
      <c r="J29" s="36">
        <f>E27-G27*I29</f>
        <v>344.71136986301366</v>
      </c>
      <c r="K29" s="37">
        <f>J29+I29*G27</f>
        <v>399.59</v>
      </c>
      <c r="L29" s="37">
        <f>K29+N29</f>
        <v>225.41</v>
      </c>
      <c r="M29" s="30">
        <f>G29-G27</f>
        <v>-1.2738499999999999</v>
      </c>
      <c r="N29" s="39">
        <f>I29*M29</f>
        <v>-174.17999999999998</v>
      </c>
      <c r="O29" s="20">
        <f>G29*I$29 + J$29</f>
        <v>225.40999999999997</v>
      </c>
      <c r="P29" s="20">
        <f>$G$29*$I$28 + $J$28</f>
        <v>227.82999999999998</v>
      </c>
      <c r="Q29" s="40">
        <f>E28-O28</f>
        <v>-1.4713698630136491</v>
      </c>
      <c r="R29" s="22">
        <f t="shared" si="2"/>
        <v>-2.4199999999999875</v>
      </c>
      <c r="S29" s="64">
        <f>AVERAGE(R27:R29)</f>
        <v>0.47726666666666046</v>
      </c>
      <c r="U29" s="42"/>
    </row>
    <row r="30" spans="1:21" ht="14" x14ac:dyDescent="0.3">
      <c r="A30" s="2">
        <v>15</v>
      </c>
      <c r="B30" s="1" t="s">
        <v>40</v>
      </c>
      <c r="C30" s="13" t="s">
        <v>51</v>
      </c>
      <c r="D30" s="50"/>
      <c r="E30" s="15" t="str">
        <f t="shared" si="0"/>
        <v>0.00</v>
      </c>
      <c r="F30" s="25"/>
      <c r="G30" s="26"/>
      <c r="H30" s="26"/>
      <c r="I30" s="43" t="s">
        <v>51</v>
      </c>
      <c r="J30" s="18" t="s">
        <v>51</v>
      </c>
      <c r="K30" s="19" t="s">
        <v>52</v>
      </c>
      <c r="L30" s="19" t="s">
        <v>53</v>
      </c>
      <c r="M30" s="3"/>
      <c r="N30" s="31"/>
      <c r="O30" s="20"/>
      <c r="P30" s="20"/>
      <c r="Q30" s="32"/>
      <c r="R30" s="22"/>
      <c r="S30" s="44"/>
    </row>
    <row r="31" spans="1:21" ht="14" x14ac:dyDescent="0.3">
      <c r="A31" s="2">
        <v>15</v>
      </c>
      <c r="B31" s="1" t="s">
        <v>34</v>
      </c>
      <c r="C31" s="13" t="s">
        <v>54</v>
      </c>
      <c r="D31" s="51">
        <v>2200</v>
      </c>
      <c r="E31" s="15" t="str">
        <f t="shared" si="0"/>
        <v>450.82</v>
      </c>
      <c r="F31" s="16">
        <v>-45</v>
      </c>
      <c r="G31" s="17">
        <f>F31*3.141/180</f>
        <v>-0.78525</v>
      </c>
      <c r="H31" s="17"/>
      <c r="I31" s="27">
        <v>-132</v>
      </c>
      <c r="J31" s="28">
        <v>350</v>
      </c>
      <c r="K31" s="29">
        <f>J31+I31*G31</f>
        <v>453.65300000000002</v>
      </c>
      <c r="L31" s="29">
        <f>K31+N31</f>
        <v>119.66000000000003</v>
      </c>
      <c r="M31" s="30">
        <f>M32</f>
        <v>2.5302500000000001</v>
      </c>
      <c r="N31" s="39">
        <f>I31*M31</f>
        <v>-333.99299999999999</v>
      </c>
      <c r="O31" s="20">
        <f>(G31*I$32 + J$32)</f>
        <v>450.81999999999994</v>
      </c>
      <c r="P31" s="20">
        <f>$G$31*$I$31 + $J$31</f>
        <v>453.65300000000002</v>
      </c>
      <c r="Q31" s="40"/>
      <c r="R31" s="22">
        <f>E31-P31</f>
        <v>-2.8330000000000268</v>
      </c>
      <c r="S31" s="45"/>
    </row>
    <row r="32" spans="1:21" ht="18" x14ac:dyDescent="0.55000000000000004">
      <c r="A32" s="2">
        <v>15</v>
      </c>
      <c r="B32" s="1" t="s">
        <v>34</v>
      </c>
      <c r="C32" s="13" t="s">
        <v>55</v>
      </c>
      <c r="D32" s="51">
        <v>600</v>
      </c>
      <c r="E32" s="15" t="str">
        <f t="shared" si="0"/>
        <v>122.95</v>
      </c>
      <c r="F32" s="16">
        <v>100</v>
      </c>
      <c r="G32" s="17">
        <f>F32*3.141/180</f>
        <v>1.7450000000000001</v>
      </c>
      <c r="H32" s="17" t="s">
        <v>42</v>
      </c>
      <c r="I32" s="35">
        <f>((E31-E32)/(G31-G32))</f>
        <v>-129.58008101966209</v>
      </c>
      <c r="J32" s="36">
        <f>E31-G31*I32</f>
        <v>349.0672413793103</v>
      </c>
      <c r="K32" s="37">
        <f>J32+I32*G31</f>
        <v>450.81999999999994</v>
      </c>
      <c r="L32" s="37">
        <f>K32+N32</f>
        <v>122.94999999999993</v>
      </c>
      <c r="M32" s="30">
        <f>G32-G31</f>
        <v>2.5302500000000001</v>
      </c>
      <c r="N32" s="39">
        <f>I32*M32</f>
        <v>-327.87</v>
      </c>
      <c r="O32" s="20">
        <f>G32*I$32 + J$32</f>
        <v>122.94999999999993</v>
      </c>
      <c r="P32" s="20">
        <f>$G$32*$I$31 + $J$31</f>
        <v>119.66</v>
      </c>
      <c r="Q32" s="40"/>
      <c r="R32" s="22">
        <f>E32-P32</f>
        <v>3.2900000000000063</v>
      </c>
      <c r="S32" s="47">
        <f>AVERAGE(R30:R32)</f>
        <v>0.22849999999998971</v>
      </c>
      <c r="U32" s="42"/>
    </row>
    <row r="33" spans="1:19" ht="38" x14ac:dyDescent="0.3">
      <c r="A33" s="3"/>
      <c r="B33" s="3"/>
      <c r="C33" s="3"/>
      <c r="D33" s="52" t="s">
        <v>56</v>
      </c>
      <c r="E33" s="53"/>
      <c r="F33" s="15" t="s">
        <v>57</v>
      </c>
      <c r="G33" s="54"/>
      <c r="H33" s="54"/>
      <c r="I33" s="55" t="s">
        <v>58</v>
      </c>
      <c r="J33" s="56"/>
      <c r="K33" s="57" t="s">
        <v>59</v>
      </c>
      <c r="L33" s="58"/>
      <c r="M33" s="3"/>
      <c r="N33" s="3"/>
      <c r="O33" s="3"/>
      <c r="P33" s="3"/>
      <c r="Q33" s="2" t="s">
        <v>60</v>
      </c>
      <c r="S33" s="5" t="s">
        <v>61</v>
      </c>
    </row>
    <row r="34" spans="1:19" ht="14" x14ac:dyDescent="0.3">
      <c r="I34" s="59"/>
      <c r="J34" s="60"/>
      <c r="K34" s="5" t="s">
        <v>62</v>
      </c>
    </row>
    <row r="35" spans="1:19" ht="14" x14ac:dyDescent="0.3">
      <c r="A35" s="5"/>
      <c r="B35" s="5"/>
      <c r="C35" s="5"/>
      <c r="D35" s="5"/>
      <c r="E35" s="5"/>
      <c r="F35" s="5"/>
      <c r="G35" s="5"/>
      <c r="H35" s="5"/>
      <c r="I35" s="59"/>
      <c r="J35" s="60"/>
      <c r="K35" s="5" t="s">
        <v>63</v>
      </c>
    </row>
    <row r="36" spans="1:19" ht="14" x14ac:dyDescent="0.3">
      <c r="A36" s="5"/>
      <c r="B36" s="5"/>
      <c r="C36" s="5" t="s">
        <v>64</v>
      </c>
      <c r="D36" s="5"/>
      <c r="E36" s="5" t="s">
        <v>65</v>
      </c>
      <c r="F36" s="5"/>
      <c r="G36" s="5" t="s">
        <v>66</v>
      </c>
      <c r="H36" s="5"/>
      <c r="I36" s="5" t="s">
        <v>67</v>
      </c>
    </row>
    <row r="37" spans="1:19" ht="14" x14ac:dyDescent="0.3">
      <c r="A37" s="5"/>
      <c r="B37" s="5"/>
      <c r="C37" s="5" t="s">
        <v>68</v>
      </c>
      <c r="D37" s="5"/>
      <c r="E37" s="5" t="s">
        <v>69</v>
      </c>
      <c r="I37" s="5"/>
    </row>
    <row r="38" spans="1:19" ht="14" x14ac:dyDescent="0.3">
      <c r="A38" s="5"/>
      <c r="B38" s="5"/>
      <c r="C38" s="5" t="s">
        <v>70</v>
      </c>
      <c r="D38" s="5"/>
      <c r="E38" s="5" t="s">
        <v>71</v>
      </c>
      <c r="I38" s="5"/>
    </row>
    <row r="39" spans="1:19" ht="14" x14ac:dyDescent="0.3">
      <c r="A39" s="5"/>
      <c r="B39" s="5"/>
      <c r="C39" s="61" t="s">
        <v>72</v>
      </c>
      <c r="I39" s="5"/>
    </row>
    <row r="40" spans="1:19" ht="14" x14ac:dyDescent="0.3">
      <c r="I40" s="5"/>
    </row>
    <row r="41" spans="1:19" ht="14" x14ac:dyDescent="0.3">
      <c r="A41" s="5"/>
      <c r="B41" s="5"/>
      <c r="C41" s="5" t="s">
        <v>73</v>
      </c>
      <c r="I41" s="5"/>
    </row>
    <row r="42" spans="1:19" ht="14" x14ac:dyDescent="0.3">
      <c r="A42" s="5"/>
      <c r="B42" s="5"/>
      <c r="C42" s="5" t="s">
        <v>74</v>
      </c>
      <c r="I42" s="5"/>
    </row>
    <row r="43" spans="1:19" ht="14" x14ac:dyDescent="0.3">
      <c r="A43" s="5"/>
      <c r="B43" s="5"/>
      <c r="C43" s="5" t="s">
        <v>75</v>
      </c>
      <c r="I43" s="5"/>
    </row>
    <row r="44" spans="1:19" ht="14" x14ac:dyDescent="0.3">
      <c r="A44" s="5"/>
      <c r="B44" s="5"/>
      <c r="C44" s="5" t="s">
        <v>76</v>
      </c>
      <c r="I44" s="5"/>
    </row>
    <row r="46" spans="1:19" ht="14" x14ac:dyDescent="0.3">
      <c r="A46" s="61"/>
      <c r="B46" s="61"/>
      <c r="C46" s="61" t="s">
        <v>77</v>
      </c>
    </row>
    <row r="47" spans="1:19" ht="14" x14ac:dyDescent="0.3">
      <c r="A47" s="5"/>
      <c r="B47" s="61"/>
      <c r="C47" s="61" t="s">
        <v>35</v>
      </c>
      <c r="D47" s="61"/>
      <c r="E47" s="61">
        <v>-90</v>
      </c>
      <c r="F47" s="61"/>
      <c r="G47" s="61">
        <v>90</v>
      </c>
      <c r="H47" s="61"/>
      <c r="I47" s="5" t="s">
        <v>78</v>
      </c>
    </row>
    <row r="48" spans="1:19" ht="14" x14ac:dyDescent="0.3">
      <c r="A48" s="5"/>
      <c r="B48" s="61"/>
      <c r="C48" s="61" t="s">
        <v>43</v>
      </c>
      <c r="D48" s="61"/>
      <c r="E48" s="61">
        <v>15</v>
      </c>
      <c r="F48" s="61"/>
      <c r="G48" s="61">
        <v>140</v>
      </c>
      <c r="H48" s="61"/>
      <c r="I48" s="5" t="s">
        <v>78</v>
      </c>
    </row>
    <row r="49" spans="1:9" ht="14" x14ac:dyDescent="0.3">
      <c r="A49" s="5"/>
      <c r="B49" s="61"/>
      <c r="C49" s="61" t="s">
        <v>47</v>
      </c>
      <c r="D49" s="61"/>
      <c r="E49" s="61">
        <v>10</v>
      </c>
      <c r="F49" s="61"/>
      <c r="G49" s="61">
        <v>-65</v>
      </c>
      <c r="H49" s="61"/>
      <c r="I49" s="5" t="s">
        <v>78</v>
      </c>
    </row>
    <row r="50" spans="1:9" ht="14" x14ac:dyDescent="0.3">
      <c r="A50" s="5"/>
      <c r="B50" s="61"/>
      <c r="C50" s="61" t="s">
        <v>51</v>
      </c>
      <c r="D50" s="61"/>
      <c r="E50" s="61">
        <v>130</v>
      </c>
      <c r="F50" s="61"/>
      <c r="G50" s="61">
        <v>0</v>
      </c>
      <c r="H50" s="61"/>
      <c r="I50" s="5" t="s">
        <v>78</v>
      </c>
    </row>
  </sheetData>
  <mergeCells count="16">
    <mergeCell ref="B14:G14"/>
    <mergeCell ref="B15:G15"/>
    <mergeCell ref="B16:G16"/>
    <mergeCell ref="B17:G17"/>
    <mergeCell ref="B8:G8"/>
    <mergeCell ref="B9:G9"/>
    <mergeCell ref="B10:G10"/>
    <mergeCell ref="B11:G11"/>
    <mergeCell ref="B12:G12"/>
    <mergeCell ref="B13:G13"/>
    <mergeCell ref="B2:G2"/>
    <mergeCell ref="B3:G3"/>
    <mergeCell ref="B4:G4"/>
    <mergeCell ref="B5:G5"/>
    <mergeCell ref="B6:G6"/>
    <mergeCell ref="B7:G7"/>
  </mergeCells>
  <pageMargins left="0.74800000000000011" right="0.74800000000000011" top="1.3776000000000002" bottom="1.3776000000000002" header="0.9839" footer="0.9839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 Utzinger</cp:lastModifiedBy>
  <cp:revision>3</cp:revision>
  <dcterms:created xsi:type="dcterms:W3CDTF">2023-03-17T22:44:03Z</dcterms:created>
  <dcterms:modified xsi:type="dcterms:W3CDTF">2023-03-17T22:44:15Z</dcterms:modified>
</cp:coreProperties>
</file>