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<sst xmlns="http://schemas.openxmlformats.org/spreadsheetml/2006/main" count="73" uniqueCount="61">
  <si>
    <t>Pin</t>
  </si>
  <si>
    <t>us</t>
  </si>
  <si>
    <t>PWM</t>
  </si>
  <si>
    <t>Angle</t>
  </si>
  <si>
    <t>Gain</t>
  </si>
  <si>
    <t>Zero</t>
  </si>
  <si>
    <t>n_min</t>
  </si>
  <si>
    <t>n_max</t>
  </si>
  <si>
    <t>Check</t>
  </si>
  <si>
    <t>Base Min</t>
  </si>
  <si>
    <t>Base</t>
  </si>
  <si>
    <t>sweepMinBase</t>
  </si>
  <si>
    <t>sweepMaxBase</t>
  </si>
  <si>
    <t>a_range</t>
  </si>
  <si>
    <t>n_range</t>
  </si>
  <si>
    <t>Base Straight</t>
  </si>
  <si>
    <t>Base Max</t>
  </si>
  <si>
    <t>Shoulder Contracted</t>
  </si>
  <si>
    <t>Shoulder</t>
  </si>
  <si>
    <t>sweepMinShoulder</t>
  </si>
  <si>
    <t>sweepMaxShoulder</t>
  </si>
  <si>
    <t>Shoulder Vert</t>
  </si>
  <si>
    <t>Shoulder Extended</t>
  </si>
  <si>
    <t>Elbow Contracted</t>
  </si>
  <si>
    <t>Elbow</t>
  </si>
  <si>
    <t>sweepMinElbow</t>
  </si>
  <si>
    <t>sweepMaxElbow</t>
  </si>
  <si>
    <t>Elbow Horiz</t>
  </si>
  <si>
    <t>Elbow Extended</t>
  </si>
  <si>
    <t>Gripper</t>
  </si>
  <si>
    <t>sweepMinGripper</t>
  </si>
  <si>
    <t>sweepMaxGripper</t>
  </si>
  <si>
    <t>Gripper Min</t>
  </si>
  <si>
    <t>Gripper Max</t>
  </si>
  <si>
    <t>Measured Data</t>
  </si>
  <si>
    <t>Calculated 1st Step</t>
  </si>
  <si>
    <t>Calculated 2nd Step</t>
  </si>
  <si>
    <t>Yello = Hand Adjustment</t>
  </si>
  <si>
    <t>PWM Frequ.</t>
  </si>
  <si>
    <t>50Hz</t>
  </si>
  <si>
    <t>20ms</t>
  </si>
  <si>
    <t>Please make sure you have the proper frequency in the test program (Simple Demo) as well as for the MeArm.py [pwm.setPWMFreq(50)]</t>
  </si>
  <si>
    <t>microSeconds = X</t>
  </si>
  <si>
    <t>PWM Value in microSeconds</t>
  </si>
  <si>
    <t>The values you used in the test program (Simple Demo) to reach the angles of the motors you selected</t>
  </si>
  <si>
    <t>PWM =X/4.88</t>
  </si>
  <si>
    <t>PWM Value sent to Driver Software</t>
  </si>
  <si>
    <t>Conversion of the Simple Demo values to the actual values sent to the driver</t>
  </si>
  <si>
    <t>PWM = angle*gain + zero</t>
  </si>
  <si>
    <t>Rohrschach calibrates the motors with n_min and n_max and then computes a gain and a zero</t>
  </si>
  <si>
    <t>We need to find gain and zero based on two angles and the PWM values that you sent to the motor driver for the two angles. Tow measurements, two unknowns</t>
  </si>
  <si>
    <t>a_range = a_max - a_min</t>
  </si>
  <si>
    <t>Angle range from the angles you choose to find the PWM driver values</t>
  </si>
  <si>
    <t>n_range = gain x a_range</t>
  </si>
  <si>
    <t>From the gains you computed for each motor you can find the n_range</t>
  </si>
  <si>
    <t>n_min = zero +gain * a_min</t>
  </si>
  <si>
    <t>From the gains and zero values you computed you can find the n_min</t>
  </si>
  <si>
    <t>n_max = n_range + n_min</t>
  </si>
  <si>
    <t>Now we have n_min and n_max which are values that you will enter into meArm.py</t>
  </si>
  <si>
    <t>Suggested Angles for calibrating your meArm</t>
  </si>
  <si>
    <t>in the formulas values are in radians, here they are reported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</si>
</sst>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sz val="10.0"/>
      <color rgb="FF212121"/>
      <name val="Arial"/>
    </font>
    <font>
      <sz val="10.0"/>
      <color rgb="FF212121"/>
      <name val="Arial"/>
    </font>
    <font>
      <sz val="11.0"/>
      <color rgb="FF000000"/>
      <name val="Inconsolata"/>
    </font>
    <font>
      <sz val="11.0"/>
      <color rgb="FF212121"/>
      <name val="Lato"/>
    </font>
    <font>
      <sz val="10.0"/>
      <color rgb="FFFFFFFF"/>
      <name val="Arial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</fills>
  <borders count="19">
    <border/>
    <border>
      <right style="thick">
        <color rgb="FF38761D"/>
      </right>
      <bottom style="thick">
        <color rgb="FF38761D"/>
      </bottom>
    </border>
    <border>
      <bottom style="thick">
        <color rgb="FF38761D"/>
      </bottom>
    </border>
    <border>
      <right style="thick">
        <color rgb="FF38761D"/>
      </right>
    </border>
    <border>
      <left style="thick">
        <color rgb="FF38761D"/>
      </left>
      <right style="thick">
        <color rgb="FF38761D"/>
      </right>
      <top style="thick">
        <color rgb="FF38761D"/>
      </top>
    </border>
    <border>
      <left style="thick">
        <color rgb="FF38761D"/>
      </left>
      <right style="thick">
        <color rgb="FF38761D"/>
      </right>
      <top style="thick">
        <color rgb="FF38761D"/>
      </top>
      <bottom style="thick">
        <color rgb="FF38761D"/>
      </bottom>
    </border>
    <border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left style="thick">
        <color rgb="FF38761D"/>
      </left>
      <right style="thick">
        <color rgb="FF38761D"/>
      </right>
    </border>
    <border>
      <left style="thick">
        <color rgb="FF38761D"/>
      </left>
      <top style="thick">
        <color rgb="FF38761D"/>
      </top>
      <bottom style="thick">
        <color rgb="FF38761D"/>
      </bottom>
    </border>
    <border>
      <right style="thick">
        <color rgb="FF38761D"/>
      </right>
      <top style="thick">
        <color rgb="FF38761D"/>
      </top>
      <bottom style="thick">
        <color rgb="FF38761D"/>
      </bottom>
    </border>
    <border>
      <left style="thick">
        <color rgb="FF38761D"/>
      </left>
      <right style="thick">
        <color rgb="FF38761D"/>
      </right>
      <bottom style="thick">
        <color rgb="FF38761D"/>
      </bottom>
    </border>
    <border>
      <left style="thick">
        <color rgb="FF9900FF"/>
      </left>
      <right style="thick">
        <color rgb="FF9900FF"/>
      </right>
      <bottom style="thick">
        <color rgb="FF38761D"/>
      </bottom>
    </border>
    <border>
      <left style="thick">
        <color rgb="FF9900FF"/>
      </left>
      <right style="thick">
        <color rgb="FF38761D"/>
      </right>
      <bottom style="thick">
        <color rgb="FF38761D"/>
      </bottom>
    </border>
    <border>
      <left style="thick">
        <color rgb="FF38761D"/>
      </left>
      <top style="thick">
        <color rgb="FF38761D"/>
      </top>
    </border>
    <border>
      <left style="thick">
        <color rgb="FF38761D"/>
      </left>
    </border>
    <border>
      <left style="thick">
        <color rgb="FF38761D"/>
      </left>
      <bottom style="thick">
        <color rgb="FF38761D"/>
      </bottom>
    </border>
    <border>
      <right style="thick">
        <color rgb="FF00FF00"/>
      </right>
      <top style="thick">
        <color rgb="FF38761D"/>
      </top>
      <bottom style="thick">
        <color rgb="FF38761D"/>
      </bottom>
    </border>
    <border>
      <top style="thick">
        <color rgb="FF38761D"/>
      </top>
      <bottom style="thick">
        <color rgb="FF38761D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2" fontId="2" numFmtId="0" xfId="0" applyAlignment="1" applyBorder="1" applyFont="1">
      <alignment readingOrder="0"/>
    </xf>
    <xf borderId="5" fillId="2" fontId="2" numFmtId="2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3" fontId="0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3" numFmtId="164" xfId="0" applyFont="1" applyNumberFormat="1"/>
    <xf borderId="8" fillId="2" fontId="2" numFmtId="0" xfId="0" applyAlignment="1" applyBorder="1" applyFont="1">
      <alignment readingOrder="0"/>
    </xf>
    <xf borderId="0" fillId="4" fontId="4" numFmtId="1" xfId="0" applyAlignment="1" applyFill="1" applyFont="1" applyNumberFormat="1">
      <alignment readingOrder="0"/>
    </xf>
    <xf borderId="9" fillId="4" fontId="4" numFmtId="1" xfId="0" applyAlignment="1" applyBorder="1" applyFont="1" applyNumberFormat="1">
      <alignment readingOrder="0"/>
    </xf>
    <xf borderId="10" fillId="4" fontId="4" numFmtId="1" xfId="0" applyAlignment="1" applyBorder="1" applyFont="1" applyNumberFormat="1">
      <alignment readingOrder="0"/>
    </xf>
    <xf borderId="0" fillId="0" fontId="2" numFmtId="2" xfId="0" applyFont="1" applyNumberFormat="1"/>
    <xf borderId="11" fillId="2" fontId="2" numFmtId="0" xfId="0" applyAlignment="1" applyBorder="1" applyFont="1">
      <alignment readingOrder="0"/>
    </xf>
    <xf borderId="2" fillId="5" fontId="5" numFmtId="1" xfId="0" applyAlignment="1" applyBorder="1" applyFill="1" applyFont="1" applyNumberFormat="1">
      <alignment readingOrder="0"/>
    </xf>
    <xf borderId="12" fillId="6" fontId="5" numFmtId="1" xfId="0" applyAlignment="1" applyBorder="1" applyFill="1" applyFont="1" applyNumberFormat="1">
      <alignment readingOrder="0"/>
    </xf>
    <xf borderId="13" fillId="6" fontId="5" numFmtId="1" xfId="0" applyAlignment="1" applyBorder="1" applyFont="1" applyNumberFormat="1">
      <alignment readingOrder="0"/>
    </xf>
    <xf borderId="0" fillId="0" fontId="6" numFmtId="164" xfId="0" applyFont="1" applyNumberFormat="1"/>
    <xf borderId="0" fillId="0" fontId="7" numFmtId="0" xfId="0" applyAlignment="1" applyFont="1">
      <alignment readingOrder="0"/>
    </xf>
    <xf borderId="0" fillId="0" fontId="6" numFmtId="0" xfId="0" applyFont="1"/>
    <xf borderId="6" fillId="0" fontId="2" numFmtId="165" xfId="0" applyAlignment="1" applyBorder="1" applyFont="1" applyNumberFormat="1">
      <alignment readingOrder="0"/>
    </xf>
    <xf borderId="14" fillId="0" fontId="2" numFmtId="165" xfId="0" applyAlignment="1" applyBorder="1" applyFont="1" applyNumberFormat="1">
      <alignment readingOrder="0"/>
    </xf>
    <xf borderId="0" fillId="2" fontId="2" numFmtId="0" xfId="0" applyAlignment="1" applyFont="1">
      <alignment readingOrder="0"/>
    </xf>
    <xf borderId="15" fillId="4" fontId="4" numFmtId="1" xfId="0" applyAlignment="1" applyBorder="1" applyFont="1" applyNumberFormat="1">
      <alignment readingOrder="0"/>
    </xf>
    <xf borderId="4" fillId="2" fontId="2" numFmtId="2" xfId="0" applyAlignment="1" applyBorder="1" applyFont="1" applyNumberFormat="1">
      <alignment readingOrder="0"/>
    </xf>
    <xf borderId="16" fillId="5" fontId="5" numFmtId="1" xfId="0" applyAlignment="1" applyBorder="1" applyFont="1" applyNumberFormat="1">
      <alignment readingOrder="0"/>
    </xf>
    <xf borderId="3" fillId="0" fontId="2" numFmtId="0" xfId="0" applyBorder="1" applyFont="1"/>
    <xf borderId="5" fillId="7" fontId="2" numFmtId="0" xfId="0" applyAlignment="1" applyBorder="1" applyFill="1" applyFont="1">
      <alignment readingOrder="0"/>
    </xf>
    <xf borderId="16" fillId="7" fontId="2" numFmtId="0" xfId="0" applyAlignment="1" applyBorder="1" applyFont="1">
      <alignment readingOrder="0"/>
    </xf>
    <xf borderId="2" fillId="7" fontId="2" numFmtId="0" xfId="0" applyBorder="1" applyFont="1"/>
    <xf borderId="1" fillId="7" fontId="2" numFmtId="0" xfId="0" applyBorder="1" applyFont="1"/>
    <xf borderId="9" fillId="5" fontId="2" numFmtId="0" xfId="0" applyAlignment="1" applyBorder="1" applyFont="1">
      <alignment readingOrder="0"/>
    </xf>
    <xf borderId="17" fillId="5" fontId="2" numFmtId="0" xfId="0" applyBorder="1" applyFont="1"/>
    <xf borderId="18" fillId="8" fontId="8" numFmtId="0" xfId="0" applyAlignment="1" applyBorder="1" applyFill="1" applyFont="1">
      <alignment readingOrder="0"/>
    </xf>
    <xf borderId="10" fillId="8" fontId="2" numFmtId="0" xfId="0" applyBorder="1" applyFont="1"/>
    <xf borderId="9" fillId="4" fontId="3" numFmtId="0" xfId="0" applyAlignment="1" applyBorder="1" applyFont="1">
      <alignment readingOrder="0"/>
    </xf>
    <xf borderId="10" fillId="4" fontId="3" numFmtId="0" xfId="0" applyBorder="1" applyFont="1"/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4:J4" display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15.71"/>
    <col customWidth="1" min="3" max="3" width="7.71"/>
    <col customWidth="1" min="4" max="4" width="16.57"/>
    <col customWidth="1" min="5" max="5" width="4.0"/>
    <col customWidth="1" min="6" max="6" width="6.57"/>
    <col customWidth="1" min="7" max="8" width="10.43"/>
    <col customWidth="1" min="9" max="9" width="16.0"/>
    <col customWidth="1" min="10" max="10" width="17.29"/>
    <col customWidth="1" min="11" max="11" width="8.29"/>
    <col customWidth="1" min="12" max="12" width="7.71"/>
    <col customWidth="1" min="13" max="13" width="4.14"/>
    <col customWidth="1" min="14" max="14" width="3.86"/>
    <col customWidth="1" min="15" max="15" width="7.29"/>
    <col customWidth="1" min="16" max="16" width="5.86"/>
    <col customWidth="1" min="17" max="17" width="6.57"/>
    <col customWidth="1" min="18" max="18" width="6.71"/>
    <col customWidth="1" min="19" max="20" width="8.0"/>
    <col customWidth="1" min="21" max="21" width="12.14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4"/>
      <c r="G1" s="3" t="s">
        <v>4</v>
      </c>
      <c r="H1" s="3" t="s">
        <v>5</v>
      </c>
      <c r="I1" s="3" t="s">
        <v>6</v>
      </c>
      <c r="J1" s="3" t="s">
        <v>7</v>
      </c>
      <c r="K1" s="4"/>
      <c r="L1" s="4"/>
      <c r="M1" s="5" t="s">
        <v>8</v>
      </c>
      <c r="N1" s="4"/>
    </row>
    <row r="2">
      <c r="A2" s="1">
        <v>0.0</v>
      </c>
      <c r="B2" s="6" t="s">
        <v>9</v>
      </c>
      <c r="C2" s="7">
        <v>560.0</v>
      </c>
      <c r="D2" s="8" t="str">
        <f t="shared" ref="D2:D10" si="1">FIXED(C2/4.88)</f>
        <v>114.75</v>
      </c>
      <c r="E2" s="8">
        <v>90.0</v>
      </c>
      <c r="F2" s="9">
        <f t="shared" ref="F2:F10" si="2">E2*3.141/180</f>
        <v>1.5705</v>
      </c>
      <c r="G2" s="10" t="s">
        <v>10</v>
      </c>
      <c r="H2" s="10" t="s">
        <v>10</v>
      </c>
      <c r="I2" s="10" t="s">
        <v>11</v>
      </c>
      <c r="J2" s="11" t="s">
        <v>12</v>
      </c>
      <c r="K2" s="5" t="s">
        <v>13</v>
      </c>
      <c r="L2" s="5" t="s">
        <v>14</v>
      </c>
      <c r="M2" s="12">
        <f t="shared" ref="M2:M4" si="3">(F2*G$4 + H$4)</f>
        <v>114.75</v>
      </c>
      <c r="N2" s="13">
        <f t="shared" ref="N2:N10" si="4">D2-M2</f>
        <v>0</v>
      </c>
      <c r="O2" s="14"/>
      <c r="P2" s="14"/>
    </row>
    <row r="3">
      <c r="A3" s="1">
        <v>0.0</v>
      </c>
      <c r="B3" s="6" t="s">
        <v>15</v>
      </c>
      <c r="C3" s="15">
        <v>1465.0</v>
      </c>
      <c r="D3" s="8" t="str">
        <f t="shared" si="1"/>
        <v>300.20</v>
      </c>
      <c r="E3" s="8">
        <v>0.0</v>
      </c>
      <c r="F3" s="9">
        <f t="shared" si="2"/>
        <v>0</v>
      </c>
      <c r="G3" s="16">
        <v>-110.0</v>
      </c>
      <c r="H3" s="16">
        <v>310.0</v>
      </c>
      <c r="I3" s="17">
        <f>H3+G3*F2</f>
        <v>137.245</v>
      </c>
      <c r="J3" s="18">
        <f t="shared" ref="J3:J4" si="5">I3+L3</f>
        <v>482.755</v>
      </c>
      <c r="K3" s="19">
        <f>K4</f>
        <v>-3.141</v>
      </c>
      <c r="L3" s="13">
        <f t="shared" ref="L3:L4" si="6">G3*K3</f>
        <v>345.51</v>
      </c>
      <c r="M3" s="12">
        <f t="shared" si="3"/>
        <v>309.935</v>
      </c>
      <c r="N3" s="13">
        <f t="shared" si="4"/>
        <v>-9.735</v>
      </c>
      <c r="O3" s="14"/>
      <c r="P3" s="14"/>
    </row>
    <row r="4">
      <c r="A4" s="1">
        <v>0.0</v>
      </c>
      <c r="B4" s="6" t="s">
        <v>16</v>
      </c>
      <c r="C4" s="20">
        <v>2465.0</v>
      </c>
      <c r="D4" s="8" t="str">
        <f t="shared" si="1"/>
        <v>505.12</v>
      </c>
      <c r="E4" s="8">
        <v>-90.0</v>
      </c>
      <c r="F4" s="9">
        <f t="shared" si="2"/>
        <v>-1.5705</v>
      </c>
      <c r="G4" s="21">
        <f>((D2-D4)/(F2-F4))</f>
        <v>-124.2820758</v>
      </c>
      <c r="H4" s="21">
        <f>D2-F2*G4</f>
        <v>309.935</v>
      </c>
      <c r="I4" s="22">
        <f>H4+G4*F2</f>
        <v>114.75</v>
      </c>
      <c r="J4" s="23">
        <f t="shared" si="5"/>
        <v>505.12</v>
      </c>
      <c r="K4" s="19">
        <f>F4-F2</f>
        <v>-3.141</v>
      </c>
      <c r="L4" s="13">
        <f t="shared" si="6"/>
        <v>390.37</v>
      </c>
      <c r="M4" s="12">
        <f t="shared" si="3"/>
        <v>505.12</v>
      </c>
      <c r="N4" s="13">
        <f t="shared" si="4"/>
        <v>0</v>
      </c>
      <c r="O4" s="24"/>
      <c r="P4" s="14"/>
      <c r="Q4" s="25"/>
      <c r="R4" s="25"/>
      <c r="T4" s="26"/>
    </row>
    <row r="5">
      <c r="A5" s="1">
        <v>1.0</v>
      </c>
      <c r="B5" s="6" t="s">
        <v>17</v>
      </c>
      <c r="C5" s="7">
        <v>975.0</v>
      </c>
      <c r="D5" s="8" t="str">
        <f t="shared" si="1"/>
        <v>199.80</v>
      </c>
      <c r="E5" s="8">
        <f>50+90</f>
        <v>140</v>
      </c>
      <c r="F5" s="9">
        <f t="shared" si="2"/>
        <v>2.443</v>
      </c>
      <c r="G5" s="27" t="s">
        <v>18</v>
      </c>
      <c r="H5" s="10" t="s">
        <v>18</v>
      </c>
      <c r="I5" s="10" t="s">
        <v>19</v>
      </c>
      <c r="J5" s="11" t="s">
        <v>20</v>
      </c>
      <c r="K5" s="4"/>
      <c r="L5" s="13"/>
      <c r="M5" s="12">
        <f>F5*G$7 + H$7</f>
        <v>199.8</v>
      </c>
      <c r="N5" s="13">
        <f t="shared" si="4"/>
        <v>0</v>
      </c>
      <c r="O5" s="14"/>
      <c r="P5" s="14"/>
    </row>
    <row r="6">
      <c r="A6" s="1">
        <v>1.0</v>
      </c>
      <c r="B6" s="6" t="s">
        <v>21</v>
      </c>
      <c r="C6" s="15">
        <v>1400.0</v>
      </c>
      <c r="D6" s="8" t="str">
        <f t="shared" si="1"/>
        <v>286.89</v>
      </c>
      <c r="E6" s="8">
        <v>90.0</v>
      </c>
      <c r="F6" s="9">
        <f t="shared" si="2"/>
        <v>1.5705</v>
      </c>
      <c r="G6" s="16">
        <v>-110.0</v>
      </c>
      <c r="H6" s="16">
        <v>480.0</v>
      </c>
      <c r="I6" s="17">
        <f>H6+G6*F5</f>
        <v>211.27</v>
      </c>
      <c r="J6" s="18">
        <f t="shared" ref="J6:J7" si="7">I6+L6</f>
        <v>451.2075</v>
      </c>
      <c r="K6" s="19">
        <f>K7</f>
        <v>-2.18125</v>
      </c>
      <c r="L6" s="13">
        <f t="shared" ref="L6:L7" si="8">G6*K6</f>
        <v>239.9375</v>
      </c>
      <c r="M6" s="12">
        <f>(F6*G$7 + H$7)</f>
        <v>300.208</v>
      </c>
      <c r="N6" s="13">
        <f t="shared" si="4"/>
        <v>-13.318</v>
      </c>
      <c r="O6" s="14"/>
      <c r="P6" s="14"/>
    </row>
    <row r="7">
      <c r="A7" s="1">
        <v>1.0</v>
      </c>
      <c r="B7" s="6" t="s">
        <v>22</v>
      </c>
      <c r="C7" s="20">
        <v>2200.0</v>
      </c>
      <c r="D7" s="8" t="str">
        <f t="shared" si="1"/>
        <v>450.82</v>
      </c>
      <c r="E7" s="8">
        <v>15.0</v>
      </c>
      <c r="F7" s="9">
        <f t="shared" si="2"/>
        <v>0.26175</v>
      </c>
      <c r="G7" s="21">
        <f>((D5-D7)/(F5-F7))</f>
        <v>-115.0808023</v>
      </c>
      <c r="H7" s="21">
        <f>D5-F5*G7</f>
        <v>480.9424</v>
      </c>
      <c r="I7" s="22">
        <f>H7+G7*F5</f>
        <v>199.8</v>
      </c>
      <c r="J7" s="23">
        <f t="shared" si="7"/>
        <v>450.82</v>
      </c>
      <c r="K7" s="19">
        <f>F7-F5</f>
        <v>-2.18125</v>
      </c>
      <c r="L7" s="13">
        <f t="shared" si="8"/>
        <v>251.02</v>
      </c>
      <c r="M7" s="12">
        <f>F7*G$7 + H$7</f>
        <v>450.82</v>
      </c>
      <c r="N7" s="13">
        <f t="shared" si="4"/>
        <v>0</v>
      </c>
      <c r="O7" s="24"/>
      <c r="P7" s="14"/>
      <c r="Q7" s="25"/>
      <c r="R7" s="25"/>
      <c r="T7" s="26"/>
    </row>
    <row r="8">
      <c r="A8" s="1">
        <v>14.0</v>
      </c>
      <c r="B8" s="6" t="s">
        <v>23</v>
      </c>
      <c r="C8" s="7">
        <v>2440.0</v>
      </c>
      <c r="D8" s="8" t="str">
        <f t="shared" si="1"/>
        <v>500.00</v>
      </c>
      <c r="E8" s="8">
        <v>8.0</v>
      </c>
      <c r="F8" s="9">
        <f t="shared" si="2"/>
        <v>0.1396</v>
      </c>
      <c r="G8" s="28" t="s">
        <v>24</v>
      </c>
      <c r="H8" s="10" t="s">
        <v>24</v>
      </c>
      <c r="I8" s="10" t="s">
        <v>25</v>
      </c>
      <c r="J8" s="11" t="s">
        <v>26</v>
      </c>
      <c r="K8" s="4"/>
      <c r="L8" s="13"/>
      <c r="M8" s="12">
        <f>F8*G$10 + H$10</f>
        <v>500</v>
      </c>
      <c r="N8" s="13">
        <f t="shared" si="4"/>
        <v>0</v>
      </c>
      <c r="O8" s="14"/>
      <c r="P8" s="14"/>
    </row>
    <row r="9">
      <c r="A9" s="5">
        <v>14.0</v>
      </c>
      <c r="B9" s="6" t="s">
        <v>27</v>
      </c>
      <c r="C9" s="15">
        <v>2415.0</v>
      </c>
      <c r="D9" s="8" t="str">
        <f t="shared" si="1"/>
        <v>494.88</v>
      </c>
      <c r="E9" s="29">
        <v>0.0</v>
      </c>
      <c r="F9" s="9">
        <f t="shared" si="2"/>
        <v>0</v>
      </c>
      <c r="G9" s="30">
        <v>110.0</v>
      </c>
      <c r="H9" s="16">
        <v>480.0</v>
      </c>
      <c r="I9" s="17">
        <f>H9+G9*F8</f>
        <v>495.356</v>
      </c>
      <c r="J9" s="18">
        <f t="shared" ref="J9:J10" si="9">I9+L9</f>
        <v>357.152</v>
      </c>
      <c r="K9" s="19">
        <f>K10</f>
        <v>-1.2564</v>
      </c>
      <c r="L9" s="13">
        <f t="shared" ref="L9:L10" si="10">G9*K9</f>
        <v>-138.204</v>
      </c>
      <c r="M9" s="12">
        <f>(F9*G$10 + H$10)</f>
        <v>483.3788889</v>
      </c>
      <c r="N9" s="13">
        <f t="shared" si="4"/>
        <v>11.50111111</v>
      </c>
      <c r="O9" s="14"/>
      <c r="P9" s="14"/>
    </row>
    <row r="10">
      <c r="A10" s="1">
        <v>14.0</v>
      </c>
      <c r="B10" s="6" t="s">
        <v>28</v>
      </c>
      <c r="C10" s="20">
        <v>1710.0</v>
      </c>
      <c r="D10" s="7" t="str">
        <f t="shared" si="1"/>
        <v>350.41</v>
      </c>
      <c r="E10" s="7">
        <v>-64.0</v>
      </c>
      <c r="F10" s="31">
        <f t="shared" si="2"/>
        <v>-1.1168</v>
      </c>
      <c r="G10" s="32">
        <f>((D8-D10)/(F8-F10))</f>
        <v>119.0624005</v>
      </c>
      <c r="H10" s="21">
        <f>D8-F8*G10</f>
        <v>483.3788889</v>
      </c>
      <c r="I10" s="22">
        <f>H10+G10*F8</f>
        <v>500</v>
      </c>
      <c r="J10" s="23">
        <f t="shared" si="9"/>
        <v>350.41</v>
      </c>
      <c r="K10" s="19">
        <f>F10-F8</f>
        <v>-1.2564</v>
      </c>
      <c r="L10" s="13">
        <f t="shared" si="10"/>
        <v>-149.59</v>
      </c>
      <c r="M10" s="12">
        <f>F10*G$10 + H$10</f>
        <v>350.41</v>
      </c>
      <c r="N10" s="13">
        <f t="shared" si="4"/>
        <v>0</v>
      </c>
      <c r="O10" s="24"/>
      <c r="P10" s="14"/>
      <c r="Q10" s="25"/>
      <c r="R10" s="25"/>
      <c r="T10" s="26"/>
    </row>
    <row r="11">
      <c r="A11" s="1"/>
      <c r="B11" s="6" t="s">
        <v>29</v>
      </c>
      <c r="C11" s="7"/>
      <c r="D11" s="8"/>
      <c r="E11" s="8"/>
      <c r="F11" s="9"/>
      <c r="G11" s="27" t="s">
        <v>29</v>
      </c>
      <c r="H11" s="10" t="s">
        <v>29</v>
      </c>
      <c r="I11" s="10" t="s">
        <v>30</v>
      </c>
      <c r="J11" s="11" t="s">
        <v>31</v>
      </c>
      <c r="K11" s="4"/>
      <c r="L11" s="13"/>
      <c r="M11" s="12"/>
      <c r="N11" s="13"/>
      <c r="O11" s="14"/>
      <c r="P11" s="14"/>
    </row>
    <row r="12">
      <c r="A12" s="1">
        <v>15.0</v>
      </c>
      <c r="B12" s="6" t="s">
        <v>32</v>
      </c>
      <c r="C12" s="15">
        <v>2260.0</v>
      </c>
      <c r="D12" s="8" t="str">
        <f t="shared" ref="D12:D13" si="11">FIXED(C12/4.88)</f>
        <v>463.11</v>
      </c>
      <c r="E12" s="8">
        <v>0.0</v>
      </c>
      <c r="F12" s="9">
        <f t="shared" ref="F12:F13" si="12">E12*3.141/180</f>
        <v>0</v>
      </c>
      <c r="G12" s="16">
        <v>-110.0</v>
      </c>
      <c r="H12" s="16">
        <v>460.0</v>
      </c>
      <c r="I12" s="17">
        <f>H12+G12*F12</f>
        <v>460</v>
      </c>
      <c r="J12" s="18">
        <f t="shared" ref="J12:J13" si="13">I12+L12</f>
        <v>210.465</v>
      </c>
      <c r="K12" s="19">
        <f>K13</f>
        <v>2.2685</v>
      </c>
      <c r="L12" s="13">
        <f t="shared" ref="L12:L13" si="14">G12*K12</f>
        <v>-249.535</v>
      </c>
      <c r="M12" s="12">
        <f>(F12*G$13 + H$13)</f>
        <v>463.11</v>
      </c>
      <c r="N12" s="13">
        <f t="shared" ref="N12:N13" si="15">D12-M12</f>
        <v>0</v>
      </c>
      <c r="O12" s="14"/>
      <c r="P12" s="14"/>
    </row>
    <row r="13">
      <c r="A13" s="1">
        <v>15.0</v>
      </c>
      <c r="B13" s="6" t="s">
        <v>33</v>
      </c>
      <c r="C13" s="20">
        <v>855.0</v>
      </c>
      <c r="D13" s="8" t="str">
        <f t="shared" si="11"/>
        <v>175.20</v>
      </c>
      <c r="E13" s="8">
        <v>130.0</v>
      </c>
      <c r="F13" s="9">
        <f t="shared" si="12"/>
        <v>2.2685</v>
      </c>
      <c r="G13" s="21">
        <f>((D12-D13)/(F12-F13))</f>
        <v>-126.9164646</v>
      </c>
      <c r="H13" s="21">
        <f>D12-F12*G13</f>
        <v>463.11</v>
      </c>
      <c r="I13" s="22">
        <f>H13+G13*F12</f>
        <v>463.11</v>
      </c>
      <c r="J13" s="23">
        <f t="shared" si="13"/>
        <v>175.2</v>
      </c>
      <c r="K13" s="19">
        <f>F13-F12</f>
        <v>2.2685</v>
      </c>
      <c r="L13" s="13">
        <f t="shared" si="14"/>
        <v>-287.91</v>
      </c>
      <c r="M13" s="12">
        <f>F13*G$13 + H$13</f>
        <v>175.2</v>
      </c>
      <c r="N13" s="13">
        <f t="shared" si="15"/>
        <v>0</v>
      </c>
      <c r="O13" s="24"/>
      <c r="P13" s="14"/>
      <c r="Q13" s="25"/>
      <c r="R13" s="25"/>
      <c r="T13" s="26"/>
    </row>
    <row r="14">
      <c r="A14" s="4"/>
      <c r="B14" s="33"/>
      <c r="C14" s="34"/>
      <c r="D14" s="35" t="s">
        <v>34</v>
      </c>
      <c r="E14" s="36"/>
      <c r="F14" s="37"/>
      <c r="G14" s="38" t="s">
        <v>35</v>
      </c>
      <c r="H14" s="39"/>
      <c r="I14" s="40" t="s">
        <v>36</v>
      </c>
      <c r="J14" s="41"/>
      <c r="K14" s="4"/>
      <c r="L14" s="4"/>
      <c r="M14" s="4"/>
      <c r="N14" s="4"/>
    </row>
    <row r="15">
      <c r="G15" s="42" t="s">
        <v>37</v>
      </c>
      <c r="H15" s="43"/>
    </row>
    <row r="16">
      <c r="A16" s="44"/>
      <c r="B16" s="44" t="s">
        <v>38</v>
      </c>
      <c r="C16" s="44"/>
      <c r="D16" s="44" t="s">
        <v>39</v>
      </c>
      <c r="E16" s="44"/>
      <c r="F16" s="44" t="s">
        <v>40</v>
      </c>
      <c r="G16" s="44" t="s">
        <v>41</v>
      </c>
    </row>
    <row r="17">
      <c r="A17" s="44"/>
      <c r="B17" s="44" t="s">
        <v>42</v>
      </c>
      <c r="C17" s="44"/>
      <c r="D17" s="44" t="s">
        <v>43</v>
      </c>
      <c r="G17" s="44" t="s">
        <v>44</v>
      </c>
    </row>
    <row r="18">
      <c r="A18" s="44"/>
      <c r="B18" s="44" t="s">
        <v>45</v>
      </c>
      <c r="C18" s="44"/>
      <c r="D18" s="44" t="s">
        <v>46</v>
      </c>
      <c r="G18" s="44" t="s">
        <v>47</v>
      </c>
    </row>
    <row r="19">
      <c r="A19" s="44"/>
      <c r="B19" s="44" t="s">
        <v>48</v>
      </c>
      <c r="G19" s="44" t="s">
        <v>49</v>
      </c>
    </row>
    <row r="20">
      <c r="G20" s="44" t="s">
        <v>50</v>
      </c>
    </row>
    <row r="21">
      <c r="A21" s="44"/>
      <c r="B21" s="44" t="s">
        <v>51</v>
      </c>
      <c r="G21" s="44" t="s">
        <v>52</v>
      </c>
    </row>
    <row r="22">
      <c r="A22" s="44"/>
      <c r="B22" s="44" t="s">
        <v>53</v>
      </c>
      <c r="G22" s="44" t="s">
        <v>54</v>
      </c>
    </row>
    <row r="23">
      <c r="A23" s="44"/>
      <c r="B23" s="44" t="s">
        <v>55</v>
      </c>
      <c r="G23" s="44" t="s">
        <v>56</v>
      </c>
    </row>
    <row r="24">
      <c r="A24" s="44"/>
      <c r="B24" s="44" t="s">
        <v>57</v>
      </c>
      <c r="G24" s="44" t="s">
        <v>58</v>
      </c>
    </row>
    <row r="26">
      <c r="A26" s="45"/>
      <c r="B26" s="45" t="s">
        <v>59</v>
      </c>
    </row>
    <row r="27">
      <c r="A27" s="44"/>
      <c r="B27" s="45" t="s">
        <v>10</v>
      </c>
      <c r="C27" s="45"/>
      <c r="D27" s="45">
        <v>-90.0</v>
      </c>
      <c r="E27" s="45"/>
      <c r="F27" s="45">
        <v>90.0</v>
      </c>
      <c r="G27" s="44" t="s">
        <v>60</v>
      </c>
    </row>
    <row r="28">
      <c r="A28" s="44"/>
      <c r="B28" s="45" t="s">
        <v>18</v>
      </c>
      <c r="C28" s="45"/>
      <c r="D28" s="45">
        <v>15.0</v>
      </c>
      <c r="E28" s="45"/>
      <c r="F28" s="45">
        <v>140.0</v>
      </c>
      <c r="G28" s="44" t="s">
        <v>60</v>
      </c>
    </row>
    <row r="29">
      <c r="A29" s="44"/>
      <c r="B29" s="45" t="s">
        <v>24</v>
      </c>
      <c r="C29" s="45"/>
      <c r="D29" s="45">
        <v>10.0</v>
      </c>
      <c r="E29" s="45"/>
      <c r="F29" s="45">
        <v>-65.0</v>
      </c>
      <c r="G29" s="44" t="s">
        <v>60</v>
      </c>
    </row>
    <row r="30">
      <c r="A30" s="44"/>
      <c r="B30" s="45" t="s">
        <v>29</v>
      </c>
      <c r="C30" s="45"/>
      <c r="D30" s="45">
        <v>130.0</v>
      </c>
      <c r="E30" s="45"/>
      <c r="F30" s="45">
        <v>0.0</v>
      </c>
      <c r="G30" s="44" t="s">
        <v>60</v>
      </c>
    </row>
  </sheetData>
  <drawing r:id="rId1"/>
  <tableParts count="1">
    <tablePart r:id="rId3"/>
  </tableParts>
</worksheet>
</file>