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5"/>
  </bookViews>
  <sheets>
    <sheet name="propResearch" sheetId="7" r:id="rId1"/>
    <sheet name="특성연구" sheetId="1" r:id="rId2"/>
    <sheet name="부대렙업" sheetId="3" r:id="rId3"/>
    <sheet name="영웅렙업2" sheetId="8" r:id="rId4"/>
    <sheet name="스킬렙업" sheetId="4" r:id="rId5"/>
    <sheet name="propUpgrade" sheetId="5" r:id="rId6"/>
  </sheets>
  <definedNames>
    <definedName name="base">부대렙업!$D$1</definedName>
    <definedName name="base1">스킬렙업!$K$2</definedName>
    <definedName name="base2">스킬렙업!$L$2</definedName>
    <definedName name="sec_per_medal">부대렙업!$M$1</definedName>
  </definedNames>
  <calcPr calcId="152511"/>
</workbook>
</file>

<file path=xl/calcChain.xml><?xml version="1.0" encoding="utf-8"?>
<calcChain xmlns="http://schemas.openxmlformats.org/spreadsheetml/2006/main">
  <c r="C6" i="8" l="1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" i="8"/>
  <c r="E6" i="8" l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" i="8"/>
  <c r="V6" i="4" l="1"/>
  <c r="V7" i="4"/>
  <c r="V8" i="4"/>
  <c r="V9" i="4"/>
  <c r="V10" i="4"/>
  <c r="V11" i="4"/>
  <c r="V12" i="4"/>
  <c r="V13" i="4"/>
  <c r="V5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  <c r="U4" i="4" l="1"/>
  <c r="U6" i="4"/>
  <c r="U7" i="4"/>
  <c r="U8" i="4"/>
  <c r="U9" i="4"/>
  <c r="U10" i="4"/>
  <c r="U11" i="4"/>
  <c r="U12" i="4"/>
  <c r="U13" i="4"/>
  <c r="U5" i="4"/>
  <c r="D20" i="8" l="1"/>
  <c r="D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1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H4" i="4" l="1"/>
  <c r="X26" i="3"/>
  <c r="X30" i="3" s="1"/>
  <c r="Y30" i="3" s="1"/>
  <c r="F10" i="4" l="1"/>
  <c r="G10" i="4" s="1"/>
  <c r="H10" i="4" s="1"/>
  <c r="F12" i="4"/>
  <c r="G12" i="4" s="1"/>
  <c r="H12" i="4" s="1"/>
  <c r="F11" i="4"/>
  <c r="G11" i="4" s="1"/>
  <c r="H11" i="4" s="1"/>
  <c r="X29" i="3"/>
  <c r="Y29" i="3" s="1"/>
  <c r="X28" i="3"/>
  <c r="Y28" i="3" s="1"/>
  <c r="X31" i="3"/>
  <c r="Y31" i="3" s="1"/>
  <c r="F13" i="4" s="1"/>
  <c r="G13" i="4" s="1"/>
  <c r="H13" i="4" s="1"/>
  <c r="D22" i="8"/>
  <c r="U25" i="3"/>
  <c r="U30" i="3" s="1"/>
  <c r="Y22" i="3"/>
  <c r="Y21" i="3"/>
  <c r="Y20" i="3"/>
  <c r="O1" i="3" l="1"/>
  <c r="M11" i="3"/>
  <c r="M12" i="3"/>
  <c r="M13" i="3"/>
  <c r="M10" i="3"/>
  <c r="U28" i="3"/>
  <c r="F6" i="4"/>
  <c r="G6" i="4" s="1"/>
  <c r="H6" i="4" s="1"/>
  <c r="F5" i="4"/>
  <c r="G5" i="4" s="1"/>
  <c r="H5" i="4" s="1"/>
  <c r="U31" i="3"/>
  <c r="F7" i="4"/>
  <c r="G7" i="4" s="1"/>
  <c r="H7" i="4" s="1"/>
  <c r="F8" i="4"/>
  <c r="G8" i="4" s="1"/>
  <c r="H8" i="4" s="1"/>
  <c r="F9" i="4"/>
  <c r="G9" i="4" s="1"/>
  <c r="H9" i="4" s="1"/>
  <c r="U29" i="3"/>
  <c r="C3" i="5"/>
  <c r="C4" i="5"/>
  <c r="C5" i="5"/>
  <c r="C6" i="5"/>
  <c r="C7" i="5"/>
  <c r="C8" i="5"/>
  <c r="C9" i="5"/>
  <c r="C10" i="5"/>
  <c r="C11" i="5"/>
  <c r="C12" i="5"/>
  <c r="C2" i="5"/>
  <c r="M4" i="3" l="1"/>
  <c r="M1" i="3"/>
  <c r="M5" i="3"/>
  <c r="M3" i="3"/>
  <c r="M7" i="3"/>
  <c r="M8" i="3"/>
  <c r="N1" i="3"/>
  <c r="M9" i="3"/>
  <c r="M6" i="3"/>
  <c r="M15" i="3"/>
  <c r="M16" i="3"/>
  <c r="M17" i="3"/>
  <c r="M14" i="3"/>
  <c r="P1" i="3"/>
  <c r="Y6" i="8" l="1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" i="8"/>
  <c r="R31" i="8"/>
  <c r="N2" i="4" l="1"/>
  <c r="K13" i="4"/>
  <c r="M13" i="4" s="1"/>
  <c r="L13" i="4"/>
  <c r="N13" i="4" s="1"/>
  <c r="B6" i="4"/>
  <c r="B7" i="4"/>
  <c r="B8" i="4"/>
  <c r="B9" i="4"/>
  <c r="B10" i="4"/>
  <c r="B11" i="4"/>
  <c r="B12" i="4"/>
  <c r="B13" i="4"/>
  <c r="B5" i="4"/>
  <c r="O4" i="3"/>
  <c r="O5" i="3"/>
  <c r="P5" i="3" s="1"/>
  <c r="Q5" i="3" s="1"/>
  <c r="O6" i="3"/>
  <c r="P6" i="3" s="1"/>
  <c r="Q6" i="3" s="1"/>
  <c r="O11" i="3"/>
  <c r="O12" i="3"/>
  <c r="O17" i="3"/>
  <c r="O3" i="3"/>
  <c r="O9" i="3"/>
  <c r="O13" i="3"/>
  <c r="P13" i="3" s="1"/>
  <c r="Q13" i="3" s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3" i="3"/>
  <c r="F4" i="3"/>
  <c r="F5" i="3"/>
  <c r="F6" i="3"/>
  <c r="F8" i="3"/>
  <c r="F9" i="3"/>
  <c r="F11" i="3"/>
  <c r="F12" i="3"/>
  <c r="F13" i="3"/>
  <c r="F14" i="3"/>
  <c r="F15" i="3"/>
  <c r="F16" i="3"/>
  <c r="F17" i="3"/>
  <c r="F3" i="3"/>
  <c r="O7" i="3"/>
  <c r="O8" i="3"/>
  <c r="O15" i="3"/>
  <c r="O16" i="3"/>
  <c r="D3" i="3" l="1"/>
  <c r="H10" i="3"/>
  <c r="F10" i="3"/>
  <c r="E10" i="3" s="1"/>
  <c r="H7" i="3"/>
  <c r="F7" i="3"/>
  <c r="E7" i="3" s="1"/>
  <c r="H4" i="3"/>
  <c r="E14" i="3"/>
  <c r="H14" i="3"/>
  <c r="E6" i="3"/>
  <c r="H6" i="3"/>
  <c r="E5" i="3"/>
  <c r="H5" i="3"/>
  <c r="H3" i="3"/>
  <c r="H11" i="3"/>
  <c r="E13" i="3"/>
  <c r="H13" i="3"/>
  <c r="H17" i="3"/>
  <c r="H9" i="3"/>
  <c r="E12" i="3"/>
  <c r="H12" i="3"/>
  <c r="E16" i="3"/>
  <c r="H16" i="3"/>
  <c r="H8" i="3"/>
  <c r="E15" i="3"/>
  <c r="H15" i="3"/>
  <c r="E3" i="3"/>
  <c r="O14" i="3"/>
  <c r="P14" i="3" s="1"/>
  <c r="Q14" i="3" s="1"/>
  <c r="E11" i="3"/>
  <c r="E4" i="3"/>
  <c r="O10" i="3"/>
  <c r="P10" i="3" s="1"/>
  <c r="Q10" i="3" s="1"/>
  <c r="E17" i="3"/>
  <c r="E9" i="3"/>
  <c r="E8" i="3"/>
  <c r="P3" i="3"/>
  <c r="Q3" i="3" s="1"/>
  <c r="P4" i="3"/>
  <c r="Q4" i="3" s="1"/>
  <c r="P12" i="3"/>
  <c r="Q12" i="3" s="1"/>
  <c r="P11" i="3"/>
  <c r="Q11" i="3" s="1"/>
  <c r="P15" i="3"/>
  <c r="Q15" i="3" s="1"/>
  <c r="P8" i="3"/>
  <c r="Q8" i="3" s="1"/>
  <c r="P7" i="3"/>
  <c r="Q7" i="3" s="1"/>
  <c r="P16" i="3"/>
  <c r="Q16" i="3" s="1"/>
  <c r="P9" i="3"/>
  <c r="Q9" i="3" s="1"/>
  <c r="P17" i="3"/>
  <c r="Q17" i="3" s="1"/>
  <c r="S17" i="8" l="1"/>
  <c r="H6" i="8"/>
  <c r="O10" i="8"/>
  <c r="H12" i="8"/>
  <c r="M13" i="8"/>
  <c r="L14" i="8"/>
  <c r="O22" i="8"/>
  <c r="K28" i="8"/>
  <c r="G30" i="8"/>
  <c r="L36" i="8"/>
  <c r="H38" i="8"/>
  <c r="L44" i="8"/>
  <c r="H46" i="8"/>
  <c r="K52" i="8"/>
  <c r="H54" i="8"/>
  <c r="G5" i="8"/>
  <c r="L48" i="8"/>
  <c r="K48" i="8"/>
  <c r="L32" i="8"/>
  <c r="K32" i="8"/>
  <c r="H26" i="8"/>
  <c r="G26" i="8"/>
  <c r="L24" i="8"/>
  <c r="K24" i="8"/>
  <c r="H24" i="8"/>
  <c r="O18" i="8"/>
  <c r="L18" i="8"/>
  <c r="N9" i="8"/>
  <c r="L8" i="8"/>
  <c r="J8" i="8"/>
  <c r="O5" i="8"/>
  <c r="N5" i="8"/>
  <c r="I5" i="8"/>
  <c r="N13" i="8" l="1"/>
  <c r="L10" i="8"/>
  <c r="F13" i="8"/>
  <c r="L6" i="8"/>
  <c r="K44" i="8"/>
  <c r="L52" i="8"/>
  <c r="G38" i="8"/>
  <c r="O14" i="8"/>
  <c r="L38" i="8"/>
  <c r="L28" i="8"/>
  <c r="M5" i="8"/>
  <c r="H14" i="8"/>
  <c r="H28" i="8"/>
  <c r="O38" i="8"/>
  <c r="F5" i="8"/>
  <c r="N6" i="8"/>
  <c r="J13" i="8"/>
  <c r="J20" i="8"/>
  <c r="I20" i="8"/>
  <c r="O20" i="8"/>
  <c r="G20" i="8"/>
  <c r="N20" i="8"/>
  <c r="F20" i="8"/>
  <c r="M20" i="8"/>
  <c r="N34" i="8"/>
  <c r="F34" i="8"/>
  <c r="M34" i="8"/>
  <c r="K34" i="8"/>
  <c r="J34" i="8"/>
  <c r="I34" i="8"/>
  <c r="J16" i="8"/>
  <c r="I16" i="8"/>
  <c r="O16" i="8"/>
  <c r="G16" i="8"/>
  <c r="N16" i="8"/>
  <c r="F16" i="8"/>
  <c r="M16" i="8"/>
  <c r="N30" i="8"/>
  <c r="F30" i="8"/>
  <c r="M30" i="8"/>
  <c r="K30" i="8"/>
  <c r="J30" i="8"/>
  <c r="I30" i="8"/>
  <c r="H5" i="8"/>
  <c r="H20" i="8"/>
  <c r="N26" i="8"/>
  <c r="F26" i="8"/>
  <c r="M26" i="8"/>
  <c r="K26" i="8"/>
  <c r="J26" i="8"/>
  <c r="I26" i="8"/>
  <c r="G34" i="8"/>
  <c r="O42" i="8"/>
  <c r="G42" i="8"/>
  <c r="N42" i="8"/>
  <c r="F42" i="8"/>
  <c r="M42" i="8"/>
  <c r="L42" i="8"/>
  <c r="K42" i="8"/>
  <c r="J42" i="8"/>
  <c r="I42" i="8"/>
  <c r="O50" i="8"/>
  <c r="G50" i="8"/>
  <c r="N50" i="8"/>
  <c r="F50" i="8"/>
  <c r="M50" i="8"/>
  <c r="L50" i="8"/>
  <c r="K50" i="8"/>
  <c r="J50" i="8"/>
  <c r="I50" i="8"/>
  <c r="I12" i="8"/>
  <c r="O12" i="8"/>
  <c r="G12" i="8"/>
  <c r="N12" i="8"/>
  <c r="F12" i="8"/>
  <c r="M12" i="8"/>
  <c r="K9" i="8"/>
  <c r="I9" i="8"/>
  <c r="H9" i="8"/>
  <c r="O9" i="8"/>
  <c r="G9" i="8"/>
  <c r="M6" i="8"/>
  <c r="K6" i="8"/>
  <c r="J6" i="8"/>
  <c r="I6" i="8"/>
  <c r="H16" i="8"/>
  <c r="K20" i="8"/>
  <c r="H34" i="8"/>
  <c r="K40" i="8"/>
  <c r="J40" i="8"/>
  <c r="I40" i="8"/>
  <c r="O40" i="8"/>
  <c r="G40" i="8"/>
  <c r="N40" i="8"/>
  <c r="F40" i="8"/>
  <c r="M40" i="8"/>
  <c r="J5" i="8"/>
  <c r="F9" i="8"/>
  <c r="G10" i="8"/>
  <c r="K12" i="8"/>
  <c r="K16" i="8"/>
  <c r="N18" i="8"/>
  <c r="F18" i="8"/>
  <c r="M18" i="8"/>
  <c r="K18" i="8"/>
  <c r="J18" i="8"/>
  <c r="I18" i="8"/>
  <c r="L20" i="8"/>
  <c r="H30" i="8"/>
  <c r="L34" i="8"/>
  <c r="J36" i="8"/>
  <c r="I36" i="8"/>
  <c r="O36" i="8"/>
  <c r="G36" i="8"/>
  <c r="N36" i="8"/>
  <c r="F36" i="8"/>
  <c r="M36" i="8"/>
  <c r="H42" i="8"/>
  <c r="H50" i="8"/>
  <c r="O6" i="8"/>
  <c r="F10" i="8"/>
  <c r="J12" i="8"/>
  <c r="N22" i="8"/>
  <c r="F22" i="8"/>
  <c r="M22" i="8"/>
  <c r="K22" i="8"/>
  <c r="J22" i="8"/>
  <c r="I22" i="8"/>
  <c r="K5" i="8"/>
  <c r="H8" i="8"/>
  <c r="H10" i="8"/>
  <c r="L12" i="8"/>
  <c r="L16" i="8"/>
  <c r="G22" i="8"/>
  <c r="L30" i="8"/>
  <c r="L5" i="8"/>
  <c r="F6" i="8"/>
  <c r="L9" i="8"/>
  <c r="L13" i="8"/>
  <c r="K13" i="8"/>
  <c r="I13" i="8"/>
  <c r="H13" i="8"/>
  <c r="O13" i="8"/>
  <c r="G13" i="8"/>
  <c r="G18" i="8"/>
  <c r="H22" i="8"/>
  <c r="L26" i="8"/>
  <c r="J28" i="8"/>
  <c r="I28" i="8"/>
  <c r="O28" i="8"/>
  <c r="G28" i="8"/>
  <c r="N28" i="8"/>
  <c r="F28" i="8"/>
  <c r="M28" i="8"/>
  <c r="O30" i="8"/>
  <c r="H36" i="8"/>
  <c r="L40" i="8"/>
  <c r="O46" i="8"/>
  <c r="G46" i="8"/>
  <c r="N46" i="8"/>
  <c r="F46" i="8"/>
  <c r="M46" i="8"/>
  <c r="L46" i="8"/>
  <c r="K46" i="8"/>
  <c r="J46" i="8"/>
  <c r="I46" i="8"/>
  <c r="O54" i="8"/>
  <c r="G54" i="8"/>
  <c r="N54" i="8"/>
  <c r="F54" i="8"/>
  <c r="M54" i="8"/>
  <c r="L54" i="8"/>
  <c r="K54" i="8"/>
  <c r="J54" i="8"/>
  <c r="I54" i="8"/>
  <c r="M10" i="8"/>
  <c r="K10" i="8"/>
  <c r="J10" i="8"/>
  <c r="I10" i="8"/>
  <c r="I8" i="8"/>
  <c r="O8" i="8"/>
  <c r="G8" i="8"/>
  <c r="N8" i="8"/>
  <c r="F8" i="8"/>
  <c r="M8" i="8"/>
  <c r="J9" i="8"/>
  <c r="N14" i="8"/>
  <c r="F14" i="8"/>
  <c r="M14" i="8"/>
  <c r="K14" i="8"/>
  <c r="J14" i="8"/>
  <c r="I14" i="8"/>
  <c r="J32" i="8"/>
  <c r="I32" i="8"/>
  <c r="O32" i="8"/>
  <c r="G32" i="8"/>
  <c r="N32" i="8"/>
  <c r="F32" i="8"/>
  <c r="M32" i="8"/>
  <c r="O34" i="8"/>
  <c r="H40" i="8"/>
  <c r="G6" i="8"/>
  <c r="K8" i="8"/>
  <c r="M9" i="8"/>
  <c r="N10" i="8"/>
  <c r="G14" i="8"/>
  <c r="H18" i="8"/>
  <c r="L22" i="8"/>
  <c r="J24" i="8"/>
  <c r="I24" i="8"/>
  <c r="O24" i="8"/>
  <c r="G24" i="8"/>
  <c r="N24" i="8"/>
  <c r="F24" i="8"/>
  <c r="M24" i="8"/>
  <c r="O26" i="8"/>
  <c r="H32" i="8"/>
  <c r="K36" i="8"/>
  <c r="N38" i="8"/>
  <c r="F38" i="8"/>
  <c r="M38" i="8"/>
  <c r="K38" i="8"/>
  <c r="J38" i="8"/>
  <c r="I38" i="8"/>
  <c r="M44" i="8"/>
  <c r="M48" i="8"/>
  <c r="M52" i="8"/>
  <c r="F44" i="8"/>
  <c r="N44" i="8"/>
  <c r="F48" i="8"/>
  <c r="N48" i="8"/>
  <c r="F52" i="8"/>
  <c r="N52" i="8"/>
  <c r="G44" i="8"/>
  <c r="O44" i="8"/>
  <c r="G48" i="8"/>
  <c r="O48" i="8"/>
  <c r="G52" i="8"/>
  <c r="O52" i="8"/>
  <c r="H44" i="8"/>
  <c r="H48" i="8"/>
  <c r="H52" i="8"/>
  <c r="I44" i="8"/>
  <c r="I48" i="8"/>
  <c r="I52" i="8"/>
  <c r="J44" i="8"/>
  <c r="J48" i="8"/>
  <c r="J52" i="8"/>
  <c r="B26" i="1"/>
  <c r="G25" i="1"/>
  <c r="A2" i="7"/>
  <c r="M53" i="8" l="1"/>
  <c r="L53" i="8"/>
  <c r="K53" i="8"/>
  <c r="J53" i="8"/>
  <c r="I53" i="8"/>
  <c r="H53" i="8"/>
  <c r="O53" i="8"/>
  <c r="G53" i="8"/>
  <c r="N53" i="8"/>
  <c r="F53" i="8"/>
  <c r="M41" i="8"/>
  <c r="L41" i="8"/>
  <c r="K41" i="8"/>
  <c r="J41" i="8"/>
  <c r="I41" i="8"/>
  <c r="H41" i="8"/>
  <c r="O41" i="8"/>
  <c r="G41" i="8"/>
  <c r="F41" i="8"/>
  <c r="N41" i="8"/>
  <c r="L21" i="8"/>
  <c r="K21" i="8"/>
  <c r="I21" i="8"/>
  <c r="H21" i="8"/>
  <c r="O21" i="8"/>
  <c r="G21" i="8"/>
  <c r="F21" i="8"/>
  <c r="J21" i="8"/>
  <c r="N21" i="8"/>
  <c r="M21" i="8"/>
  <c r="L25" i="8"/>
  <c r="K25" i="8"/>
  <c r="I25" i="8"/>
  <c r="H25" i="8"/>
  <c r="O25" i="8"/>
  <c r="G25" i="8"/>
  <c r="J25" i="8"/>
  <c r="F25" i="8"/>
  <c r="M25" i="8"/>
  <c r="N25" i="8"/>
  <c r="H19" i="8"/>
  <c r="O19" i="8"/>
  <c r="G19" i="8"/>
  <c r="M19" i="8"/>
  <c r="L19" i="8"/>
  <c r="K19" i="8"/>
  <c r="N19" i="8"/>
  <c r="J19" i="8"/>
  <c r="I19" i="8"/>
  <c r="F19" i="8"/>
  <c r="H31" i="8"/>
  <c r="O31" i="8"/>
  <c r="G31" i="8"/>
  <c r="M31" i="8"/>
  <c r="L31" i="8"/>
  <c r="K31" i="8"/>
  <c r="F31" i="8"/>
  <c r="N31" i="8"/>
  <c r="J31" i="8"/>
  <c r="I31" i="8"/>
  <c r="H39" i="8"/>
  <c r="O39" i="8"/>
  <c r="G39" i="8"/>
  <c r="M39" i="8"/>
  <c r="L39" i="8"/>
  <c r="K39" i="8"/>
  <c r="I39" i="8"/>
  <c r="F39" i="8"/>
  <c r="N39" i="8"/>
  <c r="J39" i="8"/>
  <c r="I43" i="8"/>
  <c r="H43" i="8"/>
  <c r="O43" i="8"/>
  <c r="G43" i="8"/>
  <c r="N43" i="8"/>
  <c r="F43" i="8"/>
  <c r="M43" i="8"/>
  <c r="L43" i="8"/>
  <c r="K43" i="8"/>
  <c r="J43" i="8"/>
  <c r="I47" i="8"/>
  <c r="H47" i="8"/>
  <c r="O47" i="8"/>
  <c r="G47" i="8"/>
  <c r="N47" i="8"/>
  <c r="F47" i="8"/>
  <c r="M47" i="8"/>
  <c r="L47" i="8"/>
  <c r="K47" i="8"/>
  <c r="J47" i="8"/>
  <c r="H15" i="8"/>
  <c r="O15" i="8"/>
  <c r="G15" i="8"/>
  <c r="M15" i="8"/>
  <c r="L15" i="8"/>
  <c r="K15" i="8"/>
  <c r="N15" i="8"/>
  <c r="J15" i="8"/>
  <c r="I15" i="8"/>
  <c r="F15" i="8"/>
  <c r="L29" i="8"/>
  <c r="K29" i="8"/>
  <c r="I29" i="8"/>
  <c r="H29" i="8"/>
  <c r="O29" i="8"/>
  <c r="G29" i="8"/>
  <c r="N29" i="8"/>
  <c r="M29" i="8"/>
  <c r="F29" i="8"/>
  <c r="J29" i="8"/>
  <c r="M49" i="8"/>
  <c r="L49" i="8"/>
  <c r="K49" i="8"/>
  <c r="J49" i="8"/>
  <c r="I49" i="8"/>
  <c r="H49" i="8"/>
  <c r="O49" i="8"/>
  <c r="G49" i="8"/>
  <c r="N49" i="8"/>
  <c r="F49" i="8"/>
  <c r="I51" i="8"/>
  <c r="H51" i="8"/>
  <c r="O51" i="8"/>
  <c r="G51" i="8"/>
  <c r="N51" i="8"/>
  <c r="F51" i="8"/>
  <c r="M51" i="8"/>
  <c r="L51" i="8"/>
  <c r="K51" i="8"/>
  <c r="J51" i="8"/>
  <c r="O7" i="8"/>
  <c r="G7" i="8"/>
  <c r="M7" i="8"/>
  <c r="L7" i="8"/>
  <c r="K7" i="8"/>
  <c r="J7" i="8"/>
  <c r="I7" i="8"/>
  <c r="H7" i="8"/>
  <c r="F7" i="8"/>
  <c r="N7" i="8"/>
  <c r="L17" i="8"/>
  <c r="K17" i="8"/>
  <c r="I17" i="8"/>
  <c r="H17" i="8"/>
  <c r="O17" i="8"/>
  <c r="G17" i="8"/>
  <c r="F17" i="8"/>
  <c r="N17" i="8"/>
  <c r="M17" i="8"/>
  <c r="J17" i="8"/>
  <c r="L37" i="8"/>
  <c r="K37" i="8"/>
  <c r="I37" i="8"/>
  <c r="H37" i="8"/>
  <c r="O37" i="8"/>
  <c r="G37" i="8"/>
  <c r="M37" i="8"/>
  <c r="N37" i="8"/>
  <c r="J37" i="8"/>
  <c r="F37" i="8"/>
  <c r="H23" i="8"/>
  <c r="O23" i="8"/>
  <c r="G23" i="8"/>
  <c r="M23" i="8"/>
  <c r="L23" i="8"/>
  <c r="K23" i="8"/>
  <c r="N23" i="8"/>
  <c r="J23" i="8"/>
  <c r="I23" i="8"/>
  <c r="F23" i="8"/>
  <c r="H35" i="8"/>
  <c r="O35" i="8"/>
  <c r="G35" i="8"/>
  <c r="M35" i="8"/>
  <c r="L35" i="8"/>
  <c r="K35" i="8"/>
  <c r="I35" i="8"/>
  <c r="F35" i="8"/>
  <c r="N35" i="8"/>
  <c r="J35" i="8"/>
  <c r="M45" i="8"/>
  <c r="L45" i="8"/>
  <c r="K45" i="8"/>
  <c r="J45" i="8"/>
  <c r="I45" i="8"/>
  <c r="H45" i="8"/>
  <c r="O45" i="8"/>
  <c r="G45" i="8"/>
  <c r="N45" i="8"/>
  <c r="F45" i="8"/>
  <c r="L33" i="8"/>
  <c r="K33" i="8"/>
  <c r="I33" i="8"/>
  <c r="H33" i="8"/>
  <c r="O33" i="8"/>
  <c r="G33" i="8"/>
  <c r="N33" i="8"/>
  <c r="J33" i="8"/>
  <c r="M33" i="8"/>
  <c r="F33" i="8"/>
  <c r="O11" i="8"/>
  <c r="G11" i="8"/>
  <c r="M11" i="8"/>
  <c r="L11" i="8"/>
  <c r="K11" i="8"/>
  <c r="J11" i="8"/>
  <c r="N11" i="8"/>
  <c r="H11" i="8"/>
  <c r="I11" i="8"/>
  <c r="F11" i="8"/>
  <c r="H27" i="8"/>
  <c r="O27" i="8"/>
  <c r="G27" i="8"/>
  <c r="M27" i="8"/>
  <c r="L27" i="8"/>
  <c r="K27" i="8"/>
  <c r="N27" i="8"/>
  <c r="J27" i="8"/>
  <c r="I27" i="8"/>
  <c r="F27" i="8"/>
  <c r="K5" i="4"/>
  <c r="M5" i="4" s="1"/>
  <c r="B31" i="1" l="1"/>
  <c r="B52" i="1" l="1"/>
  <c r="G24" i="1" l="1"/>
  <c r="H24" i="1"/>
  <c r="I24" i="1" s="1"/>
  <c r="J24" i="1" s="1"/>
  <c r="K24" i="1" s="1"/>
  <c r="H25" i="1" l="1"/>
  <c r="I25" i="1" s="1"/>
  <c r="J25" i="1" s="1"/>
  <c r="B2" i="7"/>
  <c r="C2" i="7"/>
  <c r="D2" i="7"/>
  <c r="E2" i="7"/>
  <c r="F2" i="7"/>
  <c r="A3" i="7"/>
  <c r="B3" i="7"/>
  <c r="C3" i="7"/>
  <c r="D3" i="7"/>
  <c r="E3" i="7"/>
  <c r="F3" i="7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G8" i="7"/>
  <c r="L8" i="7"/>
  <c r="A9" i="7"/>
  <c r="B9" i="7"/>
  <c r="A10" i="7"/>
  <c r="B10" i="7"/>
  <c r="A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A19" i="7"/>
  <c r="B19" i="7"/>
  <c r="G19" i="7"/>
  <c r="A20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B23" i="7"/>
  <c r="B1" i="7"/>
  <c r="C1" i="7"/>
  <c r="D1" i="7"/>
  <c r="E1" i="7"/>
  <c r="F1" i="7"/>
  <c r="A1" i="7"/>
  <c r="C31" i="1"/>
  <c r="D31" i="1" s="1"/>
  <c r="M31" i="1"/>
  <c r="L25" i="1"/>
  <c r="M24" i="1"/>
  <c r="N24" i="1" s="1"/>
  <c r="L24" i="1"/>
  <c r="C16" i="1"/>
  <c r="B18" i="1"/>
  <c r="B19" i="1" s="1"/>
  <c r="B20" i="1" s="1"/>
  <c r="B17" i="1"/>
  <c r="I22" i="7" l="1"/>
  <c r="H22" i="7"/>
  <c r="K25" i="1"/>
  <c r="K22" i="7" s="1"/>
  <c r="J22" i="7"/>
  <c r="G23" i="7"/>
  <c r="E31" i="1"/>
  <c r="M25" i="1" l="1"/>
  <c r="N25" i="1" s="1"/>
  <c r="H26" i="1"/>
  <c r="I26" i="1" s="1"/>
  <c r="F31" i="1"/>
  <c r="K6" i="4"/>
  <c r="M6" i="4" s="1"/>
  <c r="O6" i="4"/>
  <c r="Q6" i="4" s="1"/>
  <c r="P6" i="4"/>
  <c r="R6" i="4" s="1"/>
  <c r="S6" i="4"/>
  <c r="K7" i="4"/>
  <c r="M7" i="4" s="1"/>
  <c r="O7" i="4"/>
  <c r="Q7" i="4" s="1"/>
  <c r="P7" i="4"/>
  <c r="R7" i="4" s="1"/>
  <c r="S7" i="4"/>
  <c r="K8" i="4"/>
  <c r="M8" i="4" s="1"/>
  <c r="O8" i="4"/>
  <c r="Q8" i="4" s="1"/>
  <c r="P8" i="4"/>
  <c r="R8" i="4"/>
  <c r="S8" i="4"/>
  <c r="K9" i="4"/>
  <c r="M9" i="4" s="1"/>
  <c r="O9" i="4"/>
  <c r="Q9" i="4" s="1"/>
  <c r="P9" i="4"/>
  <c r="R9" i="4" s="1"/>
  <c r="S9" i="4"/>
  <c r="K10" i="4"/>
  <c r="M10" i="4" s="1"/>
  <c r="O10" i="4"/>
  <c r="Q10" i="4" s="1"/>
  <c r="P10" i="4"/>
  <c r="R10" i="4" s="1"/>
  <c r="S10" i="4"/>
  <c r="K11" i="4"/>
  <c r="M11" i="4" s="1"/>
  <c r="O11" i="4"/>
  <c r="Q11" i="4" s="1"/>
  <c r="P11" i="4"/>
  <c r="R11" i="4" s="1"/>
  <c r="S11" i="4"/>
  <c r="K12" i="4"/>
  <c r="M12" i="4" s="1"/>
  <c r="O12" i="4"/>
  <c r="P12" i="4"/>
  <c r="Q12" i="4"/>
  <c r="R12" i="4"/>
  <c r="S12" i="4"/>
  <c r="O13" i="4"/>
  <c r="Q13" i="4" s="1"/>
  <c r="P13" i="4"/>
  <c r="R13" i="4"/>
  <c r="S13" i="4"/>
  <c r="O5" i="4"/>
  <c r="Q5" i="4" s="1"/>
  <c r="P5" i="4"/>
  <c r="R5" i="4" s="1"/>
  <c r="S5" i="4"/>
  <c r="H23" i="7" l="1"/>
  <c r="J26" i="1"/>
  <c r="I23" i="7"/>
  <c r="K26" i="1" l="1"/>
  <c r="K23" i="7" s="1"/>
  <c r="J23" i="7"/>
  <c r="M26" i="1"/>
  <c r="A3" i="5" l="1"/>
  <c r="A4" i="5"/>
  <c r="A5" i="5"/>
  <c r="A6" i="5"/>
  <c r="A7" i="5"/>
  <c r="A8" i="5"/>
  <c r="A9" i="5"/>
  <c r="A10" i="5"/>
  <c r="A11" i="5"/>
  <c r="A12" i="5"/>
  <c r="P4" i="4" l="1"/>
  <c r="O4" i="4"/>
  <c r="L2" i="4"/>
  <c r="K4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L7" i="4" l="1"/>
  <c r="N7" i="4" s="1"/>
  <c r="L12" i="4"/>
  <c r="N12" i="4" s="1"/>
  <c r="T13" i="4"/>
  <c r="L6" i="4"/>
  <c r="N6" i="4" s="1"/>
  <c r="L11" i="4"/>
  <c r="N11" i="4" s="1"/>
  <c r="L8" i="4"/>
  <c r="N8" i="4" s="1"/>
  <c r="L10" i="4"/>
  <c r="N10" i="4" s="1"/>
  <c r="L9" i="4"/>
  <c r="N9" i="4" s="1"/>
  <c r="L5" i="4"/>
  <c r="N5" i="4" s="1"/>
  <c r="R4" i="4"/>
  <c r="Q4" i="4"/>
  <c r="S4" i="4"/>
  <c r="L4" i="4"/>
  <c r="E51" i="1"/>
  <c r="E50" i="1"/>
  <c r="T9" i="4" l="1"/>
  <c r="T10" i="4"/>
  <c r="T8" i="4"/>
  <c r="N4" i="4"/>
  <c r="T11" i="4"/>
  <c r="T6" i="4"/>
  <c r="T12" i="4"/>
  <c r="T5" i="4"/>
  <c r="T7" i="4"/>
  <c r="T4" i="4"/>
  <c r="C17" i="1"/>
  <c r="C18" i="1" s="1"/>
  <c r="C19" i="1" s="1"/>
  <c r="C20" i="1" s="1"/>
  <c r="E7" i="1"/>
  <c r="F7" i="1"/>
  <c r="F8" i="1" s="1"/>
  <c r="F9" i="1" s="1"/>
  <c r="F10" i="1" s="1"/>
  <c r="E8" i="1"/>
  <c r="E9" i="1" s="1"/>
  <c r="E10" i="1" s="1"/>
  <c r="D7" i="1"/>
  <c r="D8" i="1" s="1"/>
  <c r="D9" i="1" s="1"/>
  <c r="D10" i="1" s="1"/>
  <c r="C7" i="1"/>
  <c r="C8" i="1" s="1"/>
  <c r="C9" i="1" s="1"/>
  <c r="C10" i="1" s="1"/>
  <c r="B7" i="1"/>
  <c r="G4" i="1"/>
  <c r="E4" i="1"/>
  <c r="E3" i="1" s="1"/>
  <c r="F4" i="1"/>
  <c r="F3" i="1" s="1"/>
  <c r="C4" i="1"/>
  <c r="D4" i="1"/>
  <c r="G3" i="1" l="1"/>
  <c r="D16" i="1"/>
  <c r="H4" i="1"/>
  <c r="I4" i="1"/>
  <c r="C24" i="1"/>
  <c r="H3" i="1" l="1"/>
  <c r="I3" i="1"/>
  <c r="D17" i="1"/>
  <c r="D18" i="1" s="1"/>
  <c r="D19" i="1" s="1"/>
  <c r="D20" i="1" s="1"/>
  <c r="E16" i="1"/>
  <c r="J4" i="1"/>
  <c r="D24" i="1"/>
  <c r="J3" i="1" l="1"/>
  <c r="J2" i="1" s="1"/>
  <c r="F16" i="1"/>
  <c r="F17" i="1" s="1"/>
  <c r="F18" i="1" s="1"/>
  <c r="F19" i="1" s="1"/>
  <c r="F20" i="1" s="1"/>
  <c r="E17" i="1"/>
  <c r="E18" i="1" s="1"/>
  <c r="E19" i="1" s="1"/>
  <c r="E20" i="1" s="1"/>
  <c r="K4" i="1"/>
  <c r="E24" i="1"/>
  <c r="K3" i="1" l="1"/>
  <c r="K2" i="1" s="1"/>
  <c r="L4" i="1"/>
  <c r="F24" i="1"/>
  <c r="B25" i="1" s="1"/>
  <c r="C25" i="1" s="1"/>
  <c r="D25" i="1" s="1"/>
  <c r="E25" i="1" s="1"/>
  <c r="F25" i="1" s="1"/>
  <c r="L3" i="1" l="1"/>
  <c r="L2" i="1" s="1"/>
  <c r="L31" i="1"/>
  <c r="N31" i="1" s="1"/>
  <c r="C26" i="1"/>
  <c r="B27" i="1"/>
  <c r="M4" i="1"/>
  <c r="B28" i="1" l="1"/>
  <c r="B32" i="1"/>
  <c r="M3" i="1"/>
  <c r="M2" i="1" s="1"/>
  <c r="M12" i="1"/>
  <c r="N12" i="1" s="1"/>
  <c r="O12" i="1" s="1"/>
  <c r="P12" i="1" s="1"/>
  <c r="B24" i="7"/>
  <c r="C27" i="1"/>
  <c r="D26" i="1"/>
  <c r="C23" i="7"/>
  <c r="N4" i="1"/>
  <c r="G52" i="1" l="1"/>
  <c r="C32" i="1"/>
  <c r="G33" i="1"/>
  <c r="H28" i="1"/>
  <c r="G25" i="7"/>
  <c r="G32" i="1"/>
  <c r="H27" i="1"/>
  <c r="G24" i="7"/>
  <c r="N3" i="1"/>
  <c r="N2" i="1" s="1"/>
  <c r="C28" i="1"/>
  <c r="B33" i="1"/>
  <c r="C33" i="1" s="1"/>
  <c r="D33" i="1" s="1"/>
  <c r="E33" i="1" s="1"/>
  <c r="F33" i="1" s="1"/>
  <c r="B25" i="7"/>
  <c r="C24" i="7"/>
  <c r="D27" i="1"/>
  <c r="E26" i="1"/>
  <c r="D23" i="7"/>
  <c r="O4" i="1"/>
  <c r="I28" i="1" l="1"/>
  <c r="H25" i="7"/>
  <c r="G34" i="1"/>
  <c r="H33" i="1"/>
  <c r="H32" i="1"/>
  <c r="G53" i="1"/>
  <c r="D32" i="1"/>
  <c r="H24" i="7"/>
  <c r="I27" i="1"/>
  <c r="O3" i="1"/>
  <c r="O2" i="1" s="1"/>
  <c r="E27" i="1"/>
  <c r="D24" i="7"/>
  <c r="B34" i="1"/>
  <c r="F26" i="1"/>
  <c r="F23" i="7" s="1"/>
  <c r="E23" i="7"/>
  <c r="D28" i="1"/>
  <c r="C25" i="7"/>
  <c r="P4" i="1"/>
  <c r="I32" i="1" l="1"/>
  <c r="J27" i="1"/>
  <c r="I24" i="7"/>
  <c r="B35" i="1"/>
  <c r="C34" i="1"/>
  <c r="D34" i="1" s="1"/>
  <c r="E34" i="1" s="1"/>
  <c r="F34" i="1" s="1"/>
  <c r="I33" i="1"/>
  <c r="H34" i="1"/>
  <c r="G35" i="1"/>
  <c r="E32" i="1"/>
  <c r="J28" i="1"/>
  <c r="I25" i="7"/>
  <c r="P3" i="1"/>
  <c r="P2" i="1" s="1"/>
  <c r="E28" i="1"/>
  <c r="D25" i="7"/>
  <c r="F27" i="1"/>
  <c r="F24" i="7" s="1"/>
  <c r="E24" i="7"/>
  <c r="L26" i="1"/>
  <c r="N26" i="1" s="1"/>
  <c r="B38" i="1" l="1"/>
  <c r="C35" i="1"/>
  <c r="D35" i="1" s="1"/>
  <c r="E35" i="1" s="1"/>
  <c r="F35" i="1" s="1"/>
  <c r="F32" i="1"/>
  <c r="G38" i="1"/>
  <c r="H35" i="1"/>
  <c r="K27" i="1"/>
  <c r="J24" i="7"/>
  <c r="I34" i="1"/>
  <c r="K28" i="1"/>
  <c r="K25" i="7" s="1"/>
  <c r="J25" i="7"/>
  <c r="J32" i="1"/>
  <c r="L32" i="1"/>
  <c r="J33" i="1"/>
  <c r="L27" i="1"/>
  <c r="F28" i="1"/>
  <c r="E25" i="7"/>
  <c r="M28" i="1" l="1"/>
  <c r="K32" i="1"/>
  <c r="I35" i="1"/>
  <c r="H38" i="1"/>
  <c r="G39" i="1"/>
  <c r="J34" i="1"/>
  <c r="K33" i="1"/>
  <c r="K24" i="7"/>
  <c r="M27" i="1"/>
  <c r="N27" i="1" s="1"/>
  <c r="C38" i="1"/>
  <c r="B39" i="1"/>
  <c r="F25" i="7"/>
  <c r="L28" i="1"/>
  <c r="N28" i="1" s="1"/>
  <c r="G40" i="1" l="1"/>
  <c r="M33" i="1"/>
  <c r="I38" i="1"/>
  <c r="H39" i="1"/>
  <c r="D38" i="1"/>
  <c r="C39" i="1"/>
  <c r="M32" i="1"/>
  <c r="N32" i="1" s="1"/>
  <c r="B40" i="1"/>
  <c r="J35" i="1"/>
  <c r="K34" i="1"/>
  <c r="L33" i="1"/>
  <c r="N33" i="1" l="1"/>
  <c r="J38" i="1"/>
  <c r="I39" i="1"/>
  <c r="K35" i="1"/>
  <c r="H40" i="1"/>
  <c r="E38" i="1"/>
  <c r="D39" i="1"/>
  <c r="B41" i="1"/>
  <c r="G41" i="1"/>
  <c r="M34" i="1"/>
  <c r="C40" i="1"/>
  <c r="G42" i="1" l="1"/>
  <c r="I40" i="1"/>
  <c r="C41" i="1"/>
  <c r="K38" i="1"/>
  <c r="J39" i="1"/>
  <c r="B42" i="1"/>
  <c r="D40" i="1"/>
  <c r="F38" i="1"/>
  <c r="E39" i="1"/>
  <c r="H41" i="1"/>
  <c r="M35" i="1"/>
  <c r="F39" i="1" l="1"/>
  <c r="L38" i="1"/>
  <c r="E40" i="1"/>
  <c r="C42" i="1"/>
  <c r="D41" i="1"/>
  <c r="I41" i="1"/>
  <c r="K39" i="1"/>
  <c r="M38" i="1"/>
  <c r="H42" i="1"/>
  <c r="J40" i="1"/>
  <c r="E41" i="1" l="1"/>
  <c r="N38" i="1"/>
  <c r="M39" i="1"/>
  <c r="K40" i="1"/>
  <c r="I42" i="1"/>
  <c r="D42" i="1"/>
  <c r="J41" i="1"/>
  <c r="L39" i="1"/>
  <c r="N39" i="1" s="1"/>
  <c r="F40" i="1"/>
  <c r="M40" i="1" l="1"/>
  <c r="K41" i="1"/>
  <c r="L40" i="1"/>
  <c r="F41" i="1"/>
  <c r="J42" i="1"/>
  <c r="E42" i="1"/>
  <c r="L34" i="1"/>
  <c r="N34" i="1" s="1"/>
  <c r="L41" i="1" l="1"/>
  <c r="F42" i="1"/>
  <c r="N40" i="1"/>
  <c r="L42" i="1"/>
  <c r="M41" i="1"/>
  <c r="K42" i="1"/>
  <c r="M42" i="1" l="1"/>
  <c r="N42" i="1" s="1"/>
  <c r="N41" i="1"/>
  <c r="L35" i="1" l="1"/>
  <c r="N35" i="1" s="1"/>
  <c r="G4" i="4" l="1"/>
</calcChain>
</file>

<file path=xl/comments1.xml><?xml version="1.0" encoding="utf-8"?>
<comments xmlns="http://schemas.openxmlformats.org/spreadsheetml/2006/main">
  <authors>
    <author>만든 이</author>
  </authors>
  <commentList>
    <comment ref="B31" authorId="0" shapeId="0">
      <text>
        <r>
          <rPr>
            <b/>
            <sz val="9"/>
            <color indexed="81"/>
            <rFont val="돋움"/>
            <family val="3"/>
            <charset val="129"/>
          </rPr>
          <t>중형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나왔으므로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가격좀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낮춰줌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A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영웅레벨로 하면 1렙때 최대한 자원끌어모아 한번에 훈련시키는게 낫기땜에 편법이 생긴다. 계정레벨로 하면 과금러들한테 유리하다 군주레벨이 오르기전에 캐쉬로 훈련을 빨리 빨리 종료시키면 자원이 적게 드니까.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기본값</t>
        </r>
      </text>
    </comment>
    <comment ref="M2" authorId="0" shapeId="0">
      <text>
        <r>
          <rPr>
            <b/>
            <sz val="9"/>
            <color indexed="81"/>
            <rFont val="돋움"/>
            <family val="3"/>
            <charset val="129"/>
          </rPr>
          <t>기본값</t>
        </r>
      </text>
    </comment>
  </commentList>
</comments>
</file>

<file path=xl/sharedStrings.xml><?xml version="1.0" encoding="utf-8"?>
<sst xmlns="http://schemas.openxmlformats.org/spreadsheetml/2006/main" count="162" uniqueCount="122">
  <si>
    <t>//</t>
    <phoneticPr fontId="2" type="noConversion"/>
  </si>
  <si>
    <t>// 소형</t>
    <phoneticPr fontId="2" type="noConversion"/>
  </si>
  <si>
    <t>// 중형</t>
    <phoneticPr fontId="2" type="noConversion"/>
  </si>
  <si>
    <t>// 대형</t>
    <phoneticPr fontId="2" type="noConversion"/>
  </si>
  <si>
    <t>연구시간(초)</t>
    <phoneticPr fontId="2" type="noConversion"/>
  </si>
  <si>
    <t>//</t>
    <phoneticPr fontId="2" type="noConversion"/>
  </si>
  <si>
    <t xml:space="preserve">// </t>
    <phoneticPr fontId="2" type="noConversion"/>
  </si>
  <si>
    <t>오픈레벨</t>
    <phoneticPr fontId="2" type="noConversion"/>
  </si>
  <si>
    <t>// 특성포인트</t>
    <phoneticPr fontId="2" type="noConversion"/>
  </si>
  <si>
    <t>//</t>
    <phoneticPr fontId="2" type="noConversion"/>
  </si>
  <si>
    <t>필요금화</t>
    <phoneticPr fontId="2" type="noConversion"/>
  </si>
  <si>
    <t>//소형</t>
    <phoneticPr fontId="3" type="noConversion"/>
  </si>
  <si>
    <t>//중형</t>
    <phoneticPr fontId="3" type="noConversion"/>
  </si>
  <si>
    <t>//대형</t>
    <phoneticPr fontId="3" type="noConversion"/>
  </si>
  <si>
    <t>// 필요 자원</t>
    <phoneticPr fontId="2" type="noConversion"/>
  </si>
  <si>
    <t>시간</t>
    <phoneticPr fontId="2" type="noConversion"/>
  </si>
  <si>
    <t>분</t>
    <phoneticPr fontId="2" type="noConversion"/>
  </si>
  <si>
    <t>일</t>
    <phoneticPr fontId="2" type="noConversion"/>
  </si>
  <si>
    <t>초</t>
    <phoneticPr fontId="2" type="noConversion"/>
  </si>
  <si>
    <t>분</t>
    <phoneticPr fontId="2" type="noConversion"/>
  </si>
  <si>
    <t>일</t>
    <phoneticPr fontId="2" type="noConversion"/>
  </si>
  <si>
    <t>//</t>
    <phoneticPr fontId="2" type="noConversion"/>
  </si>
  <si>
    <t>목재</t>
    <phoneticPr fontId="2" type="noConversion"/>
  </si>
  <si>
    <t>철</t>
    <phoneticPr fontId="2" type="noConversion"/>
  </si>
  <si>
    <t>까마귀</t>
    <phoneticPr fontId="2" type="noConversion"/>
  </si>
  <si>
    <t>강철군주</t>
    <phoneticPr fontId="2" type="noConversion"/>
  </si>
  <si>
    <t>자유동맹</t>
    <phoneticPr fontId="2" type="noConversion"/>
  </si>
  <si>
    <t>고대문명</t>
    <phoneticPr fontId="2" type="noConversion"/>
  </si>
  <si>
    <t>불꽃</t>
    <phoneticPr fontId="2" type="noConversion"/>
  </si>
  <si>
    <t>기본값</t>
    <phoneticPr fontId="2" type="noConversion"/>
  </si>
  <si>
    <t>부대레벨</t>
    <phoneticPr fontId="2" type="noConversion"/>
  </si>
  <si>
    <t>보석</t>
    <phoneticPr fontId="2" type="noConversion"/>
  </si>
  <si>
    <t>제곱상수</t>
    <phoneticPr fontId="2" type="noConversion"/>
  </si>
  <si>
    <t>스킬레벨별 필요자원</t>
    <phoneticPr fontId="2" type="noConversion"/>
  </si>
  <si>
    <t>스킬레벨</t>
    <phoneticPr fontId="2" type="noConversion"/>
  </si>
  <si>
    <t>유황</t>
    <phoneticPr fontId="2" type="noConversion"/>
  </si>
  <si>
    <t>만드레이크</t>
    <phoneticPr fontId="2" type="noConversion"/>
  </si>
  <si>
    <t>비율</t>
    <phoneticPr fontId="2" type="noConversion"/>
  </si>
  <si>
    <t>금화환산합계</t>
    <phoneticPr fontId="2" type="noConversion"/>
  </si>
  <si>
    <t>1:0.6 = 금화3</t>
    <phoneticPr fontId="2" type="noConversion"/>
  </si>
  <si>
    <t>1을 유/만 비율로 나눔</t>
    <phoneticPr fontId="2" type="noConversion"/>
  </si>
  <si>
    <t>제곱상수 적용</t>
    <phoneticPr fontId="2" type="noConversion"/>
  </si>
  <si>
    <t>금화환산</t>
    <phoneticPr fontId="2" type="noConversion"/>
  </si>
  <si>
    <t>//*추가로 영웅등급별로 더곱한다</t>
    <phoneticPr fontId="2" type="noConversion"/>
  </si>
  <si>
    <t>//스킬레벨업</t>
    <phoneticPr fontId="2" type="noConversion"/>
  </si>
  <si>
    <t>훈련시간(초)</t>
    <phoneticPr fontId="2" type="noConversion"/>
  </si>
  <si>
    <t>보석1</t>
    <phoneticPr fontId="2" type="noConversion"/>
  </si>
  <si>
    <t>금화2</t>
    <phoneticPr fontId="2" type="noConversion"/>
  </si>
  <si>
    <t>유황1</t>
    <phoneticPr fontId="2" type="noConversion"/>
  </si>
  <si>
    <t>금화3</t>
    <phoneticPr fontId="2" type="noConversion"/>
  </si>
  <si>
    <t>// tier</t>
    <phoneticPr fontId="2" type="noConversion"/>
  </si>
  <si>
    <t>// tier</t>
    <phoneticPr fontId="2" type="noConversion"/>
  </si>
  <si>
    <t>tier1:목재/철</t>
    <phoneticPr fontId="2" type="noConversion"/>
  </si>
  <si>
    <t>tier2:목재/철</t>
    <phoneticPr fontId="2" type="noConversion"/>
  </si>
  <si>
    <t>tier3:보석</t>
    <phoneticPr fontId="2" type="noConversion"/>
  </si>
  <si>
    <t>tier4:유황</t>
    <phoneticPr fontId="2" type="noConversion"/>
  </si>
  <si>
    <t>tier5:만드레이크</t>
    <phoneticPr fontId="2" type="noConversion"/>
  </si>
  <si>
    <t xml:space="preserve">단위자원 </t>
    <phoneticPr fontId="2" type="noConversion"/>
  </si>
  <si>
    <t>목재</t>
    <phoneticPr fontId="2" type="noConversion"/>
  </si>
  <si>
    <t>철</t>
    <phoneticPr fontId="2" type="noConversion"/>
  </si>
  <si>
    <t>전투당 경험치</t>
    <phoneticPr fontId="2" type="noConversion"/>
  </si>
  <si>
    <t>전투당 획득자원</t>
    <phoneticPr fontId="2" type="noConversion"/>
  </si>
  <si>
    <t>성</t>
    <phoneticPr fontId="2" type="noConversion"/>
  </si>
  <si>
    <t>npc</t>
    <phoneticPr fontId="2" type="noConversion"/>
  </si>
  <si>
    <t>기타</t>
    <phoneticPr fontId="2" type="noConversion"/>
  </si>
  <si>
    <t>(기준치)</t>
    <phoneticPr fontId="2" type="noConversion"/>
  </si>
  <si>
    <t>50,000/50,000</t>
    <phoneticPr fontId="2" type="noConversion"/>
  </si>
  <si>
    <t>시간당 획득경험치</t>
    <phoneticPr fontId="2" type="noConversion"/>
  </si>
  <si>
    <t>시간당 획득자원</t>
    <phoneticPr fontId="2" type="noConversion"/>
  </si>
  <si>
    <t>계정레벨에 따라 얻는 자원양이 다르므로 단위자원양도 조금씩 더 커지게 한다.</t>
    <phoneticPr fontId="2" type="noConversion"/>
  </si>
  <si>
    <t>계정레벨</t>
    <phoneticPr fontId="2" type="noConversion"/>
  </si>
  <si>
    <t>//영웅 훈련시 자원소모</t>
    <phoneticPr fontId="2" type="noConversion"/>
  </si>
  <si>
    <t>메달별 필요 자원과 시간</t>
    <phoneticPr fontId="2" type="noConversion"/>
  </si>
  <si>
    <t>메달레벨</t>
    <phoneticPr fontId="2" type="noConversion"/>
  </si>
  <si>
    <t>필요개수</t>
    <phoneticPr fontId="2" type="noConversion"/>
  </si>
  <si>
    <t>메달당보석</t>
    <phoneticPr fontId="2" type="noConversion"/>
  </si>
  <si>
    <t>메달당훈련시간</t>
    <phoneticPr fontId="2" type="noConversion"/>
  </si>
  <si>
    <t>합산 초</t>
    <phoneticPr fontId="2" type="noConversion"/>
  </si>
  <si>
    <t>합산(분)</t>
    <phoneticPr fontId="2" type="noConversion"/>
  </si>
  <si>
    <t>합산 시간(시간)</t>
    <phoneticPr fontId="2" type="noConversion"/>
  </si>
  <si>
    <t>합산 보석</t>
    <phoneticPr fontId="2" type="noConversion"/>
  </si>
  <si>
    <t>분</t>
    <phoneticPr fontId="2" type="noConversion"/>
  </si>
  <si>
    <t>필요 개수</t>
    <phoneticPr fontId="2" type="noConversion"/>
  </si>
  <si>
    <t>합산 시간</t>
    <phoneticPr fontId="2" type="noConversion"/>
  </si>
  <si>
    <t>보옥당 훈련시간(초)</t>
    <phoneticPr fontId="2" type="noConversion"/>
  </si>
  <si>
    <t>합산 필요 자원양</t>
    <phoneticPr fontId="2" type="noConversion"/>
  </si>
  <si>
    <t>보옥당 자원양</t>
    <phoneticPr fontId="2" type="noConversion"/>
  </si>
  <si>
    <t>훈련시간당 자원총량</t>
    <phoneticPr fontId="2" type="noConversion"/>
  </si>
  <si>
    <t>//스킬레벨</t>
    <phoneticPr fontId="2" type="noConversion"/>
  </si>
  <si>
    <t>보옥 등급</t>
    <phoneticPr fontId="2" type="noConversion"/>
  </si>
  <si>
    <t>영웅렙제한</t>
    <phoneticPr fontId="2" type="noConversion"/>
  </si>
  <si>
    <t>영웅 레벨 제한</t>
  </si>
  <si>
    <t>1-14</t>
    <phoneticPr fontId="2" type="noConversion"/>
  </si>
  <si>
    <t>15-19</t>
    <phoneticPr fontId="2" type="noConversion"/>
  </si>
  <si>
    <t>20-29</t>
    <phoneticPr fontId="2" type="noConversion"/>
  </si>
  <si>
    <t>30-39</t>
    <phoneticPr fontId="2" type="noConversion"/>
  </si>
  <si>
    <t>10회 전투</t>
    <phoneticPr fontId="2" type="noConversion"/>
  </si>
  <si>
    <t>1회전투</t>
    <phoneticPr fontId="2" type="noConversion"/>
  </si>
  <si>
    <t>1분</t>
    <phoneticPr fontId="2" type="noConversion"/>
  </si>
  <si>
    <t>7회에서 메달</t>
    <phoneticPr fontId="2" type="noConversion"/>
  </si>
  <si>
    <t>3회에서 보옥</t>
    <phoneticPr fontId="2" type="noConversion"/>
  </si>
  <si>
    <t>7회동안 근접메달</t>
    <phoneticPr fontId="2" type="noConversion"/>
  </si>
  <si>
    <t>10분동안 2.33개 꼴로 메달종류한개를 얻음</t>
    <phoneticPr fontId="2" type="noConversion"/>
  </si>
  <si>
    <t>분 동안 1개꼴로 얻음</t>
    <phoneticPr fontId="2" type="noConversion"/>
  </si>
  <si>
    <t>메달종류당 얻는 평균시간</t>
    <phoneticPr fontId="2" type="noConversion"/>
  </si>
  <si>
    <t>등급</t>
    <phoneticPr fontId="2" type="noConversion"/>
  </si>
  <si>
    <t>보옥한개당 얻는시간</t>
    <phoneticPr fontId="2" type="noConversion"/>
  </si>
  <si>
    <t>7회동안 원거리메달</t>
    <phoneticPr fontId="2" type="noConversion"/>
  </si>
  <si>
    <t>7회동안 기사메달</t>
    <phoneticPr fontId="2" type="noConversion"/>
  </si>
  <si>
    <t>등급별확률</t>
    <phoneticPr fontId="2" type="noConversion"/>
  </si>
  <si>
    <t>등급별 얻는시간</t>
    <phoneticPr fontId="2" type="noConversion"/>
  </si>
  <si>
    <t>초</t>
    <phoneticPr fontId="2" type="noConversion"/>
  </si>
  <si>
    <t>합산분</t>
    <phoneticPr fontId="2" type="noConversion"/>
  </si>
  <si>
    <t>책당</t>
    <phoneticPr fontId="2" type="noConversion"/>
  </si>
  <si>
    <t>//계정레벨</t>
    <phoneticPr fontId="2" type="noConversion"/>
  </si>
  <si>
    <t>금화환산</t>
    <phoneticPr fontId="2" type="noConversion"/>
  </si>
  <si>
    <t>유황</t>
    <phoneticPr fontId="2" type="noConversion"/>
  </si>
  <si>
    <t>만드레이크</t>
    <phoneticPr fontId="2" type="noConversion"/>
  </si>
  <si>
    <t>메달당금화</t>
    <phoneticPr fontId="2" type="noConversion"/>
  </si>
  <si>
    <t>보석환산</t>
    <phoneticPr fontId="2" type="noConversion"/>
  </si>
  <si>
    <t>보옥당</t>
    <phoneticPr fontId="2" type="noConversion"/>
  </si>
  <si>
    <t>expMax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</si>
</sst>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43" formatCode="_-* #,##0.00_-;\-* #,##0.00_-;_-* &quot;-&quot;??_-;_-@_-"/>
    <numFmt numFmtId="176" formatCode="0.0_ "/>
    <numFmt numFmtId="177" formatCode="0_);[Red]\(0\)"/>
    <numFmt numFmtId="178" formatCode="#,##0_ "/>
    <numFmt numFmtId="179" formatCode="0.00_ "/>
    <numFmt numFmtId="180" formatCode="#,##0_);[Red]\(#,##0\)"/>
    <numFmt numFmtId="181" formatCode="0_ "/>
    <numFmt numFmtId="182" formatCode="0.00_);[Red]\(0.00\)"/>
    <numFmt numFmtId="183" formatCode="_-* #,##0_-;\-* #,##0_-;_-* &quot;-&quot;??_-;_-@_-"/>
    <numFmt numFmtId="184" formatCode="0.0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 diagonalDown="1">
      <left/>
      <right/>
      <top/>
      <bottom/>
      <diagonal style="thin">
        <color auto="1"/>
      </diagonal>
    </border>
  </borders>
  <cellStyleXfs count="3">
    <xf numFmtId="0" fontId="0" fillId="0" borderId="0"/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99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4" fillId="0" borderId="0" xfId="0" applyNumberFormat="1" applyFont="1"/>
    <xf numFmtId="0" fontId="4" fillId="0" borderId="0" xfId="0" applyFont="1" applyAlignment="1">
      <alignment horizontal="right"/>
    </xf>
    <xf numFmtId="177" fontId="4" fillId="0" borderId="0" xfId="0" applyNumberFormat="1" applyFont="1"/>
    <xf numFmtId="0" fontId="4" fillId="0" borderId="13" xfId="0" applyFont="1" applyBorder="1"/>
    <xf numFmtId="0" fontId="4" fillId="0" borderId="0" xfId="0" applyFont="1" applyBorder="1"/>
    <xf numFmtId="178" fontId="4" fillId="0" borderId="0" xfId="0" applyNumberFormat="1" applyFont="1"/>
    <xf numFmtId="178" fontId="4" fillId="0" borderId="18" xfId="0" applyNumberFormat="1" applyFont="1" applyBorder="1" applyAlignment="1">
      <alignment horizontal="center"/>
    </xf>
    <xf numFmtId="178" fontId="4" fillId="0" borderId="10" xfId="0" applyNumberFormat="1" applyFont="1" applyBorder="1"/>
    <xf numFmtId="178" fontId="4" fillId="0" borderId="11" xfId="0" applyNumberFormat="1" applyFont="1" applyBorder="1"/>
    <xf numFmtId="178" fontId="4" fillId="0" borderId="12" xfId="0" applyNumberFormat="1" applyFont="1" applyBorder="1"/>
    <xf numFmtId="178" fontId="4" fillId="0" borderId="10" xfId="0" applyNumberFormat="1" applyFont="1" applyBorder="1" applyAlignment="1">
      <alignment horizontal="center"/>
    </xf>
    <xf numFmtId="178" fontId="4" fillId="0" borderId="11" xfId="0" applyNumberFormat="1" applyFont="1" applyBorder="1" applyAlignment="1">
      <alignment horizontal="center"/>
    </xf>
    <xf numFmtId="178" fontId="4" fillId="0" borderId="0" xfId="0" applyNumberFormat="1" applyFont="1" applyBorder="1" applyAlignment="1">
      <alignment horizontal="center"/>
    </xf>
    <xf numFmtId="178" fontId="4" fillId="0" borderId="12" xfId="0" applyNumberFormat="1" applyFont="1" applyBorder="1" applyAlignment="1">
      <alignment horizontal="center"/>
    </xf>
    <xf numFmtId="179" fontId="4" fillId="0" borderId="0" xfId="0" applyNumberFormat="1" applyFont="1"/>
    <xf numFmtId="0" fontId="4" fillId="0" borderId="0" xfId="0" applyFont="1" applyAlignment="1">
      <alignment horizontal="left"/>
    </xf>
    <xf numFmtId="17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80" fontId="4" fillId="2" borderId="0" xfId="0" applyNumberFormat="1" applyFont="1" applyFill="1" applyAlignment="1">
      <alignment horizontal="center" vertical="center"/>
    </xf>
    <xf numFmtId="180" fontId="4" fillId="2" borderId="0" xfId="0" applyNumberFormat="1" applyFont="1" applyFill="1"/>
    <xf numFmtId="181" fontId="4" fillId="0" borderId="0" xfId="0" applyNumberFormat="1" applyFont="1"/>
    <xf numFmtId="0" fontId="4" fillId="0" borderId="0" xfId="0" applyFont="1" applyAlignment="1">
      <alignment horizontal="left"/>
    </xf>
    <xf numFmtId="178" fontId="4" fillId="0" borderId="14" xfId="0" applyNumberFormat="1" applyFont="1" applyBorder="1"/>
    <xf numFmtId="181" fontId="4" fillId="0" borderId="0" xfId="0" applyNumberFormat="1" applyFont="1" applyAlignment="1">
      <alignment horizontal="left"/>
    </xf>
    <xf numFmtId="181" fontId="4" fillId="0" borderId="0" xfId="0" applyNumberFormat="1" applyFont="1" applyAlignment="1">
      <alignment horizontal="center" vertical="center"/>
    </xf>
    <xf numFmtId="41" fontId="4" fillId="0" borderId="0" xfId="2" applyFont="1" applyAlignment="1"/>
    <xf numFmtId="41" fontId="4" fillId="2" borderId="0" xfId="2" applyFont="1" applyFill="1" applyAlignment="1"/>
    <xf numFmtId="41" fontId="5" fillId="2" borderId="1" xfId="2" applyFont="1" applyFill="1" applyBorder="1" applyAlignment="1">
      <alignment horizontal="center" vertical="center"/>
    </xf>
    <xf numFmtId="41" fontId="5" fillId="0" borderId="1" xfId="2" applyFont="1" applyBorder="1" applyAlignment="1">
      <alignment horizontal="center" vertical="center"/>
    </xf>
    <xf numFmtId="182" fontId="4" fillId="0" borderId="0" xfId="0" applyNumberFormat="1" applyFont="1"/>
    <xf numFmtId="41" fontId="4" fillId="0" borderId="0" xfId="0" applyNumberFormat="1" applyFont="1"/>
    <xf numFmtId="43" fontId="4" fillId="0" borderId="0" xfId="0" applyNumberFormat="1" applyFont="1"/>
    <xf numFmtId="183" fontId="4" fillId="0" borderId="0" xfId="2" applyNumberFormat="1" applyFont="1" applyAlignment="1"/>
    <xf numFmtId="0" fontId="4" fillId="0" borderId="21" xfId="0" applyFont="1" applyBorder="1"/>
    <xf numFmtId="0" fontId="4" fillId="0" borderId="0" xfId="0" applyFont="1" applyAlignment="1">
      <alignment horizontal="left"/>
    </xf>
    <xf numFmtId="3" fontId="4" fillId="0" borderId="0" xfId="0" applyNumberFormat="1" applyFont="1"/>
    <xf numFmtId="2" fontId="4" fillId="0" borderId="0" xfId="0" applyNumberFormat="1" applyFont="1"/>
    <xf numFmtId="184" fontId="4" fillId="0" borderId="0" xfId="0" applyNumberFormat="1" applyFont="1"/>
    <xf numFmtId="1" fontId="4" fillId="0" borderId="0" xfId="0" applyNumberFormat="1" applyFont="1"/>
    <xf numFmtId="0" fontId="4" fillId="2" borderId="0" xfId="0" applyFont="1" applyFill="1"/>
    <xf numFmtId="184" fontId="4" fillId="2" borderId="0" xfId="0" applyNumberFormat="1" applyFont="1" applyFill="1"/>
    <xf numFmtId="1" fontId="4" fillId="2" borderId="0" xfId="0" applyNumberFormat="1" applyFont="1" applyFill="1"/>
    <xf numFmtId="0" fontId="4" fillId="0" borderId="17" xfId="0" applyFont="1" applyBorder="1" applyAlignment="1">
      <alignment vertical="center"/>
    </xf>
    <xf numFmtId="178" fontId="4" fillId="0" borderId="17" xfId="0" applyNumberFormat="1" applyFont="1" applyBorder="1" applyAlignment="1">
      <alignment horizontal="center" vertical="center"/>
    </xf>
    <xf numFmtId="178" fontId="4" fillId="0" borderId="18" xfId="0" applyNumberFormat="1" applyFont="1" applyBorder="1" applyAlignment="1">
      <alignment horizontal="center" vertical="center"/>
    </xf>
    <xf numFmtId="178" fontId="4" fillId="0" borderId="19" xfId="0" applyNumberFormat="1" applyFont="1" applyBorder="1" applyAlignment="1">
      <alignment horizontal="center" vertical="center"/>
    </xf>
    <xf numFmtId="178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1" fontId="4" fillId="0" borderId="13" xfId="2" applyFont="1" applyBorder="1" applyAlignment="1"/>
    <xf numFmtId="41" fontId="4" fillId="0" borderId="0" xfId="2" applyFont="1" applyBorder="1" applyAlignment="1"/>
    <xf numFmtId="41" fontId="4" fillId="0" borderId="17" xfId="2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49" fontId="4" fillId="0" borderId="0" xfId="0" applyNumberFormat="1" applyFont="1"/>
    <xf numFmtId="180" fontId="4" fillId="0" borderId="0" xfId="2" applyNumberFormat="1" applyFont="1" applyAlignment="1"/>
    <xf numFmtId="180" fontId="4" fillId="0" borderId="0" xfId="2" applyNumberFormat="1" applyFont="1" applyAlignment="1">
      <alignment horizontal="center" vertical="center"/>
    </xf>
    <xf numFmtId="41" fontId="4" fillId="0" borderId="0" xfId="2" applyFont="1" applyFill="1" applyAlignment="1"/>
    <xf numFmtId="178" fontId="4" fillId="0" borderId="0" xfId="0" applyNumberFormat="1" applyFont="1" applyFill="1" applyAlignment="1">
      <alignment horizontal="center"/>
    </xf>
    <xf numFmtId="180" fontId="4" fillId="0" borderId="0" xfId="0" applyNumberFormat="1" applyFont="1" applyFill="1" applyAlignment="1">
      <alignment horizontal="center"/>
    </xf>
    <xf numFmtId="178" fontId="4" fillId="0" borderId="0" xfId="2" applyNumberFormat="1" applyFont="1" applyFill="1" applyAlignment="1">
      <alignment horizontal="center"/>
    </xf>
    <xf numFmtId="178" fontId="4" fillId="0" borderId="0" xfId="0" applyNumberFormat="1" applyFont="1" applyFill="1" applyAlignment="1">
      <alignment horizontal="center" vertical="center"/>
    </xf>
    <xf numFmtId="180" fontId="4" fillId="0" borderId="0" xfId="0" applyNumberFormat="1" applyFont="1" applyFill="1" applyAlignment="1">
      <alignment horizontal="center" vertical="center"/>
    </xf>
    <xf numFmtId="178" fontId="4" fillId="0" borderId="0" xfId="2" applyNumberFormat="1" applyFont="1" applyFill="1" applyAlignment="1">
      <alignment horizontal="center" vertical="center"/>
    </xf>
    <xf numFmtId="178" fontId="4" fillId="0" borderId="0" xfId="0" applyNumberFormat="1" applyFont="1" applyFill="1"/>
    <xf numFmtId="180" fontId="4" fillId="0" borderId="0" xfId="0" applyNumberFormat="1" applyFont="1" applyFill="1"/>
    <xf numFmtId="178" fontId="4" fillId="0" borderId="0" xfId="2" applyNumberFormat="1" applyFont="1" applyFill="1" applyAlignment="1"/>
    <xf numFmtId="180" fontId="4" fillId="2" borderId="0" xfId="2" applyNumberFormat="1" applyFont="1" applyFill="1" applyAlignment="1"/>
    <xf numFmtId="178" fontId="4" fillId="2" borderId="10" xfId="0" applyNumberFormat="1" applyFont="1" applyFill="1" applyBorder="1"/>
    <xf numFmtId="178" fontId="4" fillId="2" borderId="0" xfId="0" applyNumberFormat="1" applyFont="1" applyFill="1"/>
    <xf numFmtId="178" fontId="4" fillId="2" borderId="11" xfId="0" applyNumberFormat="1" applyFont="1" applyFill="1" applyBorder="1"/>
    <xf numFmtId="0" fontId="12" fillId="0" borderId="1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178" fontId="4" fillId="0" borderId="14" xfId="0" applyNumberFormat="1" applyFont="1" applyBorder="1" applyAlignment="1">
      <alignment horizontal="center"/>
    </xf>
    <xf numFmtId="178" fontId="4" fillId="0" borderId="15" xfId="0" applyNumberFormat="1" applyFont="1" applyBorder="1" applyAlignment="1">
      <alignment horizontal="center"/>
    </xf>
    <xf numFmtId="178" fontId="4" fillId="0" borderId="13" xfId="0" applyNumberFormat="1" applyFont="1" applyBorder="1" applyAlignment="1">
      <alignment horizontal="center"/>
    </xf>
    <xf numFmtId="178" fontId="4" fillId="0" borderId="16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79" fontId="4" fillId="0" borderId="0" xfId="0" applyNumberFormat="1" applyFont="1" applyAlignment="1">
      <alignment horizontal="center"/>
    </xf>
    <xf numFmtId="180" fontId="4" fillId="0" borderId="0" xfId="0" applyNumberFormat="1" applyFont="1" applyFill="1" applyAlignment="1">
      <alignment horizontal="center"/>
    </xf>
    <xf numFmtId="179" fontId="4" fillId="0" borderId="0" xfId="0" applyNumberFormat="1" applyFont="1" applyAlignment="1">
      <alignment horizontal="center" vertical="center"/>
    </xf>
    <xf numFmtId="178" fontId="4" fillId="0" borderId="0" xfId="2" applyNumberFormat="1" applyFont="1" applyFill="1" applyAlignment="1">
      <alignment horizont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특성연구!$B$6:$P$6</c:f>
              <c:numCache>
                <c:formatCode>_(* #,##0_);_(* \(#,##0\);_(* "-"_);_(@_)</c:formatCode>
                <c:ptCount val="15"/>
                <c:pt idx="0">
                  <c:v>10</c:v>
                </c:pt>
                <c:pt idx="1">
                  <c:v>300</c:v>
                </c:pt>
                <c:pt idx="2">
                  <c:v>1800</c:v>
                </c:pt>
                <c:pt idx="3">
                  <c:v>3600</c:v>
                </c:pt>
                <c:pt idx="4">
                  <c:v>7200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53259024"/>
        <c:axId val="-616817424"/>
      </c:lineChart>
      <c:catAx>
        <c:axId val="-8532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16817424"/>
        <c:crosses val="autoZero"/>
        <c:auto val="1"/>
        <c:lblAlgn val="ctr"/>
        <c:lblOffset val="100"/>
        <c:noMultiLvlLbl val="0"/>
      </c:catAx>
      <c:valAx>
        <c:axId val="-6168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532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특성연구!$N$24:$N$28</c:f>
              <c:numCache>
                <c:formatCode>_(* #,##0_);_(* \(#,##0\);_(* "-"_);_(@_)</c:formatCode>
                <c:ptCount val="5"/>
                <c:pt idx="0">
                  <c:v>30410</c:v>
                </c:pt>
                <c:pt idx="1">
                  <c:v>440030</c:v>
                </c:pt>
                <c:pt idx="2">
                  <c:v>57270</c:v>
                </c:pt>
                <c:pt idx="3">
                  <c:v>148300</c:v>
                </c:pt>
                <c:pt idx="4">
                  <c:v>273000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4281312"/>
        <c:axId val="-694284576"/>
      </c:lineChart>
      <c:catAx>
        <c:axId val="-6942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94284576"/>
        <c:crosses val="autoZero"/>
        <c:auto val="1"/>
        <c:lblAlgn val="ctr"/>
        <c:lblOffset val="100"/>
        <c:noMultiLvlLbl val="0"/>
      </c:catAx>
      <c:valAx>
        <c:axId val="-6942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942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특성연구!$N$31:$N$35</c:f>
              <c:numCache>
                <c:formatCode>_(* #,##0_);_(* \(#,##0\);_(* "-"_);_(@_)</c:formatCode>
                <c:ptCount val="5"/>
                <c:pt idx="0">
                  <c:v>12228</c:v>
                </c:pt>
                <c:pt idx="1">
                  <c:v>152260</c:v>
                </c:pt>
                <c:pt idx="2">
                  <c:v>297160</c:v>
                </c:pt>
                <c:pt idx="3">
                  <c:v>375600</c:v>
                </c:pt>
                <c:pt idx="4">
                  <c:v>781200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4282944"/>
        <c:axId val="-627030384"/>
      </c:lineChart>
      <c:catAx>
        <c:axId val="-6942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7030384"/>
        <c:crosses val="autoZero"/>
        <c:auto val="1"/>
        <c:lblAlgn val="ctr"/>
        <c:lblOffset val="100"/>
        <c:noMultiLvlLbl val="0"/>
      </c:catAx>
      <c:valAx>
        <c:axId val="-6270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942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특성연구!$N$38:$N$42</c:f>
              <c:numCache>
                <c:formatCode>_-* #,##0_-;\-* #,##0_-;_-* "-"??_-;_-@_-</c:formatCode>
                <c:ptCount val="5"/>
                <c:pt idx="0">
                  <c:v>545703.67500000005</c:v>
                </c:pt>
                <c:pt idx="1">
                  <c:v>833100</c:v>
                </c:pt>
                <c:pt idx="2">
                  <c:v>1274100</c:v>
                </c:pt>
                <c:pt idx="3">
                  <c:v>1953000</c:v>
                </c:pt>
                <c:pt idx="4">
                  <c:v>3000900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7031472"/>
        <c:axId val="-627028752"/>
      </c:lineChart>
      <c:catAx>
        <c:axId val="-6270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7028752"/>
        <c:crosses val="autoZero"/>
        <c:auto val="1"/>
        <c:lblAlgn val="ctr"/>
        <c:lblOffset val="100"/>
        <c:noMultiLvlLbl val="0"/>
      </c:catAx>
      <c:valAx>
        <c:axId val="-6270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703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유황</c:v>
          </c:tx>
          <c:val>
            <c:numRef>
              <c:f>스킬렙업!$K$4:$K$13</c:f>
              <c:numCache>
                <c:formatCode>#,##0_ </c:formatCode>
                <c:ptCount val="10"/>
                <c:pt idx="0">
                  <c:v>0</c:v>
                </c:pt>
                <c:pt idx="1">
                  <c:v>10000</c:v>
                </c:pt>
                <c:pt idx="2">
                  <c:v>49497.474683058332</c:v>
                </c:pt>
                <c:pt idx="3">
                  <c:v>116913.42951089927</c:v>
                </c:pt>
                <c:pt idx="4">
                  <c:v>200000</c:v>
                </c:pt>
                <c:pt idx="5">
                  <c:v>279508.49718747369</c:v>
                </c:pt>
                <c:pt idx="6">
                  <c:v>330681.11527572892</c:v>
                </c:pt>
                <c:pt idx="7">
                  <c:v>324104.53560541221</c:v>
                </c:pt>
                <c:pt idx="8">
                  <c:v>226274.16997969514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만드레이크</c:v>
          </c:tx>
          <c:val>
            <c:numRef>
              <c:f>스킬렙업!$L$4:$L$13</c:f>
              <c:numCache>
                <c:formatCode>#,##0_);[Red]\(#,##0\)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4242.6406871192858</c:v>
                </c:pt>
                <c:pt idx="3">
                  <c:v>23382.685902179852</c:v>
                </c:pt>
                <c:pt idx="4">
                  <c:v>72000</c:v>
                </c:pt>
                <c:pt idx="5">
                  <c:v>167705.09831248422</c:v>
                </c:pt>
                <c:pt idx="6">
                  <c:v>330681.11527572892</c:v>
                </c:pt>
                <c:pt idx="7">
                  <c:v>583388.164089742</c:v>
                </c:pt>
                <c:pt idx="8">
                  <c:v>950351.51391471969</c:v>
                </c:pt>
                <c:pt idx="9">
                  <c:v>1458000.0000000009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276688"/>
        <c:axId val="-860276144"/>
      </c:lineChart>
      <c:catAx>
        <c:axId val="-86027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860276144"/>
        <c:crosses val="autoZero"/>
        <c:auto val="1"/>
        <c:lblAlgn val="ctr"/>
        <c:lblOffset val="100"/>
        <c:noMultiLvlLbl val="0"/>
      </c:catAx>
      <c:valAx>
        <c:axId val="-860276144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-86027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금화환산</c:v>
          </c:tx>
          <c:val>
            <c:numRef>
              <c:f>스킬렙업!$T$4:$T$13</c:f>
              <c:numCache>
                <c:formatCode>#,##0_ </c:formatCode>
                <c:ptCount val="10"/>
                <c:pt idx="0">
                  <c:v>0</c:v>
                </c:pt>
                <c:pt idx="1">
                  <c:v>30000</c:v>
                </c:pt>
                <c:pt idx="2">
                  <c:v>169705.62748477142</c:v>
                </c:pt>
                <c:pt idx="3">
                  <c:v>467653.71804359707</c:v>
                </c:pt>
                <c:pt idx="4">
                  <c:v>960000</c:v>
                </c:pt>
                <c:pt idx="5">
                  <c:v>1677050.9831248422</c:v>
                </c:pt>
                <c:pt idx="6">
                  <c:v>2645448.9222058314</c:v>
                </c:pt>
                <c:pt idx="7">
                  <c:v>3889254.4272649465</c:v>
                </c:pt>
                <c:pt idx="8">
                  <c:v>5430580.0795126837</c:v>
                </c:pt>
                <c:pt idx="9">
                  <c:v>7290000.0000000047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274512"/>
        <c:axId val="-860273968"/>
      </c:lineChart>
      <c:catAx>
        <c:axId val="-86027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860273968"/>
        <c:crosses val="autoZero"/>
        <c:auto val="1"/>
        <c:lblAlgn val="ctr"/>
        <c:lblOffset val="100"/>
        <c:noMultiLvlLbl val="0"/>
      </c:catAx>
      <c:valAx>
        <c:axId val="-860273968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-86027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39</xdr:row>
      <xdr:rowOff>76199</xdr:rowOff>
    </xdr:from>
    <xdr:to>
      <xdr:col>31</xdr:col>
      <xdr:colOff>676275</xdr:colOff>
      <xdr:row>91</xdr:row>
      <xdr:rowOff>104774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0</xdr:rowOff>
    </xdr:from>
    <xdr:to>
      <xdr:col>23</xdr:col>
      <xdr:colOff>38100</xdr:colOff>
      <xdr:row>19</xdr:row>
      <xdr:rowOff>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295275</xdr:colOff>
      <xdr:row>22</xdr:row>
      <xdr:rowOff>9525</xdr:rowOff>
    </xdr:from>
    <xdr:to>
      <xdr:col>20</xdr:col>
      <xdr:colOff>352425</xdr:colOff>
      <xdr:row>40</xdr:row>
      <xdr:rowOff>28575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276225</xdr:colOff>
      <xdr:row>41</xdr:row>
      <xdr:rowOff>133350</xdr:rowOff>
    </xdr:from>
    <xdr:to>
      <xdr:col>20</xdr:col>
      <xdr:colOff>333375</xdr:colOff>
      <xdr:row>59</xdr:row>
      <xdr:rowOff>133350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147637</xdr:rowOff>
    </xdr:from>
    <xdr:to>
      <xdr:col>14</xdr:col>
      <xdr:colOff>609600</xdr:colOff>
      <xdr:row>52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15</xdr:row>
      <xdr:rowOff>4762</xdr:rowOff>
    </xdr:from>
    <xdr:to>
      <xdr:col>20</xdr:col>
      <xdr:colOff>371475</xdr:colOff>
      <xdr:row>51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G33" sqref="G33"/>
    </sheetView>
  </sheetViews>
  <sheetFormatPr defaultRowHeight="12" x14ac:dyDescent="0.2"/>
  <cols>
    <col min="1" max="1" width="10.875" style="1" bestFit="1" customWidth="1"/>
    <col min="2" max="15" width="9.125" style="1" bestFit="1" customWidth="1"/>
    <col min="16" max="16" width="9.875" style="1" bestFit="1" customWidth="1"/>
    <col min="17" max="16384" width="9" style="1"/>
  </cols>
  <sheetData>
    <row r="1" spans="1:16" x14ac:dyDescent="0.2">
      <c r="A1" s="1" t="str">
        <f>특성연구!A4</f>
        <v>// 특성포인트</v>
      </c>
      <c r="B1" s="1" t="str">
        <f>특성연구!B4</f>
        <v>분</v>
      </c>
      <c r="C1" s="1">
        <f>특성연구!C4</f>
        <v>5</v>
      </c>
      <c r="D1" s="1">
        <f>특성연구!D4</f>
        <v>30</v>
      </c>
      <c r="E1" s="1">
        <f>특성연구!E4</f>
        <v>60</v>
      </c>
      <c r="F1" s="1">
        <f>특성연구!F4</f>
        <v>120</v>
      </c>
    </row>
    <row r="2" spans="1:16" x14ac:dyDescent="0.2">
      <c r="A2" s="1" t="str">
        <f>특성연구!A5</f>
        <v>// tier</v>
      </c>
      <c r="B2" s="1">
        <f>특성연구!B5</f>
        <v>1</v>
      </c>
      <c r="C2" s="1">
        <f>특성연구!C5</f>
        <v>2</v>
      </c>
      <c r="D2" s="1">
        <f>특성연구!D5</f>
        <v>3</v>
      </c>
      <c r="E2" s="1">
        <f>특성연구!E5</f>
        <v>4</v>
      </c>
      <c r="F2" s="1">
        <f>특성연구!F5</f>
        <v>5</v>
      </c>
    </row>
    <row r="3" spans="1:16" x14ac:dyDescent="0.2">
      <c r="A3" s="1">
        <f>특성연구!A6</f>
        <v>1</v>
      </c>
      <c r="B3" s="34">
        <f>특성연구!B6</f>
        <v>10</v>
      </c>
      <c r="C3" s="34">
        <f>특성연구!C6</f>
        <v>300</v>
      </c>
      <c r="D3" s="34">
        <f>특성연구!D6</f>
        <v>1800</v>
      </c>
      <c r="E3" s="34">
        <f>특성연구!E6</f>
        <v>3600</v>
      </c>
      <c r="F3" s="34">
        <f>특성연구!F6</f>
        <v>7200</v>
      </c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 x14ac:dyDescent="0.2">
      <c r="A4" s="1">
        <f>특성연구!A7</f>
        <v>2</v>
      </c>
      <c r="B4" s="34">
        <f>특성연구!B7</f>
        <v>30</v>
      </c>
      <c r="C4" s="34">
        <f>특성연구!C7</f>
        <v>600</v>
      </c>
      <c r="D4" s="34">
        <f>특성연구!D7</f>
        <v>2100</v>
      </c>
      <c r="E4" s="34">
        <f>특성연구!E7</f>
        <v>3900</v>
      </c>
      <c r="F4" s="34">
        <f>특성연구!F7</f>
        <v>7500</v>
      </c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x14ac:dyDescent="0.2">
      <c r="A5" s="1">
        <f>특성연구!A8</f>
        <v>3</v>
      </c>
      <c r="B5" s="34">
        <f>특성연구!B8</f>
        <v>60</v>
      </c>
      <c r="C5" s="34">
        <f>특성연구!C8</f>
        <v>900</v>
      </c>
      <c r="D5" s="34">
        <f>특성연구!D8</f>
        <v>2400</v>
      </c>
      <c r="E5" s="34">
        <f>특성연구!E8</f>
        <v>4200</v>
      </c>
      <c r="F5" s="34">
        <f>특성연구!F8</f>
        <v>7800</v>
      </c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x14ac:dyDescent="0.2">
      <c r="A6" s="1">
        <f>특성연구!A9</f>
        <v>4</v>
      </c>
      <c r="B6" s="34">
        <f>특성연구!B9</f>
        <v>120</v>
      </c>
      <c r="C6" s="34">
        <f>특성연구!C9</f>
        <v>1200</v>
      </c>
      <c r="D6" s="34">
        <f>특성연구!D9</f>
        <v>2700</v>
      </c>
      <c r="E6" s="34">
        <f>특성연구!E9</f>
        <v>4500</v>
      </c>
      <c r="F6" s="34">
        <f>특성연구!F9</f>
        <v>8100</v>
      </c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x14ac:dyDescent="0.2">
      <c r="A7" s="1">
        <f>특성연구!A10</f>
        <v>5</v>
      </c>
      <c r="B7" s="34">
        <f>특성연구!B10</f>
        <v>250</v>
      </c>
      <c r="C7" s="34">
        <f>특성연구!C10</f>
        <v>1500</v>
      </c>
      <c r="D7" s="34">
        <f>특성연구!D10</f>
        <v>3000</v>
      </c>
      <c r="E7" s="34">
        <f>특성연구!E10</f>
        <v>4800</v>
      </c>
      <c r="F7" s="34">
        <f>특성연구!F10</f>
        <v>8400</v>
      </c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x14ac:dyDescent="0.2">
      <c r="A8" s="1" t="str">
        <f>특성연구!A11</f>
        <v>// 소형</v>
      </c>
      <c r="G8" s="1" t="str">
        <f>특성연구!G11</f>
        <v>// 중형</v>
      </c>
      <c r="L8" s="1" t="str">
        <f>특성연구!L11</f>
        <v>// 대형</v>
      </c>
    </row>
    <row r="9" spans="1:16" x14ac:dyDescent="0.2">
      <c r="A9" s="1" t="str">
        <f>특성연구!A12</f>
        <v xml:space="preserve">// </v>
      </c>
      <c r="B9" s="1" t="str">
        <f>특성연구!B12</f>
        <v>오픈레벨</v>
      </c>
    </row>
    <row r="10" spans="1:16" x14ac:dyDescent="0.2">
      <c r="A10" s="1" t="str">
        <f>특성연구!A13</f>
        <v>//</v>
      </c>
      <c r="B10" s="1" t="str">
        <f>특성연구!B13</f>
        <v>필요금화</v>
      </c>
    </row>
    <row r="11" spans="1:16" x14ac:dyDescent="0.2">
      <c r="A11" s="1" t="str">
        <f>특성연구!A14</f>
        <v>// 특성포인트</v>
      </c>
    </row>
    <row r="12" spans="1:16" x14ac:dyDescent="0.2">
      <c r="A12" s="1" t="str">
        <f>특성연구!A15</f>
        <v>// tier</v>
      </c>
      <c r="B12" s="1">
        <f>특성연구!B15</f>
        <v>1</v>
      </c>
      <c r="C12" s="1">
        <f>특성연구!C15</f>
        <v>2</v>
      </c>
      <c r="D12" s="1">
        <f>특성연구!D15</f>
        <v>3</v>
      </c>
      <c r="E12" s="1">
        <f>특성연구!E15</f>
        <v>4</v>
      </c>
      <c r="F12" s="1">
        <f>특성연구!F15</f>
        <v>5</v>
      </c>
    </row>
    <row r="13" spans="1:16" x14ac:dyDescent="0.2">
      <c r="A13" s="1">
        <f>특성연구!A16</f>
        <v>1</v>
      </c>
      <c r="B13" s="34">
        <f>특성연구!B16</f>
        <v>100</v>
      </c>
      <c r="C13" s="34">
        <f>특성연구!C16</f>
        <v>5000</v>
      </c>
      <c r="D13" s="34">
        <f>특성연구!D16</f>
        <v>50000</v>
      </c>
      <c r="E13" s="34">
        <f>특성연구!E16</f>
        <v>250000</v>
      </c>
      <c r="F13" s="34">
        <f>특성연구!F16</f>
        <v>1000000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x14ac:dyDescent="0.2">
      <c r="A14" s="1">
        <f>특성연구!A17</f>
        <v>2</v>
      </c>
      <c r="B14" s="34">
        <f>특성연구!B17</f>
        <v>1000</v>
      </c>
      <c r="C14" s="34">
        <f>특성연구!C17</f>
        <v>23000</v>
      </c>
      <c r="D14" s="34">
        <f>특성연구!D17</f>
        <v>100000</v>
      </c>
      <c r="E14" s="34">
        <f>특성연구!E17</f>
        <v>390000</v>
      </c>
      <c r="F14" s="34">
        <f>특성연구!F17</f>
        <v>1850000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x14ac:dyDescent="0.2">
      <c r="A15" s="1">
        <f>특성연구!A18</f>
        <v>3</v>
      </c>
      <c r="B15" s="34">
        <f>특성연구!B18</f>
        <v>2000</v>
      </c>
      <c r="C15" s="34">
        <f>특성연구!C18</f>
        <v>41000</v>
      </c>
      <c r="D15" s="34">
        <f>특성연구!D18</f>
        <v>150000</v>
      </c>
      <c r="E15" s="34">
        <f>특성연구!E18</f>
        <v>530000</v>
      </c>
      <c r="F15" s="34">
        <f>특성연구!F18</f>
        <v>2700000</v>
      </c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x14ac:dyDescent="0.2">
      <c r="A16" s="1">
        <f>특성연구!A19</f>
        <v>4</v>
      </c>
      <c r="B16" s="34">
        <f>특성연구!B19</f>
        <v>3000</v>
      </c>
      <c r="C16" s="34">
        <f>특성연구!C19</f>
        <v>59000</v>
      </c>
      <c r="D16" s="34">
        <f>특성연구!D19</f>
        <v>200000</v>
      </c>
      <c r="E16" s="34">
        <f>특성연구!E19</f>
        <v>670000</v>
      </c>
      <c r="F16" s="34">
        <f>특성연구!F19</f>
        <v>3550000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">
      <c r="A17" s="1">
        <f>특성연구!A20</f>
        <v>5</v>
      </c>
      <c r="B17" s="34">
        <f>특성연구!B20</f>
        <v>4000</v>
      </c>
      <c r="C17" s="34">
        <f>특성연구!C20</f>
        <v>77000</v>
      </c>
      <c r="D17" s="34">
        <f>특성연구!D20</f>
        <v>250000</v>
      </c>
      <c r="E17" s="34">
        <f>특성연구!E20</f>
        <v>810000</v>
      </c>
      <c r="F17" s="34">
        <f>특성연구!F20</f>
        <v>4400000</v>
      </c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x14ac:dyDescent="0.2">
      <c r="A18" s="1" t="str">
        <f>특성연구!A21</f>
        <v>// 필요 자원</v>
      </c>
    </row>
    <row r="19" spans="1:16" x14ac:dyDescent="0.2">
      <c r="A19" s="1" t="str">
        <f>특성연구!A22</f>
        <v>//소형</v>
      </c>
      <c r="B19" s="1">
        <f>특성연구!B22</f>
        <v>0</v>
      </c>
      <c r="G19" s="1">
        <f>특성연구!G22</f>
        <v>0</v>
      </c>
    </row>
    <row r="20" spans="1:16" x14ac:dyDescent="0.2">
      <c r="A20" s="1" t="str">
        <f>특성연구!A23</f>
        <v>//</v>
      </c>
      <c r="B20" s="1">
        <f>특성연구!B23</f>
        <v>1</v>
      </c>
      <c r="C20" s="1">
        <f>특성연구!C23</f>
        <v>2</v>
      </c>
      <c r="D20" s="1">
        <f>특성연구!D23</f>
        <v>3</v>
      </c>
      <c r="E20" s="1">
        <f>특성연구!E23</f>
        <v>4</v>
      </c>
      <c r="F20" s="1">
        <f>특성연구!F23</f>
        <v>5</v>
      </c>
      <c r="G20" s="1">
        <f>특성연구!G23</f>
        <v>1</v>
      </c>
      <c r="H20" s="1">
        <f>특성연구!H23</f>
        <v>2</v>
      </c>
      <c r="I20" s="1">
        <f>특성연구!I23</f>
        <v>3</v>
      </c>
      <c r="J20" s="1">
        <f>특성연구!J23</f>
        <v>4</v>
      </c>
      <c r="K20" s="1">
        <f>특성연구!K23</f>
        <v>5</v>
      </c>
    </row>
    <row r="21" spans="1:16" x14ac:dyDescent="0.2">
      <c r="B21" s="34">
        <f>특성연구!B24</f>
        <v>900</v>
      </c>
      <c r="C21" s="34">
        <f>특성연구!C24</f>
        <v>1500</v>
      </c>
      <c r="D21" s="34">
        <f>특성연구!D24</f>
        <v>2500</v>
      </c>
      <c r="E21" s="34">
        <f>특성연구!E24</f>
        <v>4200</v>
      </c>
      <c r="F21" s="34">
        <f>특성연구!F24</f>
        <v>7100</v>
      </c>
      <c r="G21" s="34">
        <f>특성연구!G24</f>
        <v>810</v>
      </c>
      <c r="H21" s="34">
        <f>특성연구!H24</f>
        <v>1300</v>
      </c>
      <c r="I21" s="34">
        <f>특성연구!I24</f>
        <v>2200</v>
      </c>
      <c r="J21" s="34">
        <f>특성연구!J24</f>
        <v>3700</v>
      </c>
      <c r="K21" s="34">
        <f>특성연구!K24</f>
        <v>6200</v>
      </c>
    </row>
    <row r="22" spans="1:16" x14ac:dyDescent="0.2">
      <c r="B22" s="34">
        <f>특성연구!B25</f>
        <v>10650</v>
      </c>
      <c r="C22" s="34">
        <f>특성연구!C25</f>
        <v>18100</v>
      </c>
      <c r="D22" s="34">
        <f>특성연구!D25</f>
        <v>30700</v>
      </c>
      <c r="E22" s="34">
        <f>특성연구!E25</f>
        <v>52100</v>
      </c>
      <c r="F22" s="34">
        <f>특성연구!F25</f>
        <v>88500</v>
      </c>
      <c r="G22" s="34">
        <f>특성연구!G25</f>
        <v>12780</v>
      </c>
      <c r="H22" s="34">
        <f>특성연구!H25</f>
        <v>21700</v>
      </c>
      <c r="I22" s="34">
        <f>특성연구!I25</f>
        <v>36800</v>
      </c>
      <c r="J22" s="34">
        <f>특성연구!J25</f>
        <v>62500</v>
      </c>
      <c r="K22" s="34">
        <f>특성연구!K25</f>
        <v>106200</v>
      </c>
    </row>
    <row r="23" spans="1:16" x14ac:dyDescent="0.2">
      <c r="B23" s="34">
        <f>특성연구!B26</f>
        <v>3070</v>
      </c>
      <c r="C23" s="34">
        <f>특성연구!C26</f>
        <v>5200</v>
      </c>
      <c r="D23" s="34">
        <f>특성연구!D26</f>
        <v>8800</v>
      </c>
      <c r="E23" s="34">
        <f>특성연구!E26</f>
        <v>14900</v>
      </c>
      <c r="F23" s="34">
        <f>특성연구!F26</f>
        <v>25300</v>
      </c>
      <c r="G23" s="34">
        <f>특성연구!G26</f>
        <v>0</v>
      </c>
      <c r="H23" s="34">
        <f>특성연구!H26</f>
        <v>0</v>
      </c>
      <c r="I23" s="34">
        <f>특성연구!I26</f>
        <v>0</v>
      </c>
      <c r="J23" s="34">
        <f>특성연구!J26</f>
        <v>0</v>
      </c>
      <c r="K23" s="34">
        <f>특성연구!K26</f>
        <v>0</v>
      </c>
    </row>
    <row r="24" spans="1:16" x14ac:dyDescent="0.2">
      <c r="B24" s="34">
        <f>특성연구!B27</f>
        <v>8200</v>
      </c>
      <c r="C24" s="34">
        <f>특성연구!C27</f>
        <v>13700</v>
      </c>
      <c r="D24" s="34">
        <f>특성연구!D27</f>
        <v>23000</v>
      </c>
      <c r="E24" s="34">
        <f>특성연구!E27</f>
        <v>38600</v>
      </c>
      <c r="F24" s="34">
        <f>특성연구!F27</f>
        <v>64800</v>
      </c>
      <c r="G24" s="34">
        <f>특성연구!G27</f>
        <v>0</v>
      </c>
      <c r="H24" s="34">
        <f>특성연구!H27</f>
        <v>0</v>
      </c>
      <c r="I24" s="34">
        <f>특성연구!I27</f>
        <v>0</v>
      </c>
      <c r="J24" s="34">
        <f>특성연구!J27</f>
        <v>0</v>
      </c>
      <c r="K24" s="34">
        <f>특성연구!K27</f>
        <v>0</v>
      </c>
    </row>
    <row r="25" spans="1:16" x14ac:dyDescent="0.2">
      <c r="B25" s="34">
        <f>특성연구!B28</f>
        <v>30300</v>
      </c>
      <c r="C25" s="34">
        <f>특성연구!C28</f>
        <v>39300</v>
      </c>
      <c r="D25" s="34">
        <f>특성연구!D28</f>
        <v>51000</v>
      </c>
      <c r="E25" s="34">
        <f>특성연구!E28</f>
        <v>66300</v>
      </c>
      <c r="F25" s="34">
        <f>특성연구!F28</f>
        <v>86100</v>
      </c>
      <c r="G25" s="34">
        <f>특성연구!G28</f>
        <v>0</v>
      </c>
      <c r="H25" s="34">
        <f>특성연구!H28</f>
        <v>0</v>
      </c>
      <c r="I25" s="34">
        <f>특성연구!I28</f>
        <v>0</v>
      </c>
      <c r="J25" s="34">
        <f>특성연구!J28</f>
        <v>0</v>
      </c>
      <c r="K25" s="34">
        <f>특성연구!K28</f>
        <v>0</v>
      </c>
    </row>
    <row r="28" spans="1:16" x14ac:dyDescent="0.2"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6" x14ac:dyDescent="0.2"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6" x14ac:dyDescent="0.2"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6" x14ac:dyDescent="0.2"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6" x14ac:dyDescent="0.2"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5" spans="2:11" x14ac:dyDescent="0.2"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2:11" x14ac:dyDescent="0.2"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2:11" x14ac:dyDescent="0.2"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2:11" x14ac:dyDescent="0.2"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2:11" x14ac:dyDescent="0.2">
      <c r="B39" s="34"/>
      <c r="C39" s="34"/>
      <c r="D39" s="34"/>
      <c r="E39" s="34"/>
      <c r="F39" s="34"/>
      <c r="G39" s="34"/>
      <c r="H39" s="34"/>
      <c r="I39" s="34"/>
      <c r="J39" s="34"/>
      <c r="K39" s="3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G28" sqref="G28"/>
    </sheetView>
  </sheetViews>
  <sheetFormatPr defaultRowHeight="12" x14ac:dyDescent="0.2"/>
  <cols>
    <col min="1" max="1" width="11.25" style="1" bestFit="1" customWidth="1"/>
    <col min="2" max="4" width="11.5" style="1" bestFit="1" customWidth="1"/>
    <col min="5" max="5" width="11.875" style="1" bestFit="1" customWidth="1"/>
    <col min="6" max="6" width="12.875" style="1" bestFit="1" customWidth="1"/>
    <col min="7" max="7" width="9.75" style="1" bestFit="1" customWidth="1"/>
    <col min="8" max="8" width="9.875" style="1" bestFit="1" customWidth="1"/>
    <col min="9" max="10" width="10" style="1" bestFit="1" customWidth="1"/>
    <col min="11" max="11" width="11.625" style="1" bestFit="1" customWidth="1"/>
    <col min="12" max="13" width="14.875" style="1" bestFit="1" customWidth="1"/>
    <col min="14" max="14" width="15.875" style="1" bestFit="1" customWidth="1"/>
    <col min="15" max="16" width="11.625" style="1" bestFit="1" customWidth="1"/>
    <col min="17" max="16384" width="9" style="1"/>
  </cols>
  <sheetData>
    <row r="1" spans="1:16" x14ac:dyDescent="0.2">
      <c r="A1" s="1" t="s">
        <v>1</v>
      </c>
      <c r="G1" s="1" t="s">
        <v>2</v>
      </c>
      <c r="L1" s="1" t="s">
        <v>3</v>
      </c>
    </row>
    <row r="2" spans="1:16" x14ac:dyDescent="0.2">
      <c r="A2" s="1" t="s">
        <v>6</v>
      </c>
      <c r="B2" s="1" t="s">
        <v>7</v>
      </c>
      <c r="I2" s="1" t="s">
        <v>17</v>
      </c>
      <c r="J2" s="1">
        <f t="shared" ref="J2:O2" si="0">J3/24</f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>P3/24</f>
        <v>0</v>
      </c>
    </row>
    <row r="3" spans="1:16" x14ac:dyDescent="0.2">
      <c r="A3" s="1" t="s">
        <v>9</v>
      </c>
      <c r="B3" s="1" t="s">
        <v>4</v>
      </c>
      <c r="D3" s="1" t="s">
        <v>15</v>
      </c>
      <c r="E3" s="12">
        <f t="shared" ref="E3" si="1">E4/60</f>
        <v>1</v>
      </c>
      <c r="F3" s="12">
        <f t="shared" ref="F3" si="2">F4/60</f>
        <v>2</v>
      </c>
      <c r="G3" s="12">
        <f t="shared" ref="G3" si="3">G4/60</f>
        <v>0</v>
      </c>
      <c r="H3" s="12">
        <f t="shared" ref="H3" si="4">H4/60</f>
        <v>0</v>
      </c>
      <c r="I3" s="12">
        <f t="shared" ref="I3" si="5">I4/60</f>
        <v>0</v>
      </c>
      <c r="J3" s="12">
        <f t="shared" ref="J3:O3" si="6">J4/60</f>
        <v>0</v>
      </c>
      <c r="K3" s="12">
        <f t="shared" si="6"/>
        <v>0</v>
      </c>
      <c r="L3" s="12">
        <f t="shared" si="6"/>
        <v>0</v>
      </c>
      <c r="M3" s="12">
        <f t="shared" si="6"/>
        <v>0</v>
      </c>
      <c r="N3" s="12">
        <f t="shared" si="6"/>
        <v>0</v>
      </c>
      <c r="O3" s="12">
        <f t="shared" si="6"/>
        <v>0</v>
      </c>
      <c r="P3" s="12">
        <f>P4/60</f>
        <v>0</v>
      </c>
    </row>
    <row r="4" spans="1:16" x14ac:dyDescent="0.2">
      <c r="A4" s="1" t="s">
        <v>8</v>
      </c>
      <c r="B4" s="1" t="s">
        <v>16</v>
      </c>
      <c r="C4" s="1">
        <f t="shared" ref="C4:P4" si="7">C6/60</f>
        <v>5</v>
      </c>
      <c r="D4" s="1">
        <f t="shared" si="7"/>
        <v>30</v>
      </c>
      <c r="E4" s="1">
        <f t="shared" si="7"/>
        <v>60</v>
      </c>
      <c r="F4" s="1">
        <f t="shared" si="7"/>
        <v>120</v>
      </c>
      <c r="G4" s="1">
        <f t="shared" si="7"/>
        <v>0</v>
      </c>
      <c r="H4" s="1">
        <f t="shared" si="7"/>
        <v>0</v>
      </c>
      <c r="I4" s="1">
        <f t="shared" si="7"/>
        <v>0</v>
      </c>
      <c r="J4" s="1">
        <f t="shared" si="7"/>
        <v>0</v>
      </c>
      <c r="K4" s="1">
        <f t="shared" si="7"/>
        <v>0</v>
      </c>
      <c r="L4" s="1">
        <f t="shared" si="7"/>
        <v>0</v>
      </c>
      <c r="M4" s="1">
        <f t="shared" si="7"/>
        <v>0</v>
      </c>
      <c r="N4" s="1">
        <f t="shared" si="7"/>
        <v>0</v>
      </c>
      <c r="O4" s="1">
        <f t="shared" si="7"/>
        <v>0</v>
      </c>
      <c r="P4" s="1">
        <f t="shared" si="7"/>
        <v>0</v>
      </c>
    </row>
    <row r="5" spans="1:16" x14ac:dyDescent="0.2">
      <c r="A5" s="47" t="s">
        <v>50</v>
      </c>
      <c r="B5" s="1">
        <v>1</v>
      </c>
      <c r="C5" s="1">
        <v>2</v>
      </c>
      <c r="D5" s="1">
        <v>3</v>
      </c>
      <c r="E5" s="1">
        <v>4</v>
      </c>
      <c r="F5" s="1">
        <v>5</v>
      </c>
    </row>
    <row r="6" spans="1:16" x14ac:dyDescent="0.2">
      <c r="A6" s="1">
        <v>1</v>
      </c>
      <c r="B6" s="41">
        <v>10</v>
      </c>
      <c r="C6" s="42">
        <v>300</v>
      </c>
      <c r="D6" s="42">
        <v>1800</v>
      </c>
      <c r="E6" s="42">
        <v>3600</v>
      </c>
      <c r="F6" s="42">
        <v>7200</v>
      </c>
      <c r="G6" s="41"/>
      <c r="H6" s="42"/>
      <c r="I6" s="42"/>
      <c r="J6" s="42"/>
      <c r="K6" s="42"/>
      <c r="L6" s="41"/>
      <c r="M6" s="42"/>
      <c r="N6" s="42"/>
      <c r="O6" s="42"/>
      <c r="P6" s="42"/>
    </row>
    <row r="7" spans="1:16" x14ac:dyDescent="0.2">
      <c r="A7" s="1">
        <v>2</v>
      </c>
      <c r="B7" s="42">
        <f>B6*3</f>
        <v>30</v>
      </c>
      <c r="C7" s="42">
        <f>C6+300</f>
        <v>600</v>
      </c>
      <c r="D7" s="42">
        <f>D6+300</f>
        <v>2100</v>
      </c>
      <c r="E7" s="42">
        <f t="shared" ref="E7:F10" si="8">E6+300</f>
        <v>3900</v>
      </c>
      <c r="F7" s="42">
        <f t="shared" si="8"/>
        <v>7500</v>
      </c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 x14ac:dyDescent="0.2">
      <c r="A8" s="1">
        <v>3</v>
      </c>
      <c r="B8" s="42">
        <v>60</v>
      </c>
      <c r="C8" s="42">
        <f t="shared" ref="C8:C10" si="9">C7+300</f>
        <v>900</v>
      </c>
      <c r="D8" s="42">
        <f t="shared" ref="D8:D10" si="10">D7+300</f>
        <v>2400</v>
      </c>
      <c r="E8" s="42">
        <f t="shared" si="8"/>
        <v>4200</v>
      </c>
      <c r="F8" s="42">
        <f t="shared" si="8"/>
        <v>7800</v>
      </c>
      <c r="G8" s="42"/>
      <c r="H8" s="42"/>
      <c r="I8" s="42"/>
      <c r="J8" s="42"/>
      <c r="K8" s="42"/>
      <c r="L8" s="42"/>
      <c r="M8" s="42"/>
      <c r="N8" s="42"/>
      <c r="O8" s="42"/>
      <c r="P8" s="42"/>
    </row>
    <row r="9" spans="1:16" x14ac:dyDescent="0.2">
      <c r="A9" s="1">
        <v>4</v>
      </c>
      <c r="B9" s="42">
        <v>120</v>
      </c>
      <c r="C9" s="42">
        <f t="shared" si="9"/>
        <v>1200</v>
      </c>
      <c r="D9" s="42">
        <f t="shared" si="10"/>
        <v>2700</v>
      </c>
      <c r="E9" s="42">
        <f t="shared" si="8"/>
        <v>4500</v>
      </c>
      <c r="F9" s="42">
        <f t="shared" si="8"/>
        <v>8100</v>
      </c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1:16" x14ac:dyDescent="0.2">
      <c r="A10" s="1">
        <v>5</v>
      </c>
      <c r="B10" s="42">
        <v>250</v>
      </c>
      <c r="C10" s="42">
        <f t="shared" si="9"/>
        <v>1500</v>
      </c>
      <c r="D10" s="42">
        <f t="shared" si="10"/>
        <v>3000</v>
      </c>
      <c r="E10" s="42">
        <f t="shared" si="8"/>
        <v>4800</v>
      </c>
      <c r="F10" s="42">
        <f t="shared" si="8"/>
        <v>8400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1:16" x14ac:dyDescent="0.2">
      <c r="A11" s="1" t="s">
        <v>1</v>
      </c>
      <c r="G11" s="1" t="s">
        <v>2</v>
      </c>
      <c r="L11" s="1" t="s">
        <v>3</v>
      </c>
      <c r="M11" s="13" t="s">
        <v>18</v>
      </c>
      <c r="N11" s="13" t="s">
        <v>19</v>
      </c>
      <c r="O11" s="13" t="s">
        <v>15</v>
      </c>
      <c r="P11" s="13" t="s">
        <v>20</v>
      </c>
    </row>
    <row r="12" spans="1:16" x14ac:dyDescent="0.2">
      <c r="A12" s="1" t="s">
        <v>6</v>
      </c>
      <c r="B12" s="1" t="s">
        <v>7</v>
      </c>
      <c r="M12" s="1">
        <f>SUM(B6:P10)</f>
        <v>76970</v>
      </c>
      <c r="N12" s="14">
        <f>M12/60</f>
        <v>1282.8333333333333</v>
      </c>
      <c r="O12" s="14">
        <f>N12/60</f>
        <v>21.380555555555553</v>
      </c>
      <c r="P12" s="14">
        <f>O12/24</f>
        <v>0.89085648148148133</v>
      </c>
    </row>
    <row r="13" spans="1:16" x14ac:dyDescent="0.2">
      <c r="A13" s="1" t="s">
        <v>9</v>
      </c>
      <c r="B13" s="1" t="s">
        <v>10</v>
      </c>
    </row>
    <row r="14" spans="1:16" x14ac:dyDescent="0.2">
      <c r="A14" s="1" t="s">
        <v>8</v>
      </c>
    </row>
    <row r="15" spans="1:16" x14ac:dyDescent="0.2">
      <c r="A15" s="1" t="s">
        <v>51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</row>
    <row r="16" spans="1:16" x14ac:dyDescent="0.2">
      <c r="A16" s="1">
        <v>1</v>
      </c>
      <c r="B16" s="41">
        <v>100</v>
      </c>
      <c r="C16" s="42">
        <f>B16*50</f>
        <v>5000</v>
      </c>
      <c r="D16" s="42">
        <f>C16*10</f>
        <v>50000</v>
      </c>
      <c r="E16" s="42">
        <f>D16*5</f>
        <v>250000</v>
      </c>
      <c r="F16" s="42">
        <f>E16*4</f>
        <v>1000000</v>
      </c>
      <c r="G16" s="41"/>
      <c r="H16" s="42"/>
      <c r="I16" s="42"/>
      <c r="J16" s="42"/>
      <c r="K16" s="42"/>
      <c r="L16" s="42"/>
      <c r="M16" s="42"/>
      <c r="N16" s="42"/>
      <c r="O16" s="42"/>
      <c r="P16" s="42"/>
    </row>
    <row r="17" spans="1:16" x14ac:dyDescent="0.2">
      <c r="A17" s="1">
        <v>2</v>
      </c>
      <c r="B17" s="42">
        <f>ROUNDUP(B16*1.2,-3)</f>
        <v>1000</v>
      </c>
      <c r="C17" s="42">
        <f>C16+18000</f>
        <v>23000</v>
      </c>
      <c r="D17" s="42">
        <f>D16+50000</f>
        <v>100000</v>
      </c>
      <c r="E17" s="42">
        <f>E16+140000</f>
        <v>390000</v>
      </c>
      <c r="F17" s="42">
        <f>F16+850000</f>
        <v>1850000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</row>
    <row r="18" spans="1:16" x14ac:dyDescent="0.2">
      <c r="A18" s="1">
        <v>3</v>
      </c>
      <c r="B18" s="42">
        <f t="shared" ref="B18:B20" si="11">ROUNDUP(B17*1.2,-3)</f>
        <v>2000</v>
      </c>
      <c r="C18" s="42">
        <f t="shared" ref="C18:C20" si="12">C17+18000</f>
        <v>41000</v>
      </c>
      <c r="D18" s="42">
        <f t="shared" ref="D18:D20" si="13">D17+50000</f>
        <v>150000</v>
      </c>
      <c r="E18" s="42">
        <f t="shared" ref="E18:E20" si="14">E17+140000</f>
        <v>530000</v>
      </c>
      <c r="F18" s="42">
        <f t="shared" ref="F18:F20" si="15">F17+850000</f>
        <v>2700000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">
      <c r="A19" s="1">
        <v>4</v>
      </c>
      <c r="B19" s="42">
        <f t="shared" si="11"/>
        <v>3000</v>
      </c>
      <c r="C19" s="42">
        <f t="shared" si="12"/>
        <v>59000</v>
      </c>
      <c r="D19" s="42">
        <f t="shared" si="13"/>
        <v>200000</v>
      </c>
      <c r="E19" s="42">
        <f t="shared" si="14"/>
        <v>670000</v>
      </c>
      <c r="F19" s="42">
        <f t="shared" si="15"/>
        <v>3550000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1:16" x14ac:dyDescent="0.2">
      <c r="A20" s="1">
        <v>5</v>
      </c>
      <c r="B20" s="42">
        <f t="shared" si="11"/>
        <v>4000</v>
      </c>
      <c r="C20" s="42">
        <f t="shared" si="12"/>
        <v>77000</v>
      </c>
      <c r="D20" s="42">
        <f t="shared" si="13"/>
        <v>250000</v>
      </c>
      <c r="E20" s="42">
        <f t="shared" si="14"/>
        <v>810000</v>
      </c>
      <c r="F20" s="42">
        <f t="shared" si="15"/>
        <v>4400000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1:16" x14ac:dyDescent="0.2">
      <c r="A21" s="1" t="s">
        <v>14</v>
      </c>
      <c r="B21" s="8"/>
      <c r="C21" s="9"/>
      <c r="D21" s="9"/>
      <c r="E21" s="9"/>
      <c r="F21" s="10"/>
      <c r="G21" s="8"/>
      <c r="H21" s="9"/>
      <c r="I21" s="9"/>
      <c r="J21" s="9"/>
      <c r="K21" s="10"/>
      <c r="L21" s="11"/>
      <c r="M21" s="11"/>
      <c r="N21" s="11"/>
      <c r="O21" s="11"/>
      <c r="P21" s="11"/>
    </row>
    <row r="22" spans="1:16" ht="10.5" customHeight="1" x14ac:dyDescent="0.2">
      <c r="A22" s="3" t="s">
        <v>11</v>
      </c>
      <c r="B22" s="85"/>
      <c r="C22" s="86"/>
      <c r="D22" s="86"/>
      <c r="E22" s="86"/>
      <c r="F22" s="87"/>
      <c r="G22" s="85"/>
      <c r="H22" s="86"/>
      <c r="I22" s="86"/>
      <c r="J22" s="86"/>
      <c r="K22" s="87"/>
    </row>
    <row r="23" spans="1:16" ht="10.5" customHeight="1" x14ac:dyDescent="0.2">
      <c r="A23" s="4" t="s">
        <v>5</v>
      </c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1</v>
      </c>
      <c r="H23" s="5">
        <v>2</v>
      </c>
      <c r="I23" s="5">
        <v>3</v>
      </c>
      <c r="J23" s="5">
        <v>4</v>
      </c>
      <c r="K23" s="5">
        <v>5</v>
      </c>
    </row>
    <row r="24" spans="1:16" x14ac:dyDescent="0.2">
      <c r="A24" s="1" t="s">
        <v>52</v>
      </c>
      <c r="B24" s="41">
        <v>900</v>
      </c>
      <c r="C24" s="42">
        <f>ROUNDDOWN(B24*1.7,-2)</f>
        <v>1500</v>
      </c>
      <c r="D24" s="42">
        <f>ROUNDDOWN(C24*1.7,-2)</f>
        <v>2500</v>
      </c>
      <c r="E24" s="42">
        <f>ROUNDDOWN(D24*1.7,-2)</f>
        <v>4200</v>
      </c>
      <c r="F24" s="42">
        <f>ROUNDDOWN(E24*1.7,-2)</f>
        <v>7100</v>
      </c>
      <c r="G24" s="41">
        <f>B24*0.9</f>
        <v>810</v>
      </c>
      <c r="H24" s="42">
        <f>ROUNDDOWN(G24*1.7,-2)</f>
        <v>1300</v>
      </c>
      <c r="I24" s="42">
        <f>ROUNDDOWN(H24*1.7,-2)</f>
        <v>2200</v>
      </c>
      <c r="J24" s="42">
        <f>ROUNDDOWN(I24*1.7,-2)</f>
        <v>3700</v>
      </c>
      <c r="K24" s="42">
        <f>ROUNDDOWN(J24*1.7,-2)</f>
        <v>6200</v>
      </c>
      <c r="L24" s="39">
        <f>SUM(B24:F24)</f>
        <v>16200</v>
      </c>
      <c r="M24" s="39">
        <f>SUM(G24:K24)</f>
        <v>14210</v>
      </c>
      <c r="N24" s="40">
        <f>L24+M24</f>
        <v>30410</v>
      </c>
    </row>
    <row r="25" spans="1:16" x14ac:dyDescent="0.2">
      <c r="A25" s="1" t="s">
        <v>53</v>
      </c>
      <c r="B25" s="42">
        <f>F24*1.5</f>
        <v>10650</v>
      </c>
      <c r="C25" s="42">
        <f>ROUNDDOWN(B25*1.7,-2)</f>
        <v>18100</v>
      </c>
      <c r="D25" s="42">
        <f t="shared" ref="D25:F25" si="16">ROUNDDOWN(C25*1.7,-2)</f>
        <v>30700</v>
      </c>
      <c r="E25" s="42">
        <f t="shared" si="16"/>
        <v>52100</v>
      </c>
      <c r="F25" s="42">
        <f t="shared" si="16"/>
        <v>88500</v>
      </c>
      <c r="G25" s="42">
        <f>B25*1.2</f>
        <v>12780</v>
      </c>
      <c r="H25" s="42">
        <f>ROUNDDOWN(G25*1.7,-2)</f>
        <v>21700</v>
      </c>
      <c r="I25" s="42">
        <f t="shared" ref="I25:I26" si="17">ROUNDDOWN(H25*1.7,-2)</f>
        <v>36800</v>
      </c>
      <c r="J25" s="42">
        <f t="shared" ref="J25:J26" si="18">ROUNDDOWN(I25*1.7,-2)</f>
        <v>62500</v>
      </c>
      <c r="K25" s="42">
        <f t="shared" ref="K25:K26" si="19">ROUNDDOWN(J25*1.7,-2)</f>
        <v>106200</v>
      </c>
      <c r="L25" s="39">
        <f t="shared" ref="L25:L28" si="20">SUM(B25:F25)</f>
        <v>200050</v>
      </c>
      <c r="M25" s="39">
        <f t="shared" ref="M25:M28" si="21">SUM(G25:K25)</f>
        <v>239980</v>
      </c>
      <c r="N25" s="40">
        <f t="shared" ref="N25:N28" si="22">L25+M25</f>
        <v>440030</v>
      </c>
    </row>
    <row r="26" spans="1:16" x14ac:dyDescent="0.2">
      <c r="A26" s="1" t="s">
        <v>54</v>
      </c>
      <c r="B26" s="42">
        <f>D25/10</f>
        <v>3070</v>
      </c>
      <c r="C26" s="42">
        <f>ROUNDDOWN(B26*1.7,-2)</f>
        <v>5200</v>
      </c>
      <c r="D26" s="42">
        <f t="shared" ref="D26:F26" si="23">ROUNDDOWN(C26*1.7,-2)</f>
        <v>8800</v>
      </c>
      <c r="E26" s="42">
        <f t="shared" si="23"/>
        <v>14900</v>
      </c>
      <c r="F26" s="42">
        <f t="shared" si="23"/>
        <v>25300</v>
      </c>
      <c r="G26" s="42">
        <v>0</v>
      </c>
      <c r="H26" s="42">
        <f>ROUNDDOWN(G26*1.7,-2)</f>
        <v>0</v>
      </c>
      <c r="I26" s="42">
        <f t="shared" si="17"/>
        <v>0</v>
      </c>
      <c r="J26" s="42">
        <f t="shared" si="18"/>
        <v>0</v>
      </c>
      <c r="K26" s="42">
        <f t="shared" si="19"/>
        <v>0</v>
      </c>
      <c r="L26" s="39">
        <f t="shared" si="20"/>
        <v>57270</v>
      </c>
      <c r="M26" s="39">
        <f t="shared" si="21"/>
        <v>0</v>
      </c>
      <c r="N26" s="40">
        <f t="shared" si="22"/>
        <v>57270</v>
      </c>
    </row>
    <row r="27" spans="1:16" x14ac:dyDescent="0.2">
      <c r="A27" s="1" t="s">
        <v>55</v>
      </c>
      <c r="B27" s="42">
        <f t="shared" ref="B27" si="24">ROUNDDOWN(B26*2.7,-2)</f>
        <v>8200</v>
      </c>
      <c r="C27" s="42">
        <f>ROUNDDOWN(B27*1.68,-2)</f>
        <v>13700</v>
      </c>
      <c r="D27" s="42">
        <f t="shared" ref="D27:F27" si="25">ROUNDDOWN(C27*1.68,-2)</f>
        <v>23000</v>
      </c>
      <c r="E27" s="42">
        <f t="shared" si="25"/>
        <v>38600</v>
      </c>
      <c r="F27" s="42">
        <f t="shared" si="25"/>
        <v>64800</v>
      </c>
      <c r="G27" s="42">
        <v>0</v>
      </c>
      <c r="H27" s="42">
        <f>ROUNDDOWN(G27*1.68,-2)</f>
        <v>0</v>
      </c>
      <c r="I27" s="42">
        <f t="shared" ref="I27" si="26">ROUNDDOWN(H27*1.68,-2)</f>
        <v>0</v>
      </c>
      <c r="J27" s="42">
        <f t="shared" ref="J27" si="27">ROUNDDOWN(I27*1.68,-2)</f>
        <v>0</v>
      </c>
      <c r="K27" s="42">
        <f t="shared" ref="K27" si="28">ROUNDDOWN(J27*1.68,-2)</f>
        <v>0</v>
      </c>
      <c r="L27" s="39">
        <f t="shared" si="20"/>
        <v>148300</v>
      </c>
      <c r="M27" s="39">
        <f t="shared" si="21"/>
        <v>0</v>
      </c>
      <c r="N27" s="40">
        <f t="shared" si="22"/>
        <v>148300</v>
      </c>
    </row>
    <row r="28" spans="1:16" x14ac:dyDescent="0.2">
      <c r="A28" s="1" t="s">
        <v>56</v>
      </c>
      <c r="B28" s="42">
        <f>ROUNDDOWN(B27*3.7,-2)</f>
        <v>30300</v>
      </c>
      <c r="C28" s="42">
        <f>ROUNDDOWN(B28*1.3,-2)</f>
        <v>39300</v>
      </c>
      <c r="D28" s="42">
        <f t="shared" ref="D28:F28" si="29">ROUNDDOWN(C28*1.3,-2)</f>
        <v>51000</v>
      </c>
      <c r="E28" s="42">
        <f t="shared" si="29"/>
        <v>66300</v>
      </c>
      <c r="F28" s="42">
        <f t="shared" si="29"/>
        <v>86100</v>
      </c>
      <c r="G28" s="42">
        <v>0</v>
      </c>
      <c r="H28" s="42">
        <f>ROUNDDOWN(G28*1.3,-2)</f>
        <v>0</v>
      </c>
      <c r="I28" s="42">
        <f t="shared" ref="I28" si="30">ROUNDDOWN(H28*1.3,-2)</f>
        <v>0</v>
      </c>
      <c r="J28" s="42">
        <f t="shared" ref="J28" si="31">ROUNDDOWN(I28*1.3,-2)</f>
        <v>0</v>
      </c>
      <c r="K28" s="42">
        <f t="shared" ref="K28" si="32">ROUNDDOWN(J28*1.3,-2)</f>
        <v>0</v>
      </c>
      <c r="L28" s="39">
        <f t="shared" si="20"/>
        <v>273000</v>
      </c>
      <c r="M28" s="39">
        <f t="shared" si="21"/>
        <v>0</v>
      </c>
      <c r="N28" s="40">
        <f t="shared" si="22"/>
        <v>273000</v>
      </c>
    </row>
    <row r="29" spans="1:16" x14ac:dyDescent="0.2">
      <c r="A29" s="3" t="s">
        <v>12</v>
      </c>
      <c r="B29" s="85"/>
      <c r="C29" s="86"/>
      <c r="D29" s="86"/>
      <c r="E29" s="86"/>
      <c r="F29" s="87"/>
      <c r="G29" s="85"/>
      <c r="H29" s="86"/>
      <c r="I29" s="86"/>
      <c r="J29" s="86"/>
      <c r="K29" s="87"/>
      <c r="L29" s="39"/>
      <c r="M29" s="39"/>
      <c r="N29" s="39"/>
    </row>
    <row r="30" spans="1:16" x14ac:dyDescent="0.2">
      <c r="A30" s="4" t="s">
        <v>0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1</v>
      </c>
      <c r="H30" s="5">
        <v>2</v>
      </c>
      <c r="I30" s="5">
        <v>3</v>
      </c>
      <c r="J30" s="5">
        <v>4</v>
      </c>
      <c r="K30" s="5">
        <v>5</v>
      </c>
      <c r="L30" s="39"/>
      <c r="M30" s="39"/>
      <c r="N30" s="39"/>
    </row>
    <row r="31" spans="1:16" x14ac:dyDescent="0.2">
      <c r="A31" s="1" t="s">
        <v>52</v>
      </c>
      <c r="B31" s="41">
        <f>(B26)*0.2</f>
        <v>614</v>
      </c>
      <c r="C31" s="42">
        <f>ROUNDDOWN(B31*1.4,-2)</f>
        <v>800</v>
      </c>
      <c r="D31" s="42">
        <f t="shared" ref="D31:F31" si="33">ROUNDDOWN(C31*1.4,-2)</f>
        <v>1100</v>
      </c>
      <c r="E31" s="42">
        <f t="shared" si="33"/>
        <v>1500</v>
      </c>
      <c r="F31" s="42">
        <f t="shared" si="33"/>
        <v>2100</v>
      </c>
      <c r="G31" s="41">
        <v>0</v>
      </c>
      <c r="H31" s="42">
        <v>0</v>
      </c>
      <c r="I31" s="42">
        <v>0</v>
      </c>
      <c r="J31" s="42">
        <v>0</v>
      </c>
      <c r="K31" s="42">
        <v>0</v>
      </c>
      <c r="L31" s="39">
        <f>SUM(B31:F31) * 2</f>
        <v>12228</v>
      </c>
      <c r="M31" s="39">
        <f>SUM(G31:K31)*3</f>
        <v>0</v>
      </c>
      <c r="N31" s="39">
        <f>L31+M31</f>
        <v>12228</v>
      </c>
      <c r="O31" s="2"/>
      <c r="P31" s="2"/>
    </row>
    <row r="32" spans="1:16" x14ac:dyDescent="0.2">
      <c r="A32" s="1" t="s">
        <v>53</v>
      </c>
      <c r="B32" s="42">
        <f>(B27/2)*1.3</f>
        <v>5330</v>
      </c>
      <c r="C32" s="42">
        <f>ROUNDDOWN(B32*1.55,-2)</f>
        <v>8200</v>
      </c>
      <c r="D32" s="42">
        <f t="shared" ref="D32:F32" si="34">ROUNDDOWN(C32*1.55,-2)</f>
        <v>12700</v>
      </c>
      <c r="E32" s="42">
        <f t="shared" si="34"/>
        <v>19600</v>
      </c>
      <c r="F32" s="42">
        <f t="shared" si="34"/>
        <v>30300</v>
      </c>
      <c r="G32" s="42">
        <f>(G27/3)*1.2</f>
        <v>0</v>
      </c>
      <c r="H32" s="42">
        <f>ROUNDDOWN(G32*1.6,-2)</f>
        <v>0</v>
      </c>
      <c r="I32" s="42">
        <f t="shared" ref="I32:K32" si="35">ROUNDDOWN(H32*1.6,-2)</f>
        <v>0</v>
      </c>
      <c r="J32" s="42">
        <f t="shared" si="35"/>
        <v>0</v>
      </c>
      <c r="K32" s="42">
        <f t="shared" si="35"/>
        <v>0</v>
      </c>
      <c r="L32" s="39">
        <f t="shared" ref="L32:L35" si="36">SUM(B32:F32) * 2</f>
        <v>152260</v>
      </c>
      <c r="M32" s="39">
        <f t="shared" ref="M32:M35" si="37">SUM(G32:K32)*3</f>
        <v>0</v>
      </c>
      <c r="N32" s="39">
        <f t="shared" ref="N32:N35" si="38">L32+M32</f>
        <v>152260</v>
      </c>
      <c r="O32" s="2"/>
      <c r="P32" s="2"/>
    </row>
    <row r="33" spans="1:16" x14ac:dyDescent="0.2">
      <c r="A33" s="1" t="s">
        <v>54</v>
      </c>
      <c r="B33" s="42">
        <f>(B28/2)*1.2</f>
        <v>18180</v>
      </c>
      <c r="C33" s="42">
        <f>ROUNDDOWN(B33*1.25,-2)</f>
        <v>22700</v>
      </c>
      <c r="D33" s="42">
        <f t="shared" ref="D33:F33" si="39">ROUNDDOWN(C33*1.25,-2)</f>
        <v>28300</v>
      </c>
      <c r="E33" s="42">
        <f t="shared" si="39"/>
        <v>35300</v>
      </c>
      <c r="F33" s="42">
        <f t="shared" si="39"/>
        <v>44100</v>
      </c>
      <c r="G33" s="42">
        <f>(G28/3)*1.2</f>
        <v>0</v>
      </c>
      <c r="H33" s="42">
        <f>ROUNDDOWN(G33*1.2,-2)</f>
        <v>0</v>
      </c>
      <c r="I33" s="42">
        <f t="shared" ref="I33:K33" si="40">ROUNDDOWN(H33*1.2,-2)</f>
        <v>0</v>
      </c>
      <c r="J33" s="42">
        <f t="shared" si="40"/>
        <v>0</v>
      </c>
      <c r="K33" s="42">
        <f t="shared" si="40"/>
        <v>0</v>
      </c>
      <c r="L33" s="39">
        <f t="shared" si="36"/>
        <v>297160</v>
      </c>
      <c r="M33" s="39">
        <f t="shared" si="37"/>
        <v>0</v>
      </c>
      <c r="N33" s="39">
        <f t="shared" si="38"/>
        <v>297160</v>
      </c>
      <c r="O33" s="2"/>
      <c r="P33" s="2"/>
    </row>
    <row r="34" spans="1:16" x14ac:dyDescent="0.2">
      <c r="A34" s="1" t="s">
        <v>55</v>
      </c>
      <c r="B34" s="42">
        <f>ROUNDDOWN(B33*1.7,-2)</f>
        <v>30900</v>
      </c>
      <c r="C34" s="42">
        <f>ROUNDDOWN(B34*1.1,-2)</f>
        <v>33900</v>
      </c>
      <c r="D34" s="42">
        <f t="shared" ref="D34:F34" si="41">ROUNDDOWN(C34*1.1,-2)</f>
        <v>37200</v>
      </c>
      <c r="E34" s="42">
        <f t="shared" si="41"/>
        <v>40900</v>
      </c>
      <c r="F34" s="42">
        <f t="shared" si="41"/>
        <v>44900</v>
      </c>
      <c r="G34" s="42">
        <f>ROUNDDOWN(G33*1.7,-2)</f>
        <v>0</v>
      </c>
      <c r="H34" s="42">
        <f>ROUNDDOWN(G34*1.2,-2)</f>
        <v>0</v>
      </c>
      <c r="I34" s="42">
        <f t="shared" ref="I34:K34" si="42">ROUNDDOWN(H34*1.2,-2)</f>
        <v>0</v>
      </c>
      <c r="J34" s="42">
        <f t="shared" si="42"/>
        <v>0</v>
      </c>
      <c r="K34" s="42">
        <f t="shared" si="42"/>
        <v>0</v>
      </c>
      <c r="L34" s="39">
        <f t="shared" si="36"/>
        <v>375600</v>
      </c>
      <c r="M34" s="39">
        <f t="shared" si="37"/>
        <v>0</v>
      </c>
      <c r="N34" s="39">
        <f t="shared" si="38"/>
        <v>375600</v>
      </c>
      <c r="O34" s="2"/>
      <c r="P34" s="2"/>
    </row>
    <row r="35" spans="1:16" x14ac:dyDescent="0.2">
      <c r="A35" s="1" t="s">
        <v>56</v>
      </c>
      <c r="B35" s="42">
        <f>ROUNDDOWN(B34*1.7,-2)</f>
        <v>52500</v>
      </c>
      <c r="C35" s="42">
        <f>ROUNDDOWN(B35*1.2,-2)</f>
        <v>63000</v>
      </c>
      <c r="D35" s="42">
        <f t="shared" ref="D35:F35" si="43">ROUNDDOWN(C35*1.2,-2)</f>
        <v>75600</v>
      </c>
      <c r="E35" s="42">
        <f t="shared" si="43"/>
        <v>90700</v>
      </c>
      <c r="F35" s="42">
        <f t="shared" si="43"/>
        <v>108800</v>
      </c>
      <c r="G35" s="42">
        <f>ROUNDDOWN(G34*1.7,-2)</f>
        <v>0</v>
      </c>
      <c r="H35" s="42">
        <f>ROUNDDOWN(G35*1.1,-2)</f>
        <v>0</v>
      </c>
      <c r="I35" s="42">
        <f t="shared" ref="I35:K35" si="44">ROUNDDOWN(H35*1.1,-2)</f>
        <v>0</v>
      </c>
      <c r="J35" s="42">
        <f t="shared" si="44"/>
        <v>0</v>
      </c>
      <c r="K35" s="42">
        <f t="shared" si="44"/>
        <v>0</v>
      </c>
      <c r="L35" s="39">
        <f t="shared" si="36"/>
        <v>781200</v>
      </c>
      <c r="M35" s="39">
        <f t="shared" si="37"/>
        <v>0</v>
      </c>
      <c r="N35" s="39">
        <f t="shared" si="38"/>
        <v>781200</v>
      </c>
      <c r="O35" s="2"/>
      <c r="P35" s="2"/>
    </row>
    <row r="36" spans="1:16" s="7" customFormat="1" x14ac:dyDescent="0.3">
      <c r="A36" s="3" t="s">
        <v>13</v>
      </c>
      <c r="B36" s="85"/>
      <c r="C36" s="86"/>
      <c r="D36" s="86"/>
      <c r="E36" s="86"/>
      <c r="F36" s="87"/>
      <c r="G36" s="85"/>
      <c r="H36" s="86"/>
      <c r="I36" s="86"/>
      <c r="J36" s="86"/>
      <c r="K36" s="87"/>
      <c r="L36" s="6"/>
    </row>
    <row r="37" spans="1:16" s="7" customFormat="1" x14ac:dyDescent="0.3">
      <c r="A37" s="4" t="s">
        <v>0</v>
      </c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1</v>
      </c>
      <c r="H37" s="5">
        <v>2</v>
      </c>
      <c r="I37" s="5">
        <v>3</v>
      </c>
      <c r="J37" s="5">
        <v>4</v>
      </c>
      <c r="K37" s="5">
        <v>5</v>
      </c>
      <c r="L37" s="6"/>
    </row>
    <row r="38" spans="1:16" x14ac:dyDescent="0.2">
      <c r="A38" s="1" t="s">
        <v>52</v>
      </c>
      <c r="B38" s="41">
        <f>(B35*0.6667)*0.7</f>
        <v>24501.224999999999</v>
      </c>
      <c r="C38" s="42">
        <f>ROUNDDOWN(B38*1.2,-2)</f>
        <v>29400</v>
      </c>
      <c r="D38" s="42">
        <f t="shared" ref="D38:F38" si="45">ROUNDDOWN(C38*1.2,-2)</f>
        <v>35200</v>
      </c>
      <c r="E38" s="42">
        <f t="shared" si="45"/>
        <v>42200</v>
      </c>
      <c r="F38" s="42">
        <f t="shared" si="45"/>
        <v>50600</v>
      </c>
      <c r="G38" s="41">
        <f>(G35*0.6)*0.7</f>
        <v>0</v>
      </c>
      <c r="H38" s="42">
        <f>ROUNDDOWN(G38*1.1,-2)</f>
        <v>0</v>
      </c>
      <c r="I38" s="42">
        <f t="shared" ref="I38:K38" si="46">ROUNDDOWN(H38*1.1,-2)</f>
        <v>0</v>
      </c>
      <c r="J38" s="42">
        <f t="shared" si="46"/>
        <v>0</v>
      </c>
      <c r="K38" s="42">
        <f t="shared" si="46"/>
        <v>0</v>
      </c>
      <c r="L38" s="46">
        <f>SUM(B38:F38) * 3</f>
        <v>545703.67500000005</v>
      </c>
      <c r="M38" s="46">
        <f>SUM(G38:K38)*5</f>
        <v>0</v>
      </c>
      <c r="N38" s="46">
        <f>L38+M38</f>
        <v>545703.67500000005</v>
      </c>
    </row>
    <row r="39" spans="1:16" x14ac:dyDescent="0.2">
      <c r="A39" s="1" t="s">
        <v>53</v>
      </c>
      <c r="B39" s="42">
        <f>ROUNDDOWN(B38*1.7,-2)</f>
        <v>41600</v>
      </c>
      <c r="C39" s="42">
        <f t="shared" ref="C39:K42" si="47">ROUNDDOWN(C38*1.5,-2)</f>
        <v>44100</v>
      </c>
      <c r="D39" s="42">
        <f t="shared" si="47"/>
        <v>52800</v>
      </c>
      <c r="E39" s="42">
        <f t="shared" si="47"/>
        <v>63300</v>
      </c>
      <c r="F39" s="42">
        <f t="shared" si="47"/>
        <v>75900</v>
      </c>
      <c r="G39" s="42">
        <f t="shared" si="47"/>
        <v>0</v>
      </c>
      <c r="H39" s="42">
        <f t="shared" si="47"/>
        <v>0</v>
      </c>
      <c r="I39" s="42">
        <f t="shared" si="47"/>
        <v>0</v>
      </c>
      <c r="J39" s="42">
        <f t="shared" si="47"/>
        <v>0</v>
      </c>
      <c r="K39" s="42">
        <f t="shared" si="47"/>
        <v>0</v>
      </c>
      <c r="L39" s="46">
        <f t="shared" ref="L39:L42" si="48">SUM(B39:F39) * 3</f>
        <v>833100</v>
      </c>
      <c r="M39" s="46">
        <f t="shared" ref="M39:M42" si="49">SUM(G39:K39)*5</f>
        <v>0</v>
      </c>
      <c r="N39" s="46">
        <f t="shared" ref="N39:N42" si="50">L39+M39</f>
        <v>833100</v>
      </c>
    </row>
    <row r="40" spans="1:16" x14ac:dyDescent="0.2">
      <c r="A40" s="1" t="s">
        <v>54</v>
      </c>
      <c r="B40" s="42">
        <f t="shared" ref="B40:B42" si="51">ROUNDDOWN(B39*1.7,-2)</f>
        <v>70700</v>
      </c>
      <c r="C40" s="42">
        <f t="shared" si="47"/>
        <v>66100</v>
      </c>
      <c r="D40" s="42">
        <f t="shared" si="47"/>
        <v>79200</v>
      </c>
      <c r="E40" s="42">
        <f t="shared" si="47"/>
        <v>94900</v>
      </c>
      <c r="F40" s="42">
        <f t="shared" si="47"/>
        <v>113800</v>
      </c>
      <c r="G40" s="42">
        <f t="shared" si="47"/>
        <v>0</v>
      </c>
      <c r="H40" s="42">
        <f t="shared" si="47"/>
        <v>0</v>
      </c>
      <c r="I40" s="42">
        <f t="shared" si="47"/>
        <v>0</v>
      </c>
      <c r="J40" s="42">
        <f t="shared" si="47"/>
        <v>0</v>
      </c>
      <c r="K40" s="42">
        <f t="shared" si="47"/>
        <v>0</v>
      </c>
      <c r="L40" s="46">
        <f t="shared" si="48"/>
        <v>1274100</v>
      </c>
      <c r="M40" s="46">
        <f t="shared" si="49"/>
        <v>0</v>
      </c>
      <c r="N40" s="46">
        <f t="shared" si="50"/>
        <v>1274100</v>
      </c>
    </row>
    <row r="41" spans="1:16" x14ac:dyDescent="0.2">
      <c r="A41" s="1" t="s">
        <v>55</v>
      </c>
      <c r="B41" s="42">
        <f t="shared" si="51"/>
        <v>120100</v>
      </c>
      <c r="C41" s="42">
        <f t="shared" si="47"/>
        <v>99100</v>
      </c>
      <c r="D41" s="42">
        <f t="shared" si="47"/>
        <v>118800</v>
      </c>
      <c r="E41" s="42">
        <f t="shared" si="47"/>
        <v>142300</v>
      </c>
      <c r="F41" s="42">
        <f t="shared" si="47"/>
        <v>170700</v>
      </c>
      <c r="G41" s="42">
        <f t="shared" si="47"/>
        <v>0</v>
      </c>
      <c r="H41" s="42">
        <f t="shared" si="47"/>
        <v>0</v>
      </c>
      <c r="I41" s="42">
        <f t="shared" si="47"/>
        <v>0</v>
      </c>
      <c r="J41" s="42">
        <f t="shared" si="47"/>
        <v>0</v>
      </c>
      <c r="K41" s="42">
        <f t="shared" si="47"/>
        <v>0</v>
      </c>
      <c r="L41" s="46">
        <f t="shared" si="48"/>
        <v>1953000</v>
      </c>
      <c r="M41" s="46">
        <f t="shared" si="49"/>
        <v>0</v>
      </c>
      <c r="N41" s="46">
        <f t="shared" si="50"/>
        <v>1953000</v>
      </c>
    </row>
    <row r="42" spans="1:16" x14ac:dyDescent="0.2">
      <c r="A42" s="1" t="s">
        <v>56</v>
      </c>
      <c r="B42" s="42">
        <f t="shared" si="51"/>
        <v>204100</v>
      </c>
      <c r="C42" s="42">
        <f t="shared" si="47"/>
        <v>148600</v>
      </c>
      <c r="D42" s="42">
        <f t="shared" si="47"/>
        <v>178200</v>
      </c>
      <c r="E42" s="42">
        <f t="shared" si="47"/>
        <v>213400</v>
      </c>
      <c r="F42" s="42">
        <f t="shared" si="47"/>
        <v>256000</v>
      </c>
      <c r="G42" s="42">
        <f t="shared" si="47"/>
        <v>0</v>
      </c>
      <c r="H42" s="42">
        <f t="shared" si="47"/>
        <v>0</v>
      </c>
      <c r="I42" s="42">
        <f t="shared" si="47"/>
        <v>0</v>
      </c>
      <c r="J42" s="42">
        <f t="shared" si="47"/>
        <v>0</v>
      </c>
      <c r="K42" s="42">
        <f t="shared" si="47"/>
        <v>0</v>
      </c>
      <c r="L42" s="46">
        <f t="shared" si="48"/>
        <v>3000900</v>
      </c>
      <c r="M42" s="46">
        <f t="shared" si="49"/>
        <v>0</v>
      </c>
      <c r="N42" s="46">
        <f t="shared" si="50"/>
        <v>3000900</v>
      </c>
    </row>
    <row r="44" spans="1:16" x14ac:dyDescent="0.2">
      <c r="A44" s="1" t="s">
        <v>21</v>
      </c>
      <c r="B44" s="39">
        <v>10</v>
      </c>
      <c r="C44" s="39">
        <v>300</v>
      </c>
      <c r="D44" s="39">
        <v>1800</v>
      </c>
      <c r="E44" s="39">
        <v>3600</v>
      </c>
      <c r="F44" s="39">
        <v>7200</v>
      </c>
      <c r="G44" s="39">
        <v>2000</v>
      </c>
      <c r="H44" s="39">
        <v>4000</v>
      </c>
      <c r="I44" s="39">
        <v>8000</v>
      </c>
      <c r="J44" s="39">
        <v>16000</v>
      </c>
      <c r="K44" s="39">
        <v>32000</v>
      </c>
      <c r="L44" s="39">
        <v>30000</v>
      </c>
      <c r="M44" s="39">
        <v>60000</v>
      </c>
      <c r="N44" s="39">
        <v>120000</v>
      </c>
      <c r="O44" s="39">
        <v>240000</v>
      </c>
      <c r="P44" s="39">
        <v>480000</v>
      </c>
    </row>
    <row r="45" spans="1:16" x14ac:dyDescent="0.2">
      <c r="A45" s="1" t="s">
        <v>21</v>
      </c>
      <c r="B45" s="39">
        <v>30</v>
      </c>
      <c r="C45" s="39">
        <v>90</v>
      </c>
      <c r="D45" s="39">
        <v>270</v>
      </c>
      <c r="E45" s="39">
        <v>810</v>
      </c>
      <c r="F45" s="39">
        <v>2430</v>
      </c>
      <c r="G45" s="39">
        <v>180</v>
      </c>
      <c r="H45" s="39">
        <v>540</v>
      </c>
      <c r="I45" s="39">
        <v>1620</v>
      </c>
      <c r="J45" s="39">
        <v>4860</v>
      </c>
      <c r="K45" s="39">
        <v>14580</v>
      </c>
      <c r="L45" s="39">
        <v>1080</v>
      </c>
      <c r="M45" s="39">
        <v>3240</v>
      </c>
      <c r="N45" s="39">
        <v>9720</v>
      </c>
      <c r="O45" s="39">
        <v>29160</v>
      </c>
      <c r="P45" s="39">
        <v>87480</v>
      </c>
    </row>
    <row r="46" spans="1:16" x14ac:dyDescent="0.2">
      <c r="A46" s="1" t="s">
        <v>21</v>
      </c>
      <c r="B46" s="39">
        <v>60</v>
      </c>
      <c r="C46" s="39">
        <v>180</v>
      </c>
      <c r="D46" s="39">
        <v>540</v>
      </c>
      <c r="E46" s="39">
        <v>1620</v>
      </c>
      <c r="F46" s="39">
        <v>4860</v>
      </c>
      <c r="G46" s="39">
        <v>360</v>
      </c>
      <c r="H46" s="39">
        <v>1080</v>
      </c>
      <c r="I46" s="39">
        <v>3240</v>
      </c>
      <c r="J46" s="39">
        <v>9720</v>
      </c>
      <c r="K46" s="39">
        <v>29160</v>
      </c>
      <c r="L46" s="39">
        <v>2160</v>
      </c>
      <c r="M46" s="39">
        <v>6480</v>
      </c>
      <c r="N46" s="39">
        <v>19440</v>
      </c>
      <c r="O46" s="39">
        <v>58320</v>
      </c>
      <c r="P46" s="39">
        <v>174960</v>
      </c>
    </row>
    <row r="47" spans="1:16" x14ac:dyDescent="0.2">
      <c r="A47" s="1" t="s">
        <v>21</v>
      </c>
      <c r="B47" s="39">
        <v>90</v>
      </c>
      <c r="C47" s="39">
        <v>360</v>
      </c>
      <c r="D47" s="39">
        <v>1080</v>
      </c>
      <c r="E47" s="39">
        <v>3240</v>
      </c>
      <c r="F47" s="39">
        <v>9720</v>
      </c>
      <c r="G47" s="39">
        <v>720</v>
      </c>
      <c r="H47" s="39">
        <v>2160</v>
      </c>
      <c r="I47" s="39">
        <v>6480</v>
      </c>
      <c r="J47" s="39">
        <v>19440</v>
      </c>
      <c r="K47" s="39">
        <v>58320</v>
      </c>
      <c r="L47" s="39">
        <v>4320</v>
      </c>
      <c r="M47" s="39">
        <v>12960</v>
      </c>
      <c r="N47" s="39">
        <v>38880</v>
      </c>
      <c r="O47" s="39">
        <v>116640</v>
      </c>
      <c r="P47" s="39">
        <v>349920</v>
      </c>
    </row>
    <row r="48" spans="1:16" x14ac:dyDescent="0.2">
      <c r="A48" s="1" t="s">
        <v>21</v>
      </c>
      <c r="B48" s="39">
        <v>120</v>
      </c>
      <c r="C48" s="39">
        <v>720</v>
      </c>
      <c r="D48" s="39">
        <v>2160</v>
      </c>
      <c r="E48" s="39">
        <v>6480</v>
      </c>
      <c r="F48" s="39">
        <v>19440</v>
      </c>
      <c r="G48" s="39">
        <v>1440</v>
      </c>
      <c r="H48" s="39">
        <v>4320</v>
      </c>
      <c r="I48" s="39">
        <v>12960</v>
      </c>
      <c r="J48" s="39">
        <v>38880</v>
      </c>
      <c r="K48" s="39">
        <v>116640</v>
      </c>
      <c r="L48" s="39">
        <v>8640</v>
      </c>
      <c r="M48" s="39">
        <v>25920</v>
      </c>
      <c r="N48" s="39">
        <v>77760</v>
      </c>
      <c r="O48" s="39">
        <v>233280</v>
      </c>
      <c r="P48" s="39">
        <v>699840</v>
      </c>
    </row>
    <row r="50" spans="2:7" x14ac:dyDescent="0.2">
      <c r="E50" s="1">
        <f>1500*2</f>
        <v>3000</v>
      </c>
    </row>
    <row r="51" spans="2:7" x14ac:dyDescent="0.2">
      <c r="E51" s="1">
        <f>1000*3</f>
        <v>3000</v>
      </c>
    </row>
    <row r="52" spans="2:7" x14ac:dyDescent="0.2">
      <c r="B52" s="43">
        <f>3/5</f>
        <v>0.6</v>
      </c>
      <c r="C52" s="44" t="s">
        <v>46</v>
      </c>
      <c r="D52" s="1" t="s">
        <v>47</v>
      </c>
      <c r="E52" s="44"/>
      <c r="G52" s="44">
        <f>B32*2</f>
        <v>10660</v>
      </c>
    </row>
    <row r="53" spans="2:7" x14ac:dyDescent="0.2">
      <c r="C53" s="1" t="s">
        <v>48</v>
      </c>
      <c r="D53" s="1" t="s">
        <v>49</v>
      </c>
      <c r="E53" s="45"/>
      <c r="G53" s="44">
        <f>G32*3</f>
        <v>0</v>
      </c>
    </row>
  </sheetData>
  <mergeCells count="6">
    <mergeCell ref="B22:F22"/>
    <mergeCell ref="G22:K22"/>
    <mergeCell ref="B29:F29"/>
    <mergeCell ref="G29:K29"/>
    <mergeCell ref="B36:F36"/>
    <mergeCell ref="G36:K36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J3" sqref="J3:J17"/>
    </sheetView>
  </sheetViews>
  <sheetFormatPr defaultRowHeight="12" x14ac:dyDescent="0.2"/>
  <cols>
    <col min="1" max="4" width="9" style="1"/>
    <col min="5" max="5" width="9.75" style="70" bestFit="1" customWidth="1"/>
    <col min="6" max="6" width="9.75" style="39" customWidth="1"/>
    <col min="7" max="7" width="11.5" style="39" bestFit="1" customWidth="1"/>
    <col min="8" max="8" width="9.75" style="39" customWidth="1"/>
    <col min="9" max="10" width="9.75" style="40" customWidth="1"/>
    <col min="11" max="12" width="9" style="53"/>
    <col min="13" max="13" width="9.75" style="53" bestFit="1" customWidth="1"/>
    <col min="14" max="14" width="9.75" style="1" customWidth="1"/>
    <col min="15" max="19" width="9" style="1"/>
    <col min="20" max="20" width="9" style="67"/>
    <col min="21" max="23" width="9" style="1"/>
    <col min="24" max="24" width="9.75" style="1" bestFit="1" customWidth="1"/>
    <col min="25" max="25" width="11.625" style="1" bestFit="1" customWidth="1"/>
    <col min="26" max="16384" width="9" style="1"/>
  </cols>
  <sheetData>
    <row r="1" spans="1:24" x14ac:dyDescent="0.2">
      <c r="A1" s="1" t="s">
        <v>72</v>
      </c>
      <c r="D1" s="1">
        <v>100</v>
      </c>
      <c r="L1" s="53" t="s">
        <v>104</v>
      </c>
      <c r="M1" s="53">
        <f>U28*60</f>
        <v>357.65379113018594</v>
      </c>
      <c r="N1" s="53">
        <f>U29*60</f>
        <v>1226.2415695892089</v>
      </c>
      <c r="O1" s="53">
        <f>U30*60</f>
        <v>4291.8454935622312</v>
      </c>
      <c r="P1" s="53">
        <f>U31*60</f>
        <v>25751.072961373389</v>
      </c>
    </row>
    <row r="2" spans="1:24" x14ac:dyDescent="0.2">
      <c r="A2" s="1" t="s">
        <v>30</v>
      </c>
      <c r="B2" s="1" t="s">
        <v>91</v>
      </c>
      <c r="C2" s="1" t="s">
        <v>32</v>
      </c>
      <c r="D2" s="1" t="s">
        <v>31</v>
      </c>
      <c r="E2" s="70" t="s">
        <v>75</v>
      </c>
      <c r="F2" s="39" t="s">
        <v>80</v>
      </c>
      <c r="G2" s="39" t="s">
        <v>115</v>
      </c>
      <c r="H2" s="39" t="s">
        <v>118</v>
      </c>
      <c r="I2" s="40" t="s">
        <v>116</v>
      </c>
      <c r="J2" s="40" t="s">
        <v>117</v>
      </c>
      <c r="K2" s="53" t="s">
        <v>73</v>
      </c>
      <c r="L2" s="53" t="s">
        <v>74</v>
      </c>
      <c r="M2" s="53" t="s">
        <v>76</v>
      </c>
      <c r="N2" s="1" t="s">
        <v>81</v>
      </c>
      <c r="O2" s="1" t="s">
        <v>77</v>
      </c>
      <c r="P2" s="1" t="s">
        <v>78</v>
      </c>
      <c r="Q2" s="1" t="s">
        <v>79</v>
      </c>
    </row>
    <row r="3" spans="1:24" x14ac:dyDescent="0.2">
      <c r="A3" s="1">
        <v>1</v>
      </c>
      <c r="B3" s="1">
        <v>1</v>
      </c>
      <c r="C3" s="1">
        <f>POWER(A3,2)</f>
        <v>1</v>
      </c>
      <c r="D3" s="1">
        <f t="shared" ref="D3:D18" si="0">C3*base</f>
        <v>100</v>
      </c>
      <c r="E3" s="70">
        <f t="shared" ref="E3:E17" si="1">F3/L3</f>
        <v>400</v>
      </c>
      <c r="F3" s="39">
        <f>400*C3</f>
        <v>400</v>
      </c>
      <c r="G3" s="39">
        <f>(20000*C3)*2</f>
        <v>40000</v>
      </c>
      <c r="H3" s="39">
        <f t="shared" ref="H3:H17" si="2">G3/L3</f>
        <v>40000</v>
      </c>
      <c r="I3" s="40">
        <f>ROUNDUP((H3/2)/3,-3)</f>
        <v>7000</v>
      </c>
      <c r="J3" s="40">
        <f>ROUNDUP((H3/2)/5,-3)</f>
        <v>4000</v>
      </c>
      <c r="K3" s="53">
        <v>1</v>
      </c>
      <c r="L3" s="53">
        <v>1</v>
      </c>
      <c r="M3" s="55">
        <f>U$28*60</f>
        <v>357.65379113018594</v>
      </c>
      <c r="N3" s="52">
        <f>M3/60</f>
        <v>5.9608965188364325</v>
      </c>
      <c r="O3" s="52">
        <f t="shared" ref="O3:O17" si="3">M3*L3</f>
        <v>357.65379113018594</v>
      </c>
      <c r="P3" s="51">
        <f t="shared" ref="P3" si="4">O3/60</f>
        <v>5.9608965188364325</v>
      </c>
      <c r="Q3" s="50">
        <f>P3/60</f>
        <v>9.934827531394054E-2</v>
      </c>
      <c r="R3" s="52"/>
      <c r="T3" s="67" t="s">
        <v>92</v>
      </c>
      <c r="U3" s="1">
        <v>0.99</v>
      </c>
      <c r="V3" s="1">
        <v>0.01</v>
      </c>
      <c r="W3" s="1">
        <v>0</v>
      </c>
      <c r="X3" s="1">
        <v>0</v>
      </c>
    </row>
    <row r="4" spans="1:24" x14ac:dyDescent="0.2">
      <c r="A4" s="1">
        <v>2</v>
      </c>
      <c r="B4" s="1">
        <v>3</v>
      </c>
      <c r="C4" s="1">
        <f t="shared" ref="C4:C18" si="5">POWER(A4,2)</f>
        <v>4</v>
      </c>
      <c r="D4" s="1">
        <f t="shared" si="0"/>
        <v>400</v>
      </c>
      <c r="E4" s="70">
        <f t="shared" si="1"/>
        <v>320</v>
      </c>
      <c r="F4" s="39">
        <f t="shared" ref="F4:F17" si="6">400*C4</f>
        <v>1600</v>
      </c>
      <c r="G4" s="39">
        <f t="shared" ref="G4:G17" si="7">(20000*C4)*2</f>
        <v>160000</v>
      </c>
      <c r="H4" s="39">
        <f t="shared" si="2"/>
        <v>32000</v>
      </c>
      <c r="I4" s="40">
        <f t="shared" ref="I4:I17" si="8">ROUNDUP((H4/2)/3,-3)</f>
        <v>6000</v>
      </c>
      <c r="J4" s="40">
        <f t="shared" ref="J4:J17" si="9">ROUNDUP((H4/2)/5,-3)</f>
        <v>4000</v>
      </c>
      <c r="K4" s="53">
        <v>1</v>
      </c>
      <c r="L4" s="53">
        <v>5</v>
      </c>
      <c r="M4" s="55">
        <f t="shared" ref="M4:M5" si="10">U$28*60</f>
        <v>357.65379113018594</v>
      </c>
      <c r="N4" s="52">
        <f t="shared" ref="N4:N17" si="11">M4/60</f>
        <v>5.9608965188364325</v>
      </c>
      <c r="O4" s="52">
        <f t="shared" si="3"/>
        <v>1788.2689556509297</v>
      </c>
      <c r="P4" s="51">
        <f t="shared" ref="P4:Q4" si="12">O4/60</f>
        <v>29.804482594182161</v>
      </c>
      <c r="Q4" s="50">
        <f t="shared" si="12"/>
        <v>0.49674137656970269</v>
      </c>
      <c r="R4" s="52"/>
      <c r="T4" s="67" t="s">
        <v>93</v>
      </c>
      <c r="U4" s="1">
        <v>0.88</v>
      </c>
      <c r="V4" s="1">
        <v>0.11</v>
      </c>
      <c r="W4" s="1">
        <v>0.01</v>
      </c>
      <c r="X4" s="1">
        <v>0</v>
      </c>
    </row>
    <row r="5" spans="1:24" x14ac:dyDescent="0.2">
      <c r="A5" s="1">
        <v>3</v>
      </c>
      <c r="B5" s="1">
        <v>4</v>
      </c>
      <c r="C5" s="1">
        <f t="shared" si="5"/>
        <v>9</v>
      </c>
      <c r="D5" s="1">
        <f t="shared" si="0"/>
        <v>900</v>
      </c>
      <c r="E5" s="70">
        <f t="shared" si="1"/>
        <v>360</v>
      </c>
      <c r="F5" s="39">
        <f t="shared" si="6"/>
        <v>3600</v>
      </c>
      <c r="G5" s="39">
        <f t="shared" si="7"/>
        <v>360000</v>
      </c>
      <c r="H5" s="39">
        <f t="shared" si="2"/>
        <v>36000</v>
      </c>
      <c r="I5" s="40">
        <f t="shared" si="8"/>
        <v>6000</v>
      </c>
      <c r="J5" s="40">
        <f t="shared" si="9"/>
        <v>4000</v>
      </c>
      <c r="K5" s="53">
        <v>1</v>
      </c>
      <c r="L5" s="53">
        <v>10</v>
      </c>
      <c r="M5" s="55">
        <f t="shared" si="10"/>
        <v>357.65379113018594</v>
      </c>
      <c r="N5" s="52">
        <f t="shared" si="11"/>
        <v>5.9608965188364325</v>
      </c>
      <c r="O5" s="52">
        <f t="shared" si="3"/>
        <v>3576.5379113018594</v>
      </c>
      <c r="P5" s="51">
        <f t="shared" ref="P5:Q5" si="13">O5/60</f>
        <v>59.608965188364323</v>
      </c>
      <c r="Q5" s="50">
        <f t="shared" si="13"/>
        <v>0.99348275313940537</v>
      </c>
      <c r="R5" s="52"/>
      <c r="T5" s="67" t="s">
        <v>94</v>
      </c>
      <c r="U5" s="1">
        <v>0.72</v>
      </c>
      <c r="V5" s="1">
        <v>0.21</v>
      </c>
      <c r="W5" s="1">
        <v>0.06</v>
      </c>
      <c r="X5" s="1">
        <v>0.01</v>
      </c>
    </row>
    <row r="6" spans="1:24" x14ac:dyDescent="0.2">
      <c r="A6" s="1">
        <v>4</v>
      </c>
      <c r="B6" s="1">
        <v>6</v>
      </c>
      <c r="C6" s="1">
        <f t="shared" si="5"/>
        <v>16</v>
      </c>
      <c r="D6" s="1">
        <f t="shared" si="0"/>
        <v>1600</v>
      </c>
      <c r="E6" s="70">
        <f t="shared" si="1"/>
        <v>1280</v>
      </c>
      <c r="F6" s="39">
        <f t="shared" si="6"/>
        <v>6400</v>
      </c>
      <c r="G6" s="39">
        <f t="shared" si="7"/>
        <v>640000</v>
      </c>
      <c r="H6" s="39">
        <f t="shared" si="2"/>
        <v>128000</v>
      </c>
      <c r="I6" s="40">
        <f t="shared" si="8"/>
        <v>22000</v>
      </c>
      <c r="J6" s="40">
        <f t="shared" si="9"/>
        <v>13000</v>
      </c>
      <c r="K6" s="53">
        <v>2</v>
      </c>
      <c r="L6" s="53">
        <v>5</v>
      </c>
      <c r="M6" s="55">
        <f>U$29*60</f>
        <v>1226.2415695892089</v>
      </c>
      <c r="N6" s="52">
        <f t="shared" si="11"/>
        <v>20.437359493153483</v>
      </c>
      <c r="O6" s="52">
        <f t="shared" si="3"/>
        <v>6131.2078479460442</v>
      </c>
      <c r="P6" s="51">
        <f t="shared" ref="P6:Q6" si="14">O6/60</f>
        <v>102.1867974657674</v>
      </c>
      <c r="Q6" s="50">
        <f t="shared" si="14"/>
        <v>1.7031132910961233</v>
      </c>
      <c r="R6" s="52"/>
      <c r="T6" s="67" t="s">
        <v>95</v>
      </c>
      <c r="U6" s="1">
        <v>0.56000000000000005</v>
      </c>
      <c r="V6" s="1">
        <v>0.31</v>
      </c>
      <c r="W6" s="1">
        <v>0.11</v>
      </c>
      <c r="X6" s="1">
        <v>0.02</v>
      </c>
    </row>
    <row r="7" spans="1:24" x14ac:dyDescent="0.2">
      <c r="A7" s="1">
        <v>5</v>
      </c>
      <c r="B7" s="1">
        <v>7</v>
      </c>
      <c r="C7" s="1">
        <f t="shared" si="5"/>
        <v>25</v>
      </c>
      <c r="D7" s="1">
        <f t="shared" si="0"/>
        <v>2500</v>
      </c>
      <c r="E7" s="70">
        <f t="shared" si="1"/>
        <v>1000</v>
      </c>
      <c r="F7" s="39">
        <f t="shared" si="6"/>
        <v>10000</v>
      </c>
      <c r="G7" s="39">
        <f t="shared" si="7"/>
        <v>1000000</v>
      </c>
      <c r="H7" s="39">
        <f t="shared" si="2"/>
        <v>100000</v>
      </c>
      <c r="I7" s="40">
        <f t="shared" si="8"/>
        <v>17000</v>
      </c>
      <c r="J7" s="40">
        <f t="shared" si="9"/>
        <v>10000</v>
      </c>
      <c r="K7" s="53">
        <v>2</v>
      </c>
      <c r="L7" s="53">
        <v>10</v>
      </c>
      <c r="M7" s="55">
        <f t="shared" ref="M7:M9" si="15">U$29*60</f>
        <v>1226.2415695892089</v>
      </c>
      <c r="N7" s="52">
        <f t="shared" si="11"/>
        <v>20.437359493153483</v>
      </c>
      <c r="O7" s="52">
        <f t="shared" si="3"/>
        <v>12262.415695892088</v>
      </c>
      <c r="P7" s="51">
        <f t="shared" ref="P7:Q7" si="16">O7/60</f>
        <v>204.3735949315348</v>
      </c>
      <c r="Q7" s="50">
        <f t="shared" si="16"/>
        <v>3.4062265821922466</v>
      </c>
      <c r="R7" s="52"/>
    </row>
    <row r="8" spans="1:24" x14ac:dyDescent="0.2">
      <c r="A8" s="1">
        <v>6</v>
      </c>
      <c r="B8" s="1">
        <v>9</v>
      </c>
      <c r="C8" s="1">
        <f t="shared" si="5"/>
        <v>36</v>
      </c>
      <c r="D8" s="1">
        <f t="shared" si="0"/>
        <v>3600</v>
      </c>
      <c r="E8" s="70">
        <f t="shared" si="1"/>
        <v>960</v>
      </c>
      <c r="F8" s="39">
        <f t="shared" si="6"/>
        <v>14400</v>
      </c>
      <c r="G8" s="39">
        <f t="shared" si="7"/>
        <v>1440000</v>
      </c>
      <c r="H8" s="39">
        <f t="shared" si="2"/>
        <v>96000</v>
      </c>
      <c r="I8" s="40">
        <f t="shared" si="8"/>
        <v>16000</v>
      </c>
      <c r="J8" s="40">
        <f t="shared" si="9"/>
        <v>10000</v>
      </c>
      <c r="K8" s="53">
        <v>2</v>
      </c>
      <c r="L8" s="53">
        <v>15</v>
      </c>
      <c r="M8" s="55">
        <f t="shared" si="15"/>
        <v>1226.2415695892089</v>
      </c>
      <c r="N8" s="52">
        <f t="shared" si="11"/>
        <v>20.437359493153483</v>
      </c>
      <c r="O8" s="52">
        <f t="shared" si="3"/>
        <v>18393.623543838134</v>
      </c>
      <c r="P8" s="51">
        <f t="shared" ref="P8:Q8" si="17">O8/60</f>
        <v>306.56039239730222</v>
      </c>
      <c r="Q8" s="50">
        <f t="shared" si="17"/>
        <v>5.1093398732883708</v>
      </c>
      <c r="R8" s="52"/>
    </row>
    <row r="9" spans="1:24" x14ac:dyDescent="0.2">
      <c r="A9" s="1">
        <v>7</v>
      </c>
      <c r="B9" s="1">
        <v>10</v>
      </c>
      <c r="C9" s="1">
        <f t="shared" si="5"/>
        <v>49</v>
      </c>
      <c r="D9" s="1">
        <f t="shared" si="0"/>
        <v>4900</v>
      </c>
      <c r="E9" s="70">
        <f t="shared" si="1"/>
        <v>980</v>
      </c>
      <c r="F9" s="39">
        <f t="shared" si="6"/>
        <v>19600</v>
      </c>
      <c r="G9" s="39">
        <f t="shared" si="7"/>
        <v>1960000</v>
      </c>
      <c r="H9" s="39">
        <f t="shared" si="2"/>
        <v>98000</v>
      </c>
      <c r="I9" s="40">
        <f t="shared" si="8"/>
        <v>17000</v>
      </c>
      <c r="J9" s="40">
        <f t="shared" si="9"/>
        <v>10000</v>
      </c>
      <c r="K9" s="53">
        <v>2</v>
      </c>
      <c r="L9" s="53">
        <v>20</v>
      </c>
      <c r="M9" s="55">
        <f t="shared" si="15"/>
        <v>1226.2415695892089</v>
      </c>
      <c r="N9" s="52">
        <f t="shared" si="11"/>
        <v>20.437359493153483</v>
      </c>
      <c r="O9" s="52">
        <f t="shared" si="3"/>
        <v>24524.831391784177</v>
      </c>
      <c r="P9" s="51">
        <f t="shared" ref="P9:Q9" si="18">O9/60</f>
        <v>408.74718986306959</v>
      </c>
      <c r="Q9" s="50">
        <f t="shared" si="18"/>
        <v>6.8124531643844932</v>
      </c>
      <c r="R9" s="52"/>
    </row>
    <row r="10" spans="1:24" x14ac:dyDescent="0.2">
      <c r="A10" s="1">
        <v>8</v>
      </c>
      <c r="B10" s="1">
        <v>12</v>
      </c>
      <c r="C10" s="1">
        <f t="shared" si="5"/>
        <v>64</v>
      </c>
      <c r="D10" s="1">
        <f t="shared" si="0"/>
        <v>6400</v>
      </c>
      <c r="E10" s="70">
        <f t="shared" si="1"/>
        <v>5120</v>
      </c>
      <c r="F10" s="39">
        <f t="shared" si="6"/>
        <v>25600</v>
      </c>
      <c r="G10" s="39">
        <f t="shared" si="7"/>
        <v>2560000</v>
      </c>
      <c r="H10" s="39">
        <f t="shared" si="2"/>
        <v>512000</v>
      </c>
      <c r="I10" s="40">
        <f t="shared" si="8"/>
        <v>86000</v>
      </c>
      <c r="J10" s="40">
        <f t="shared" si="9"/>
        <v>52000</v>
      </c>
      <c r="K10" s="53">
        <v>3</v>
      </c>
      <c r="L10" s="53">
        <v>5</v>
      </c>
      <c r="M10" s="55">
        <f>U$30*60</f>
        <v>4291.8454935622312</v>
      </c>
      <c r="N10" s="52">
        <f t="shared" si="11"/>
        <v>71.530758226037193</v>
      </c>
      <c r="O10" s="52">
        <f t="shared" si="3"/>
        <v>21459.227467811157</v>
      </c>
      <c r="P10" s="51">
        <f t="shared" ref="P10:Q10" si="19">O10/60</f>
        <v>357.65379113018594</v>
      </c>
      <c r="Q10" s="50">
        <f t="shared" si="19"/>
        <v>5.9608965188364325</v>
      </c>
      <c r="R10" s="52"/>
    </row>
    <row r="11" spans="1:24" x14ac:dyDescent="0.2">
      <c r="A11" s="1">
        <v>9</v>
      </c>
      <c r="B11" s="1">
        <v>13</v>
      </c>
      <c r="C11" s="1">
        <f t="shared" si="5"/>
        <v>81</v>
      </c>
      <c r="D11" s="1">
        <f t="shared" si="0"/>
        <v>8100</v>
      </c>
      <c r="E11" s="70">
        <f t="shared" si="1"/>
        <v>3240</v>
      </c>
      <c r="F11" s="39">
        <f t="shared" si="6"/>
        <v>32400</v>
      </c>
      <c r="G11" s="39">
        <f t="shared" si="7"/>
        <v>3240000</v>
      </c>
      <c r="H11" s="39">
        <f t="shared" si="2"/>
        <v>324000</v>
      </c>
      <c r="I11" s="40">
        <f t="shared" si="8"/>
        <v>54000</v>
      </c>
      <c r="J11" s="40">
        <f t="shared" si="9"/>
        <v>33000</v>
      </c>
      <c r="K11" s="53">
        <v>3</v>
      </c>
      <c r="L11" s="53">
        <v>10</v>
      </c>
      <c r="M11" s="55">
        <f t="shared" ref="M11:M13" si="20">U$30*60</f>
        <v>4291.8454935622312</v>
      </c>
      <c r="N11" s="52">
        <f t="shared" si="11"/>
        <v>71.530758226037193</v>
      </c>
      <c r="O11" s="52">
        <f t="shared" si="3"/>
        <v>42918.454935622314</v>
      </c>
      <c r="P11" s="51">
        <f t="shared" ref="P11:Q11" si="21">O11/60</f>
        <v>715.30758226037187</v>
      </c>
      <c r="Q11" s="50">
        <f t="shared" si="21"/>
        <v>11.921793037672865</v>
      </c>
      <c r="R11" s="52"/>
    </row>
    <row r="12" spans="1:24" x14ac:dyDescent="0.2">
      <c r="A12" s="1">
        <v>10</v>
      </c>
      <c r="B12" s="1">
        <v>15</v>
      </c>
      <c r="C12" s="1">
        <f t="shared" si="5"/>
        <v>100</v>
      </c>
      <c r="D12" s="1">
        <f t="shared" si="0"/>
        <v>10000</v>
      </c>
      <c r="E12" s="70">
        <f t="shared" si="1"/>
        <v>2666.6666666666665</v>
      </c>
      <c r="F12" s="39">
        <f t="shared" si="6"/>
        <v>40000</v>
      </c>
      <c r="G12" s="39">
        <f t="shared" si="7"/>
        <v>4000000</v>
      </c>
      <c r="H12" s="39">
        <f t="shared" si="2"/>
        <v>266666.66666666669</v>
      </c>
      <c r="I12" s="40">
        <f t="shared" si="8"/>
        <v>45000</v>
      </c>
      <c r="J12" s="40">
        <f t="shared" si="9"/>
        <v>27000</v>
      </c>
      <c r="K12" s="53">
        <v>3</v>
      </c>
      <c r="L12" s="53">
        <v>15</v>
      </c>
      <c r="M12" s="55">
        <f t="shared" si="20"/>
        <v>4291.8454935622312</v>
      </c>
      <c r="N12" s="52">
        <f t="shared" si="11"/>
        <v>71.530758226037193</v>
      </c>
      <c r="O12" s="52">
        <f t="shared" si="3"/>
        <v>64377.682403433471</v>
      </c>
      <c r="P12" s="51">
        <f t="shared" ref="P12:Q12" si="22">O12/60</f>
        <v>1072.9613733905578</v>
      </c>
      <c r="Q12" s="50">
        <f t="shared" si="22"/>
        <v>17.882689556509298</v>
      </c>
      <c r="R12" s="52"/>
    </row>
    <row r="13" spans="1:24" x14ac:dyDescent="0.2">
      <c r="A13" s="1">
        <v>11</v>
      </c>
      <c r="B13" s="1">
        <v>16</v>
      </c>
      <c r="C13" s="1">
        <f t="shared" si="5"/>
        <v>121</v>
      </c>
      <c r="D13" s="1">
        <f t="shared" si="0"/>
        <v>12100</v>
      </c>
      <c r="E13" s="70">
        <f t="shared" si="1"/>
        <v>2420</v>
      </c>
      <c r="F13" s="39">
        <f t="shared" si="6"/>
        <v>48400</v>
      </c>
      <c r="G13" s="39">
        <f t="shared" si="7"/>
        <v>4840000</v>
      </c>
      <c r="H13" s="39">
        <f t="shared" si="2"/>
        <v>242000</v>
      </c>
      <c r="I13" s="40">
        <f t="shared" si="8"/>
        <v>41000</v>
      </c>
      <c r="J13" s="40">
        <f t="shared" si="9"/>
        <v>25000</v>
      </c>
      <c r="K13" s="53">
        <v>3</v>
      </c>
      <c r="L13" s="53">
        <v>20</v>
      </c>
      <c r="M13" s="55">
        <f t="shared" si="20"/>
        <v>4291.8454935622312</v>
      </c>
      <c r="N13" s="52">
        <f t="shared" si="11"/>
        <v>71.530758226037193</v>
      </c>
      <c r="O13" s="52">
        <f t="shared" si="3"/>
        <v>85836.909871244628</v>
      </c>
      <c r="P13" s="51">
        <f t="shared" ref="P13:Q13" si="23">O13/60</f>
        <v>1430.6151645207437</v>
      </c>
      <c r="Q13" s="50">
        <f t="shared" si="23"/>
        <v>23.84358607534573</v>
      </c>
      <c r="R13" s="52"/>
    </row>
    <row r="14" spans="1:24" x14ac:dyDescent="0.2">
      <c r="A14" s="1">
        <v>12</v>
      </c>
      <c r="B14" s="1">
        <v>18</v>
      </c>
      <c r="C14" s="1">
        <f t="shared" si="5"/>
        <v>144</v>
      </c>
      <c r="D14" s="1">
        <f t="shared" si="0"/>
        <v>14400</v>
      </c>
      <c r="E14" s="70">
        <f t="shared" si="1"/>
        <v>11520</v>
      </c>
      <c r="F14" s="39">
        <f t="shared" si="6"/>
        <v>57600</v>
      </c>
      <c r="G14" s="39">
        <f t="shared" si="7"/>
        <v>5760000</v>
      </c>
      <c r="H14" s="39">
        <f t="shared" si="2"/>
        <v>1152000</v>
      </c>
      <c r="I14" s="40">
        <f t="shared" si="8"/>
        <v>192000</v>
      </c>
      <c r="J14" s="40">
        <f t="shared" si="9"/>
        <v>116000</v>
      </c>
      <c r="K14" s="53">
        <v>4</v>
      </c>
      <c r="L14" s="53">
        <v>5</v>
      </c>
      <c r="M14" s="55">
        <f>U$31*60</f>
        <v>25751.072961373389</v>
      </c>
      <c r="N14" s="52">
        <f t="shared" si="11"/>
        <v>429.18454935622316</v>
      </c>
      <c r="O14" s="52">
        <f t="shared" si="3"/>
        <v>128755.36480686694</v>
      </c>
      <c r="P14" s="51">
        <f t="shared" ref="P14:Q14" si="24">O14/60</f>
        <v>2145.9227467811156</v>
      </c>
      <c r="Q14" s="50">
        <f t="shared" si="24"/>
        <v>35.765379113018597</v>
      </c>
      <c r="R14" s="52"/>
    </row>
    <row r="15" spans="1:24" x14ac:dyDescent="0.2">
      <c r="A15" s="1">
        <v>13</v>
      </c>
      <c r="B15" s="1">
        <v>19</v>
      </c>
      <c r="C15" s="1">
        <f t="shared" si="5"/>
        <v>169</v>
      </c>
      <c r="D15" s="1">
        <f t="shared" si="0"/>
        <v>16900</v>
      </c>
      <c r="E15" s="70">
        <f t="shared" si="1"/>
        <v>6760</v>
      </c>
      <c r="F15" s="39">
        <f t="shared" si="6"/>
        <v>67600</v>
      </c>
      <c r="G15" s="39">
        <f t="shared" si="7"/>
        <v>6760000</v>
      </c>
      <c r="H15" s="39">
        <f t="shared" si="2"/>
        <v>676000</v>
      </c>
      <c r="I15" s="40">
        <f t="shared" si="8"/>
        <v>113000</v>
      </c>
      <c r="J15" s="40">
        <f t="shared" si="9"/>
        <v>68000</v>
      </c>
      <c r="K15" s="53">
        <v>4</v>
      </c>
      <c r="L15" s="53">
        <v>10</v>
      </c>
      <c r="M15" s="55">
        <f t="shared" ref="M15:M17" si="25">U$31*60</f>
        <v>25751.072961373389</v>
      </c>
      <c r="N15" s="52">
        <f t="shared" si="11"/>
        <v>429.18454935622316</v>
      </c>
      <c r="O15" s="52">
        <f t="shared" si="3"/>
        <v>257510.72961373389</v>
      </c>
      <c r="P15" s="51">
        <f t="shared" ref="P15:Q15" si="26">O15/60</f>
        <v>4291.8454935622312</v>
      </c>
      <c r="Q15" s="50">
        <f t="shared" si="26"/>
        <v>71.530758226037193</v>
      </c>
      <c r="R15" s="52"/>
    </row>
    <row r="16" spans="1:24" x14ac:dyDescent="0.2">
      <c r="A16" s="1">
        <v>14</v>
      </c>
      <c r="B16" s="1">
        <v>21</v>
      </c>
      <c r="C16" s="1">
        <f t="shared" si="5"/>
        <v>196</v>
      </c>
      <c r="D16" s="1">
        <f t="shared" si="0"/>
        <v>19600</v>
      </c>
      <c r="E16" s="70">
        <f t="shared" si="1"/>
        <v>5226.666666666667</v>
      </c>
      <c r="F16" s="39">
        <f t="shared" si="6"/>
        <v>78400</v>
      </c>
      <c r="G16" s="39">
        <f t="shared" si="7"/>
        <v>7840000</v>
      </c>
      <c r="H16" s="39">
        <f t="shared" si="2"/>
        <v>522666.66666666669</v>
      </c>
      <c r="I16" s="40">
        <f t="shared" si="8"/>
        <v>88000</v>
      </c>
      <c r="J16" s="40">
        <f t="shared" si="9"/>
        <v>53000</v>
      </c>
      <c r="K16" s="53">
        <v>4</v>
      </c>
      <c r="L16" s="53">
        <v>15</v>
      </c>
      <c r="M16" s="55">
        <f t="shared" si="25"/>
        <v>25751.072961373389</v>
      </c>
      <c r="N16" s="52">
        <f t="shared" si="11"/>
        <v>429.18454935622316</v>
      </c>
      <c r="O16" s="52">
        <f t="shared" si="3"/>
        <v>386266.09442060086</v>
      </c>
      <c r="P16" s="51">
        <f t="shared" ref="P16:Q16" si="27">O16/60</f>
        <v>6437.7682403433473</v>
      </c>
      <c r="Q16" s="50">
        <f t="shared" si="27"/>
        <v>107.29613733905579</v>
      </c>
      <c r="R16" s="52"/>
    </row>
    <row r="17" spans="1:25" x14ac:dyDescent="0.2">
      <c r="A17" s="1">
        <v>15</v>
      </c>
      <c r="B17" s="1">
        <v>22</v>
      </c>
      <c r="C17" s="1">
        <f t="shared" si="5"/>
        <v>225</v>
      </c>
      <c r="D17" s="1">
        <f t="shared" si="0"/>
        <v>22500</v>
      </c>
      <c r="E17" s="70">
        <f t="shared" si="1"/>
        <v>4500</v>
      </c>
      <c r="F17" s="39">
        <f t="shared" si="6"/>
        <v>90000</v>
      </c>
      <c r="G17" s="39">
        <f t="shared" si="7"/>
        <v>9000000</v>
      </c>
      <c r="H17" s="39">
        <f t="shared" si="2"/>
        <v>450000</v>
      </c>
      <c r="I17" s="40">
        <f t="shared" si="8"/>
        <v>75000</v>
      </c>
      <c r="J17" s="40">
        <f t="shared" si="9"/>
        <v>45000</v>
      </c>
      <c r="K17" s="53">
        <v>4</v>
      </c>
      <c r="L17" s="53">
        <v>20</v>
      </c>
      <c r="M17" s="55">
        <f t="shared" si="25"/>
        <v>25751.072961373389</v>
      </c>
      <c r="N17" s="52">
        <f t="shared" si="11"/>
        <v>429.18454935622316</v>
      </c>
      <c r="O17" s="52">
        <f t="shared" si="3"/>
        <v>515021.45922746777</v>
      </c>
      <c r="P17" s="51">
        <f t="shared" ref="P17:Q17" si="28">O17/60</f>
        <v>8583.6909871244625</v>
      </c>
      <c r="Q17" s="50">
        <f t="shared" si="28"/>
        <v>143.06151645207439</v>
      </c>
      <c r="R17" s="52"/>
    </row>
    <row r="18" spans="1:25" x14ac:dyDescent="0.2">
      <c r="A18" s="1">
        <v>16</v>
      </c>
      <c r="B18" s="1">
        <v>24</v>
      </c>
      <c r="C18" s="1">
        <f t="shared" si="5"/>
        <v>256</v>
      </c>
      <c r="D18" s="1">
        <f t="shared" si="0"/>
        <v>25600</v>
      </c>
      <c r="U18" s="1" t="s">
        <v>97</v>
      </c>
      <c r="V18" s="1" t="s">
        <v>98</v>
      </c>
    </row>
    <row r="19" spans="1:25" x14ac:dyDescent="0.2">
      <c r="U19" s="1" t="s">
        <v>96</v>
      </c>
    </row>
    <row r="20" spans="1:25" x14ac:dyDescent="0.2">
      <c r="U20" s="1" t="s">
        <v>99</v>
      </c>
      <c r="W20" s="1" t="s">
        <v>101</v>
      </c>
      <c r="Y20" s="1">
        <f>7/3</f>
        <v>2.3333333333333335</v>
      </c>
    </row>
    <row r="21" spans="1:25" x14ac:dyDescent="0.2">
      <c r="K21" s="54"/>
      <c r="L21" s="54"/>
      <c r="U21" s="1" t="s">
        <v>100</v>
      </c>
      <c r="W21" s="1" t="s">
        <v>107</v>
      </c>
      <c r="Y21" s="1">
        <f>7/3</f>
        <v>2.3333333333333335</v>
      </c>
    </row>
    <row r="22" spans="1:25" x14ac:dyDescent="0.2">
      <c r="K22" s="54"/>
      <c r="L22" s="54"/>
      <c r="W22" s="1" t="s">
        <v>108</v>
      </c>
      <c r="Y22" s="1">
        <f>7/3</f>
        <v>2.3333333333333335</v>
      </c>
    </row>
    <row r="23" spans="1:25" x14ac:dyDescent="0.2">
      <c r="K23" s="54"/>
      <c r="L23" s="54"/>
    </row>
    <row r="24" spans="1:25" x14ac:dyDescent="0.2">
      <c r="K24" s="54"/>
      <c r="L24" s="54"/>
      <c r="U24" s="1" t="s">
        <v>102</v>
      </c>
    </row>
    <row r="25" spans="1:25" x14ac:dyDescent="0.2">
      <c r="K25" s="54"/>
      <c r="L25" s="54"/>
      <c r="U25" s="1">
        <f>10/2.33</f>
        <v>4.2918454935622314</v>
      </c>
      <c r="V25" s="1" t="s">
        <v>103</v>
      </c>
      <c r="X25" s="1" t="s">
        <v>106</v>
      </c>
    </row>
    <row r="26" spans="1:25" x14ac:dyDescent="0.2">
      <c r="K26" s="54"/>
      <c r="L26" s="54"/>
      <c r="X26" s="1">
        <f>10/3</f>
        <v>3.3333333333333335</v>
      </c>
    </row>
    <row r="27" spans="1:25" x14ac:dyDescent="0.2">
      <c r="K27" s="54"/>
      <c r="L27" s="54"/>
      <c r="T27" s="67" t="s">
        <v>105</v>
      </c>
      <c r="W27" s="1" t="s">
        <v>109</v>
      </c>
      <c r="X27" s="1" t="s">
        <v>110</v>
      </c>
      <c r="Y27" s="13" t="s">
        <v>111</v>
      </c>
    </row>
    <row r="28" spans="1:25" x14ac:dyDescent="0.2">
      <c r="K28" s="54"/>
      <c r="L28" s="54"/>
      <c r="U28" s="1">
        <f>U$25/0.72</f>
        <v>5.9608965188364325</v>
      </c>
      <c r="W28" s="1">
        <v>0.72</v>
      </c>
      <c r="X28" s="51">
        <f>X$26/W28</f>
        <v>4.6296296296296298</v>
      </c>
      <c r="Y28" s="52">
        <f>X28*60</f>
        <v>277.77777777777777</v>
      </c>
    </row>
    <row r="29" spans="1:25" x14ac:dyDescent="0.2">
      <c r="K29" s="54"/>
      <c r="L29" s="54"/>
      <c r="U29" s="1">
        <f>U$25/0.21</f>
        <v>20.437359493153483</v>
      </c>
      <c r="W29" s="1">
        <v>0.21</v>
      </c>
      <c r="X29" s="51">
        <f t="shared" ref="X29:X31" si="29">X$26/W29</f>
        <v>15.873015873015873</v>
      </c>
      <c r="Y29" s="52">
        <f t="shared" ref="Y29:Y31" si="30">X29*60</f>
        <v>952.38095238095241</v>
      </c>
    </row>
    <row r="30" spans="1:25" x14ac:dyDescent="0.2">
      <c r="K30" s="54"/>
      <c r="L30" s="54"/>
      <c r="U30" s="1">
        <f>U$25/0.06</f>
        <v>71.530758226037193</v>
      </c>
      <c r="W30" s="1">
        <v>0.06</v>
      </c>
      <c r="X30" s="51">
        <f t="shared" si="29"/>
        <v>55.555555555555557</v>
      </c>
      <c r="Y30" s="52">
        <f t="shared" si="30"/>
        <v>3333.3333333333335</v>
      </c>
    </row>
    <row r="31" spans="1:25" x14ac:dyDescent="0.2">
      <c r="K31" s="54"/>
      <c r="L31" s="54"/>
      <c r="U31" s="1">
        <f>U$25/0.01</f>
        <v>429.18454935622316</v>
      </c>
      <c r="W31" s="1">
        <v>0.01</v>
      </c>
      <c r="X31" s="51">
        <f t="shared" si="29"/>
        <v>333.33333333333331</v>
      </c>
      <c r="Y31" s="52">
        <f t="shared" si="30"/>
        <v>20000</v>
      </c>
    </row>
    <row r="32" spans="1:25" x14ac:dyDescent="0.2">
      <c r="K32" s="54"/>
      <c r="L32" s="54"/>
    </row>
    <row r="33" spans="11:12" x14ac:dyDescent="0.2">
      <c r="K33" s="54"/>
      <c r="L33" s="54"/>
    </row>
    <row r="34" spans="11:12" x14ac:dyDescent="0.2">
      <c r="K34" s="54"/>
      <c r="L34" s="54"/>
    </row>
    <row r="35" spans="11:12" x14ac:dyDescent="0.2">
      <c r="K35" s="54"/>
      <c r="L35" s="5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workbookViewId="0">
      <selection activeCell="I15" sqref="I15"/>
    </sheetView>
  </sheetViews>
  <sheetFormatPr defaultRowHeight="12" x14ac:dyDescent="0.2"/>
  <cols>
    <col min="1" max="1" width="7" style="1" customWidth="1"/>
    <col min="2" max="2" width="5.375" style="1" customWidth="1"/>
    <col min="3" max="3" width="8.875" style="19" customWidth="1"/>
    <col min="4" max="4" width="4.625" style="19" bestFit="1" customWidth="1"/>
    <col min="5" max="5" width="12.75" style="39" bestFit="1" customWidth="1"/>
    <col min="6" max="6" width="9" style="19"/>
    <col min="7" max="7" width="8.25" style="20" customWidth="1"/>
    <col min="8" max="15" width="9" style="17"/>
    <col min="16" max="16" width="9" style="1"/>
    <col min="17" max="17" width="11.5" style="1" customWidth="1"/>
    <col min="18" max="16384" width="9" style="1"/>
  </cols>
  <sheetData>
    <row r="1" spans="1:25" ht="12.75" thickBot="1" x14ac:dyDescent="0.25">
      <c r="A1" s="88" t="s">
        <v>71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1:25" x14ac:dyDescent="0.2">
      <c r="A2" s="15" t="s">
        <v>0</v>
      </c>
      <c r="B2" s="15"/>
      <c r="C2" s="36"/>
      <c r="D2" s="36"/>
      <c r="E2" s="62"/>
      <c r="F2" s="90" t="s">
        <v>24</v>
      </c>
      <c r="G2" s="91"/>
      <c r="H2" s="90" t="s">
        <v>25</v>
      </c>
      <c r="I2" s="91"/>
      <c r="J2" s="92" t="s">
        <v>26</v>
      </c>
      <c r="K2" s="92"/>
      <c r="L2" s="90" t="s">
        <v>27</v>
      </c>
      <c r="M2" s="91"/>
      <c r="N2" s="90" t="s">
        <v>28</v>
      </c>
      <c r="O2" s="93"/>
    </row>
    <row r="3" spans="1:25" x14ac:dyDescent="0.2">
      <c r="A3" s="16" t="s">
        <v>0</v>
      </c>
      <c r="B3" s="16"/>
      <c r="C3" s="19" t="s">
        <v>113</v>
      </c>
      <c r="E3" s="63"/>
      <c r="F3" s="22">
        <v>9</v>
      </c>
      <c r="G3" s="23">
        <v>1</v>
      </c>
      <c r="H3" s="22">
        <v>7</v>
      </c>
      <c r="I3" s="23">
        <v>3</v>
      </c>
      <c r="J3" s="24">
        <v>5</v>
      </c>
      <c r="K3" s="24">
        <v>5</v>
      </c>
      <c r="L3" s="22">
        <v>3</v>
      </c>
      <c r="M3" s="23">
        <v>7</v>
      </c>
      <c r="N3" s="22">
        <v>1</v>
      </c>
      <c r="O3" s="25">
        <v>9</v>
      </c>
    </row>
    <row r="4" spans="1:25" s="61" customFormat="1" ht="26.25" customHeight="1" thickBot="1" x14ac:dyDescent="0.25">
      <c r="A4" s="56" t="s">
        <v>114</v>
      </c>
      <c r="B4" s="56" t="s">
        <v>29</v>
      </c>
      <c r="C4" s="18" t="s">
        <v>45</v>
      </c>
      <c r="D4" s="18" t="s">
        <v>16</v>
      </c>
      <c r="E4" s="64" t="s">
        <v>87</v>
      </c>
      <c r="F4" s="58" t="s">
        <v>22</v>
      </c>
      <c r="G4" s="59" t="s">
        <v>23</v>
      </c>
      <c r="H4" s="58" t="s">
        <v>22</v>
      </c>
      <c r="I4" s="59" t="s">
        <v>23</v>
      </c>
      <c r="J4" s="57" t="s">
        <v>22</v>
      </c>
      <c r="K4" s="57" t="s">
        <v>23</v>
      </c>
      <c r="L4" s="58" t="s">
        <v>22</v>
      </c>
      <c r="M4" s="59" t="s">
        <v>23</v>
      </c>
      <c r="N4" s="58" t="s">
        <v>22</v>
      </c>
      <c r="O4" s="60" t="s">
        <v>23</v>
      </c>
      <c r="P4" s="61" t="s">
        <v>43</v>
      </c>
      <c r="X4" s="61" t="s">
        <v>70</v>
      </c>
    </row>
    <row r="5" spans="1:25" x14ac:dyDescent="0.2">
      <c r="A5" s="1">
        <v>1</v>
      </c>
      <c r="B5" s="52">
        <f>POWER(A5,2)/15</f>
        <v>6.6666666666666666E-2</v>
      </c>
      <c r="C5" s="19">
        <f>(10) + B5*5</f>
        <v>10.333333333333334</v>
      </c>
      <c r="D5" s="19">
        <f>C5/60</f>
        <v>0.17222222222222222</v>
      </c>
      <c r="E5" s="17">
        <f>5000 + (B5-1)*4000</f>
        <v>1266.6666666666665</v>
      </c>
      <c r="F5" s="19">
        <f t="shared" ref="F5:O14" si="0">$E5*(F$3/10)</f>
        <v>1140</v>
      </c>
      <c r="G5" s="20">
        <f t="shared" si="0"/>
        <v>126.66666666666666</v>
      </c>
      <c r="H5" s="19">
        <f t="shared" si="0"/>
        <v>886.66666666666652</v>
      </c>
      <c r="I5" s="20">
        <f t="shared" si="0"/>
        <v>379.99999999999994</v>
      </c>
      <c r="J5" s="19">
        <f t="shared" si="0"/>
        <v>633.33333333333326</v>
      </c>
      <c r="K5" s="20">
        <f t="shared" si="0"/>
        <v>633.33333333333326</v>
      </c>
      <c r="L5" s="19">
        <f t="shared" si="0"/>
        <v>379.99999999999994</v>
      </c>
      <c r="M5" s="20">
        <f t="shared" si="0"/>
        <v>886.66666666666652</v>
      </c>
      <c r="N5" s="19">
        <f t="shared" si="0"/>
        <v>126.66666666666666</v>
      </c>
      <c r="O5" s="20">
        <f t="shared" si="0"/>
        <v>1140</v>
      </c>
      <c r="X5" s="1">
        <v>1</v>
      </c>
      <c r="Y5" s="39">
        <f>100000+((X5-1)*3100)</f>
        <v>100000</v>
      </c>
    </row>
    <row r="6" spans="1:25" x14ac:dyDescent="0.2">
      <c r="A6" s="1">
        <v>2</v>
      </c>
      <c r="B6" s="52">
        <f t="shared" ref="B6:B54" si="1">POWER(A6,2)/15</f>
        <v>0.26666666666666666</v>
      </c>
      <c r="C6" s="19">
        <f t="shared" ref="C6:C54" si="2">(10) + B6*5</f>
        <v>11.333333333333334</v>
      </c>
      <c r="D6" s="19">
        <f t="shared" ref="D6:D54" si="3">C6/60</f>
        <v>0.18888888888888891</v>
      </c>
      <c r="E6" s="17">
        <f t="shared" ref="E6:E54" si="4">5000 + (B6-1)*4000</f>
        <v>2066.6666666666665</v>
      </c>
      <c r="F6" s="19">
        <f t="shared" si="0"/>
        <v>1860</v>
      </c>
      <c r="G6" s="20">
        <f t="shared" si="0"/>
        <v>206.66666666666666</v>
      </c>
      <c r="H6" s="19">
        <f t="shared" si="0"/>
        <v>1446.6666666666665</v>
      </c>
      <c r="I6" s="20">
        <f t="shared" si="0"/>
        <v>619.99999999999989</v>
      </c>
      <c r="J6" s="19">
        <f t="shared" si="0"/>
        <v>1033.3333333333333</v>
      </c>
      <c r="K6" s="20">
        <f t="shared" si="0"/>
        <v>1033.3333333333333</v>
      </c>
      <c r="L6" s="19">
        <f t="shared" si="0"/>
        <v>619.99999999999989</v>
      </c>
      <c r="M6" s="20">
        <f t="shared" si="0"/>
        <v>1446.6666666666665</v>
      </c>
      <c r="N6" s="19">
        <f t="shared" si="0"/>
        <v>206.66666666666666</v>
      </c>
      <c r="O6" s="20">
        <f t="shared" si="0"/>
        <v>1860</v>
      </c>
      <c r="Q6" s="1" t="s">
        <v>69</v>
      </c>
      <c r="X6" s="1">
        <v>2</v>
      </c>
      <c r="Y6" s="39">
        <f t="shared" ref="Y6:Y54" si="5">100000+((X6-1)*3100)</f>
        <v>103100</v>
      </c>
    </row>
    <row r="7" spans="1:25" x14ac:dyDescent="0.2">
      <c r="A7" s="1">
        <v>3</v>
      </c>
      <c r="B7" s="52">
        <f t="shared" si="1"/>
        <v>0.6</v>
      </c>
      <c r="C7" s="19">
        <f t="shared" si="2"/>
        <v>13</v>
      </c>
      <c r="D7" s="19">
        <f t="shared" si="3"/>
        <v>0.21666666666666667</v>
      </c>
      <c r="E7" s="17">
        <f t="shared" si="4"/>
        <v>3400</v>
      </c>
      <c r="F7" s="19">
        <f t="shared" si="0"/>
        <v>3060</v>
      </c>
      <c r="G7" s="20">
        <f t="shared" si="0"/>
        <v>340</v>
      </c>
      <c r="H7" s="19">
        <f t="shared" si="0"/>
        <v>2380</v>
      </c>
      <c r="I7" s="20">
        <f t="shared" si="0"/>
        <v>1020</v>
      </c>
      <c r="J7" s="19">
        <f t="shared" si="0"/>
        <v>1700</v>
      </c>
      <c r="K7" s="20">
        <f t="shared" si="0"/>
        <v>1700</v>
      </c>
      <c r="L7" s="19">
        <f t="shared" si="0"/>
        <v>1020</v>
      </c>
      <c r="M7" s="20">
        <f t="shared" si="0"/>
        <v>2380</v>
      </c>
      <c r="N7" s="19">
        <f t="shared" si="0"/>
        <v>340</v>
      </c>
      <c r="O7" s="20">
        <f t="shared" si="0"/>
        <v>3060</v>
      </c>
      <c r="Q7" s="1" t="s">
        <v>57</v>
      </c>
      <c r="R7" s="1" t="s">
        <v>58</v>
      </c>
      <c r="S7" s="49">
        <v>10000</v>
      </c>
      <c r="X7" s="1">
        <v>3</v>
      </c>
      <c r="Y7" s="39">
        <f t="shared" si="5"/>
        <v>106200</v>
      </c>
    </row>
    <row r="8" spans="1:25" x14ac:dyDescent="0.2">
      <c r="A8" s="1">
        <v>4</v>
      </c>
      <c r="B8" s="52">
        <f t="shared" si="1"/>
        <v>1.0666666666666667</v>
      </c>
      <c r="C8" s="19">
        <f t="shared" si="2"/>
        <v>15.333333333333332</v>
      </c>
      <c r="D8" s="19">
        <f t="shared" si="3"/>
        <v>0.25555555555555554</v>
      </c>
      <c r="E8" s="17">
        <f t="shared" si="4"/>
        <v>5266.666666666667</v>
      </c>
      <c r="F8" s="19">
        <f t="shared" si="0"/>
        <v>4740</v>
      </c>
      <c r="G8" s="20">
        <f t="shared" si="0"/>
        <v>526.66666666666674</v>
      </c>
      <c r="H8" s="19">
        <f t="shared" si="0"/>
        <v>3686.6666666666665</v>
      </c>
      <c r="I8" s="20">
        <f t="shared" si="0"/>
        <v>1580</v>
      </c>
      <c r="J8" s="19">
        <f t="shared" si="0"/>
        <v>2633.3333333333335</v>
      </c>
      <c r="K8" s="20">
        <f t="shared" si="0"/>
        <v>2633.3333333333335</v>
      </c>
      <c r="L8" s="19">
        <f t="shared" si="0"/>
        <v>1580</v>
      </c>
      <c r="M8" s="20">
        <f t="shared" si="0"/>
        <v>3686.6666666666665</v>
      </c>
      <c r="N8" s="19">
        <f t="shared" si="0"/>
        <v>526.66666666666674</v>
      </c>
      <c r="O8" s="20">
        <f t="shared" si="0"/>
        <v>4740</v>
      </c>
      <c r="R8" s="1" t="s">
        <v>59</v>
      </c>
      <c r="S8" s="49">
        <v>10000</v>
      </c>
      <c r="X8" s="1">
        <v>4</v>
      </c>
      <c r="Y8" s="39">
        <f t="shared" si="5"/>
        <v>109300</v>
      </c>
    </row>
    <row r="9" spans="1:25" x14ac:dyDescent="0.2">
      <c r="A9" s="1">
        <v>5</v>
      </c>
      <c r="B9" s="52">
        <f t="shared" si="1"/>
        <v>1.6666666666666667</v>
      </c>
      <c r="C9" s="19">
        <f t="shared" si="2"/>
        <v>18.333333333333336</v>
      </c>
      <c r="D9" s="19">
        <f t="shared" si="3"/>
        <v>0.30555555555555558</v>
      </c>
      <c r="E9" s="17">
        <f t="shared" si="4"/>
        <v>7666.666666666667</v>
      </c>
      <c r="F9" s="19">
        <f t="shared" si="0"/>
        <v>6900</v>
      </c>
      <c r="G9" s="20">
        <f t="shared" si="0"/>
        <v>766.66666666666674</v>
      </c>
      <c r="H9" s="19">
        <f t="shared" si="0"/>
        <v>5366.666666666667</v>
      </c>
      <c r="I9" s="20">
        <f t="shared" si="0"/>
        <v>2300</v>
      </c>
      <c r="J9" s="19">
        <f t="shared" si="0"/>
        <v>3833.3333333333335</v>
      </c>
      <c r="K9" s="20">
        <f t="shared" si="0"/>
        <v>3833.3333333333335</v>
      </c>
      <c r="L9" s="19">
        <f t="shared" si="0"/>
        <v>2300</v>
      </c>
      <c r="M9" s="20">
        <f t="shared" si="0"/>
        <v>5366.666666666667</v>
      </c>
      <c r="N9" s="19">
        <f t="shared" si="0"/>
        <v>766.66666666666674</v>
      </c>
      <c r="O9" s="20">
        <f t="shared" si="0"/>
        <v>6900</v>
      </c>
      <c r="X9" s="1">
        <v>5</v>
      </c>
      <c r="Y9" s="39">
        <f t="shared" si="5"/>
        <v>112400</v>
      </c>
    </row>
    <row r="10" spans="1:25" x14ac:dyDescent="0.2">
      <c r="A10" s="1">
        <v>6</v>
      </c>
      <c r="B10" s="52">
        <f t="shared" si="1"/>
        <v>2.4</v>
      </c>
      <c r="C10" s="19">
        <f t="shared" si="2"/>
        <v>22</v>
      </c>
      <c r="D10" s="19">
        <f t="shared" si="3"/>
        <v>0.36666666666666664</v>
      </c>
      <c r="E10" s="17">
        <f t="shared" si="4"/>
        <v>10600</v>
      </c>
      <c r="F10" s="19">
        <f t="shared" si="0"/>
        <v>9540</v>
      </c>
      <c r="G10" s="20">
        <f t="shared" si="0"/>
        <v>1060</v>
      </c>
      <c r="H10" s="19">
        <f t="shared" si="0"/>
        <v>7419.9999999999991</v>
      </c>
      <c r="I10" s="20">
        <f t="shared" si="0"/>
        <v>3180</v>
      </c>
      <c r="J10" s="19">
        <f t="shared" si="0"/>
        <v>5300</v>
      </c>
      <c r="K10" s="20">
        <f t="shared" si="0"/>
        <v>5300</v>
      </c>
      <c r="L10" s="19">
        <f t="shared" si="0"/>
        <v>3180</v>
      </c>
      <c r="M10" s="20">
        <f t="shared" si="0"/>
        <v>7419.9999999999991</v>
      </c>
      <c r="N10" s="19">
        <f t="shared" si="0"/>
        <v>1060</v>
      </c>
      <c r="O10" s="20">
        <f t="shared" si="0"/>
        <v>9540</v>
      </c>
      <c r="Q10" s="1" t="s">
        <v>60</v>
      </c>
      <c r="R10" s="1">
        <v>125</v>
      </c>
      <c r="X10" s="1">
        <v>6</v>
      </c>
      <c r="Y10" s="39">
        <f t="shared" si="5"/>
        <v>115500</v>
      </c>
    </row>
    <row r="11" spans="1:25" s="53" customFormat="1" x14ac:dyDescent="0.2">
      <c r="A11" s="53">
        <v>7</v>
      </c>
      <c r="B11" s="52">
        <f t="shared" si="1"/>
        <v>3.2666666666666666</v>
      </c>
      <c r="C11" s="19">
        <f t="shared" si="2"/>
        <v>26.333333333333332</v>
      </c>
      <c r="D11" s="81">
        <f t="shared" si="3"/>
        <v>0.43888888888888888</v>
      </c>
      <c r="E11" s="82">
        <f t="shared" si="4"/>
        <v>14066.666666666666</v>
      </c>
      <c r="F11" s="81">
        <f t="shared" si="0"/>
        <v>12660</v>
      </c>
      <c r="G11" s="83">
        <f t="shared" si="0"/>
        <v>1406.6666666666667</v>
      </c>
      <c r="H11" s="81">
        <f t="shared" si="0"/>
        <v>9846.6666666666661</v>
      </c>
      <c r="I11" s="83">
        <f t="shared" si="0"/>
        <v>4220</v>
      </c>
      <c r="J11" s="81">
        <f t="shared" si="0"/>
        <v>7033.333333333333</v>
      </c>
      <c r="K11" s="83">
        <f t="shared" si="0"/>
        <v>7033.333333333333</v>
      </c>
      <c r="L11" s="81">
        <f t="shared" si="0"/>
        <v>4220</v>
      </c>
      <c r="M11" s="83">
        <f t="shared" si="0"/>
        <v>9846.6666666666661</v>
      </c>
      <c r="N11" s="81">
        <f t="shared" si="0"/>
        <v>1406.6666666666667</v>
      </c>
      <c r="O11" s="83">
        <f t="shared" si="0"/>
        <v>12660</v>
      </c>
      <c r="X11" s="53">
        <v>7</v>
      </c>
      <c r="Y11" s="40">
        <f t="shared" si="5"/>
        <v>118600</v>
      </c>
    </row>
    <row r="12" spans="1:25" x14ac:dyDescent="0.2">
      <c r="A12" s="1">
        <v>8</v>
      </c>
      <c r="B12" s="52">
        <f t="shared" si="1"/>
        <v>4.2666666666666666</v>
      </c>
      <c r="C12" s="19">
        <f t="shared" si="2"/>
        <v>31.333333333333332</v>
      </c>
      <c r="D12" s="19">
        <f t="shared" si="3"/>
        <v>0.52222222222222225</v>
      </c>
      <c r="E12" s="17">
        <f t="shared" si="4"/>
        <v>18066.666666666664</v>
      </c>
      <c r="F12" s="19">
        <f t="shared" si="0"/>
        <v>16259.999999999998</v>
      </c>
      <c r="G12" s="20">
        <f t="shared" si="0"/>
        <v>1806.6666666666665</v>
      </c>
      <c r="H12" s="19">
        <f t="shared" si="0"/>
        <v>12646.666666666664</v>
      </c>
      <c r="I12" s="20">
        <f t="shared" si="0"/>
        <v>5419.9999999999991</v>
      </c>
      <c r="J12" s="19">
        <f t="shared" si="0"/>
        <v>9033.3333333333321</v>
      </c>
      <c r="K12" s="20">
        <f t="shared" si="0"/>
        <v>9033.3333333333321</v>
      </c>
      <c r="L12" s="19">
        <f t="shared" si="0"/>
        <v>5419.9999999999991</v>
      </c>
      <c r="M12" s="20">
        <f t="shared" si="0"/>
        <v>12646.666666666664</v>
      </c>
      <c r="N12" s="19">
        <f t="shared" si="0"/>
        <v>1806.6666666666665</v>
      </c>
      <c r="O12" s="20">
        <f t="shared" si="0"/>
        <v>16259.999999999998</v>
      </c>
      <c r="Q12" s="1" t="s">
        <v>61</v>
      </c>
      <c r="R12" s="13" t="s">
        <v>62</v>
      </c>
      <c r="S12" s="1" t="s">
        <v>66</v>
      </c>
      <c r="X12" s="1">
        <v>8</v>
      </c>
      <c r="Y12" s="39">
        <f t="shared" si="5"/>
        <v>121700</v>
      </c>
    </row>
    <row r="13" spans="1:25" x14ac:dyDescent="0.2">
      <c r="A13" s="1">
        <v>9</v>
      </c>
      <c r="B13" s="52">
        <f t="shared" si="1"/>
        <v>5.4</v>
      </c>
      <c r="C13" s="19">
        <f t="shared" si="2"/>
        <v>37</v>
      </c>
      <c r="D13" s="19">
        <f t="shared" si="3"/>
        <v>0.6166666666666667</v>
      </c>
      <c r="E13" s="17">
        <f t="shared" si="4"/>
        <v>22600</v>
      </c>
      <c r="F13" s="19">
        <f t="shared" si="0"/>
        <v>20340</v>
      </c>
      <c r="G13" s="20">
        <f t="shared" si="0"/>
        <v>2260</v>
      </c>
      <c r="H13" s="19">
        <f t="shared" si="0"/>
        <v>15819.999999999998</v>
      </c>
      <c r="I13" s="20">
        <f t="shared" si="0"/>
        <v>6780</v>
      </c>
      <c r="J13" s="19">
        <f t="shared" si="0"/>
        <v>11300</v>
      </c>
      <c r="K13" s="20">
        <f t="shared" si="0"/>
        <v>11300</v>
      </c>
      <c r="L13" s="19">
        <f t="shared" si="0"/>
        <v>6780</v>
      </c>
      <c r="M13" s="20">
        <f t="shared" si="0"/>
        <v>15819.999999999998</v>
      </c>
      <c r="N13" s="19">
        <f t="shared" si="0"/>
        <v>2260</v>
      </c>
      <c r="O13" s="20">
        <f t="shared" si="0"/>
        <v>20340</v>
      </c>
      <c r="Q13" s="1" t="s">
        <v>65</v>
      </c>
      <c r="R13" s="13" t="s">
        <v>63</v>
      </c>
      <c r="S13" s="49">
        <v>5000</v>
      </c>
      <c r="X13" s="1">
        <v>9</v>
      </c>
      <c r="Y13" s="39">
        <f t="shared" si="5"/>
        <v>124800</v>
      </c>
    </row>
    <row r="14" spans="1:25" x14ac:dyDescent="0.2">
      <c r="A14" s="1">
        <v>10</v>
      </c>
      <c r="B14" s="52">
        <f t="shared" si="1"/>
        <v>6.666666666666667</v>
      </c>
      <c r="C14" s="19">
        <f t="shared" si="2"/>
        <v>43.333333333333336</v>
      </c>
      <c r="D14" s="19">
        <f t="shared" si="3"/>
        <v>0.72222222222222221</v>
      </c>
      <c r="E14" s="17">
        <f t="shared" si="4"/>
        <v>27666.666666666668</v>
      </c>
      <c r="F14" s="19">
        <f t="shared" si="0"/>
        <v>24900</v>
      </c>
      <c r="G14" s="20">
        <f t="shared" si="0"/>
        <v>2766.666666666667</v>
      </c>
      <c r="H14" s="19">
        <f t="shared" si="0"/>
        <v>19366.666666666668</v>
      </c>
      <c r="I14" s="20">
        <f t="shared" si="0"/>
        <v>8300</v>
      </c>
      <c r="J14" s="19">
        <f t="shared" si="0"/>
        <v>13833.333333333334</v>
      </c>
      <c r="K14" s="20">
        <f t="shared" si="0"/>
        <v>13833.333333333334</v>
      </c>
      <c r="L14" s="19">
        <f t="shared" si="0"/>
        <v>8300</v>
      </c>
      <c r="M14" s="20">
        <f t="shared" si="0"/>
        <v>19366.666666666668</v>
      </c>
      <c r="N14" s="19">
        <f t="shared" si="0"/>
        <v>2766.666666666667</v>
      </c>
      <c r="O14" s="20">
        <f t="shared" si="0"/>
        <v>24900</v>
      </c>
      <c r="R14" s="13" t="s">
        <v>64</v>
      </c>
      <c r="X14" s="1">
        <v>10</v>
      </c>
      <c r="Y14" s="39">
        <f t="shared" si="5"/>
        <v>127900</v>
      </c>
    </row>
    <row r="15" spans="1:25" x14ac:dyDescent="0.2">
      <c r="A15" s="1">
        <v>11</v>
      </c>
      <c r="B15" s="52">
        <f t="shared" si="1"/>
        <v>8.0666666666666664</v>
      </c>
      <c r="C15" s="19">
        <f t="shared" si="2"/>
        <v>50.333333333333329</v>
      </c>
      <c r="D15" s="19">
        <f t="shared" si="3"/>
        <v>0.8388888888888888</v>
      </c>
      <c r="E15" s="17">
        <f t="shared" si="4"/>
        <v>33266.666666666664</v>
      </c>
      <c r="F15" s="19">
        <f t="shared" ref="F15:O24" si="6">$E15*(F$3/10)</f>
        <v>29940</v>
      </c>
      <c r="G15" s="20">
        <f t="shared" si="6"/>
        <v>3326.6666666666665</v>
      </c>
      <c r="H15" s="19">
        <f t="shared" si="6"/>
        <v>23286.666666666664</v>
      </c>
      <c r="I15" s="20">
        <f t="shared" si="6"/>
        <v>9979.9999999999982</v>
      </c>
      <c r="J15" s="19">
        <f t="shared" si="6"/>
        <v>16633.333333333332</v>
      </c>
      <c r="K15" s="20">
        <f t="shared" si="6"/>
        <v>16633.333333333332</v>
      </c>
      <c r="L15" s="19">
        <f t="shared" si="6"/>
        <v>9979.9999999999982</v>
      </c>
      <c r="M15" s="20">
        <f t="shared" si="6"/>
        <v>23286.666666666664</v>
      </c>
      <c r="N15" s="19">
        <f t="shared" si="6"/>
        <v>3326.6666666666665</v>
      </c>
      <c r="O15" s="20">
        <f t="shared" si="6"/>
        <v>29940</v>
      </c>
      <c r="X15" s="1">
        <v>11</v>
      </c>
      <c r="Y15" s="39">
        <f t="shared" si="5"/>
        <v>131000</v>
      </c>
    </row>
    <row r="16" spans="1:25" x14ac:dyDescent="0.2">
      <c r="A16" s="1">
        <v>12</v>
      </c>
      <c r="B16" s="52">
        <f t="shared" si="1"/>
        <v>9.6</v>
      </c>
      <c r="C16" s="19">
        <f t="shared" si="2"/>
        <v>58</v>
      </c>
      <c r="D16" s="19">
        <f t="shared" si="3"/>
        <v>0.96666666666666667</v>
      </c>
      <c r="E16" s="17">
        <f t="shared" si="4"/>
        <v>39400</v>
      </c>
      <c r="F16" s="19">
        <f t="shared" si="6"/>
        <v>35460</v>
      </c>
      <c r="G16" s="20">
        <f t="shared" si="6"/>
        <v>3940</v>
      </c>
      <c r="H16" s="19">
        <f t="shared" si="6"/>
        <v>27580</v>
      </c>
      <c r="I16" s="20">
        <f t="shared" si="6"/>
        <v>11820</v>
      </c>
      <c r="J16" s="19">
        <f t="shared" si="6"/>
        <v>19700</v>
      </c>
      <c r="K16" s="20">
        <f t="shared" si="6"/>
        <v>19700</v>
      </c>
      <c r="L16" s="19">
        <f t="shared" si="6"/>
        <v>11820</v>
      </c>
      <c r="M16" s="20">
        <f t="shared" si="6"/>
        <v>27580</v>
      </c>
      <c r="N16" s="19">
        <f t="shared" si="6"/>
        <v>3940</v>
      </c>
      <c r="O16" s="20">
        <f t="shared" si="6"/>
        <v>35460</v>
      </c>
      <c r="X16" s="1">
        <v>12</v>
      </c>
      <c r="Y16" s="39">
        <f t="shared" si="5"/>
        <v>134100</v>
      </c>
    </row>
    <row r="17" spans="1:25" x14ac:dyDescent="0.2">
      <c r="A17" s="1">
        <v>13</v>
      </c>
      <c r="B17" s="52">
        <f t="shared" si="1"/>
        <v>11.266666666666667</v>
      </c>
      <c r="C17" s="19">
        <f t="shared" si="2"/>
        <v>66.333333333333343</v>
      </c>
      <c r="D17" s="19">
        <f t="shared" si="3"/>
        <v>1.1055555555555556</v>
      </c>
      <c r="E17" s="17">
        <f t="shared" si="4"/>
        <v>46066.666666666672</v>
      </c>
      <c r="F17" s="19">
        <f t="shared" si="6"/>
        <v>41460.000000000007</v>
      </c>
      <c r="G17" s="20">
        <f t="shared" si="6"/>
        <v>4606.666666666667</v>
      </c>
      <c r="H17" s="19">
        <f t="shared" si="6"/>
        <v>32246.666666666668</v>
      </c>
      <c r="I17" s="20">
        <f t="shared" si="6"/>
        <v>13820.000000000002</v>
      </c>
      <c r="J17" s="19">
        <f t="shared" si="6"/>
        <v>23033.333333333336</v>
      </c>
      <c r="K17" s="20">
        <f t="shared" si="6"/>
        <v>23033.333333333336</v>
      </c>
      <c r="L17" s="19">
        <f t="shared" si="6"/>
        <v>13820.000000000002</v>
      </c>
      <c r="M17" s="20">
        <f t="shared" si="6"/>
        <v>32246.666666666668</v>
      </c>
      <c r="N17" s="19">
        <f t="shared" si="6"/>
        <v>4606.666666666667</v>
      </c>
      <c r="O17" s="20">
        <f t="shared" si="6"/>
        <v>41460.000000000007</v>
      </c>
      <c r="Q17" s="1" t="s">
        <v>67</v>
      </c>
      <c r="S17" s="49">
        <f>125*20+500</f>
        <v>3000</v>
      </c>
      <c r="X17" s="1">
        <v>13</v>
      </c>
      <c r="Y17" s="39">
        <f t="shared" si="5"/>
        <v>137200</v>
      </c>
    </row>
    <row r="18" spans="1:25" x14ac:dyDescent="0.2">
      <c r="A18" s="1">
        <v>14</v>
      </c>
      <c r="B18" s="52">
        <f t="shared" si="1"/>
        <v>13.066666666666666</v>
      </c>
      <c r="C18" s="19">
        <f t="shared" si="2"/>
        <v>75.333333333333329</v>
      </c>
      <c r="D18" s="19">
        <f t="shared" si="3"/>
        <v>1.2555555555555555</v>
      </c>
      <c r="E18" s="17">
        <f t="shared" si="4"/>
        <v>53266.666666666664</v>
      </c>
      <c r="F18" s="19">
        <f t="shared" si="6"/>
        <v>47940</v>
      </c>
      <c r="G18" s="20">
        <f t="shared" si="6"/>
        <v>5326.666666666667</v>
      </c>
      <c r="H18" s="19">
        <f t="shared" si="6"/>
        <v>37286.666666666664</v>
      </c>
      <c r="I18" s="20">
        <f t="shared" si="6"/>
        <v>15979.999999999998</v>
      </c>
      <c r="J18" s="19">
        <f t="shared" si="6"/>
        <v>26633.333333333332</v>
      </c>
      <c r="K18" s="20">
        <f t="shared" si="6"/>
        <v>26633.333333333332</v>
      </c>
      <c r="L18" s="19">
        <f t="shared" si="6"/>
        <v>15979.999999999998</v>
      </c>
      <c r="M18" s="20">
        <f t="shared" si="6"/>
        <v>37286.666666666664</v>
      </c>
      <c r="N18" s="19">
        <f t="shared" si="6"/>
        <v>5326.666666666667</v>
      </c>
      <c r="O18" s="20">
        <f t="shared" si="6"/>
        <v>47940</v>
      </c>
      <c r="Q18" s="1" t="s">
        <v>68</v>
      </c>
      <c r="S18" s="49">
        <v>1000000</v>
      </c>
      <c r="X18" s="1">
        <v>14</v>
      </c>
      <c r="Y18" s="39">
        <f t="shared" si="5"/>
        <v>140300</v>
      </c>
    </row>
    <row r="19" spans="1:25" x14ac:dyDescent="0.2">
      <c r="A19" s="1">
        <v>15</v>
      </c>
      <c r="B19" s="52">
        <f t="shared" si="1"/>
        <v>15</v>
      </c>
      <c r="C19" s="19">
        <f t="shared" si="2"/>
        <v>85</v>
      </c>
      <c r="D19" s="19">
        <f t="shared" si="3"/>
        <v>1.4166666666666667</v>
      </c>
      <c r="E19" s="17">
        <f t="shared" si="4"/>
        <v>61000</v>
      </c>
      <c r="F19" s="19">
        <f t="shared" si="6"/>
        <v>54900</v>
      </c>
      <c r="G19" s="20">
        <f t="shared" si="6"/>
        <v>6100</v>
      </c>
      <c r="H19" s="19">
        <f t="shared" si="6"/>
        <v>42700</v>
      </c>
      <c r="I19" s="20">
        <f t="shared" si="6"/>
        <v>18300</v>
      </c>
      <c r="J19" s="19">
        <f t="shared" si="6"/>
        <v>30500</v>
      </c>
      <c r="K19" s="20">
        <f t="shared" si="6"/>
        <v>30500</v>
      </c>
      <c r="L19" s="19">
        <f t="shared" si="6"/>
        <v>18300</v>
      </c>
      <c r="M19" s="20">
        <f t="shared" si="6"/>
        <v>42700</v>
      </c>
      <c r="N19" s="19">
        <f t="shared" si="6"/>
        <v>6100</v>
      </c>
      <c r="O19" s="20">
        <f t="shared" si="6"/>
        <v>54900</v>
      </c>
      <c r="X19" s="1">
        <v>15</v>
      </c>
      <c r="Y19" s="39">
        <f t="shared" si="5"/>
        <v>143400</v>
      </c>
    </row>
    <row r="20" spans="1:25" x14ac:dyDescent="0.2">
      <c r="A20" s="1">
        <v>16</v>
      </c>
      <c r="B20" s="52">
        <f t="shared" si="1"/>
        <v>17.066666666666666</v>
      </c>
      <c r="C20" s="19">
        <f t="shared" si="2"/>
        <v>95.333333333333329</v>
      </c>
      <c r="D20" s="19">
        <f t="shared" si="3"/>
        <v>1.5888888888888888</v>
      </c>
      <c r="E20" s="17">
        <f t="shared" si="4"/>
        <v>69266.666666666657</v>
      </c>
      <c r="F20" s="19">
        <f t="shared" si="6"/>
        <v>62339.999999999993</v>
      </c>
      <c r="G20" s="20">
        <f t="shared" si="6"/>
        <v>6926.6666666666661</v>
      </c>
      <c r="H20" s="19">
        <f t="shared" si="6"/>
        <v>48486.666666666657</v>
      </c>
      <c r="I20" s="20">
        <f t="shared" si="6"/>
        <v>20779.999999999996</v>
      </c>
      <c r="J20" s="19">
        <f t="shared" si="6"/>
        <v>34633.333333333328</v>
      </c>
      <c r="K20" s="20">
        <f t="shared" si="6"/>
        <v>34633.333333333328</v>
      </c>
      <c r="L20" s="19">
        <f t="shared" si="6"/>
        <v>20779.999999999996</v>
      </c>
      <c r="M20" s="20">
        <f t="shared" si="6"/>
        <v>48486.666666666657</v>
      </c>
      <c r="N20" s="19">
        <f t="shared" si="6"/>
        <v>6926.6666666666661</v>
      </c>
      <c r="O20" s="20">
        <f t="shared" si="6"/>
        <v>62339.999999999993</v>
      </c>
      <c r="X20" s="1">
        <v>16</v>
      </c>
      <c r="Y20" s="39">
        <f t="shared" si="5"/>
        <v>146500</v>
      </c>
    </row>
    <row r="21" spans="1:25" x14ac:dyDescent="0.2">
      <c r="A21" s="1">
        <v>17</v>
      </c>
      <c r="B21" s="52">
        <f t="shared" si="1"/>
        <v>19.266666666666666</v>
      </c>
      <c r="C21" s="19">
        <f t="shared" si="2"/>
        <v>106.33333333333333</v>
      </c>
      <c r="D21" s="19">
        <f t="shared" si="3"/>
        <v>1.7722222222222221</v>
      </c>
      <c r="E21" s="17">
        <f t="shared" si="4"/>
        <v>78066.666666666657</v>
      </c>
      <c r="F21" s="19">
        <f t="shared" si="6"/>
        <v>70260</v>
      </c>
      <c r="G21" s="20">
        <f t="shared" si="6"/>
        <v>7806.6666666666661</v>
      </c>
      <c r="H21" s="19">
        <f t="shared" si="6"/>
        <v>54646.666666666657</v>
      </c>
      <c r="I21" s="20">
        <f t="shared" si="6"/>
        <v>23419.999999999996</v>
      </c>
      <c r="J21" s="19">
        <f t="shared" si="6"/>
        <v>39033.333333333328</v>
      </c>
      <c r="K21" s="20">
        <f t="shared" si="6"/>
        <v>39033.333333333328</v>
      </c>
      <c r="L21" s="19">
        <f t="shared" si="6"/>
        <v>23419.999999999996</v>
      </c>
      <c r="M21" s="20">
        <f t="shared" si="6"/>
        <v>54646.666666666657</v>
      </c>
      <c r="N21" s="19">
        <f t="shared" si="6"/>
        <v>7806.6666666666661</v>
      </c>
      <c r="O21" s="20">
        <f t="shared" si="6"/>
        <v>70260</v>
      </c>
      <c r="X21" s="1">
        <v>17</v>
      </c>
      <c r="Y21" s="39">
        <f t="shared" si="5"/>
        <v>149600</v>
      </c>
    </row>
    <row r="22" spans="1:25" x14ac:dyDescent="0.2">
      <c r="A22" s="1">
        <v>18</v>
      </c>
      <c r="B22" s="52">
        <f t="shared" si="1"/>
        <v>21.6</v>
      </c>
      <c r="C22" s="19">
        <f t="shared" si="2"/>
        <v>118</v>
      </c>
      <c r="D22" s="19">
        <f t="shared" si="3"/>
        <v>1.9666666666666666</v>
      </c>
      <c r="E22" s="17">
        <f t="shared" si="4"/>
        <v>87400</v>
      </c>
      <c r="F22" s="19">
        <f t="shared" si="6"/>
        <v>78660</v>
      </c>
      <c r="G22" s="20">
        <f t="shared" si="6"/>
        <v>8740</v>
      </c>
      <c r="H22" s="19">
        <f t="shared" si="6"/>
        <v>61179.999999999993</v>
      </c>
      <c r="I22" s="20">
        <f t="shared" si="6"/>
        <v>26220</v>
      </c>
      <c r="J22" s="19">
        <f t="shared" si="6"/>
        <v>43700</v>
      </c>
      <c r="K22" s="20">
        <f t="shared" si="6"/>
        <v>43700</v>
      </c>
      <c r="L22" s="19">
        <f t="shared" si="6"/>
        <v>26220</v>
      </c>
      <c r="M22" s="20">
        <f t="shared" si="6"/>
        <v>61179.999999999993</v>
      </c>
      <c r="N22" s="19">
        <f t="shared" si="6"/>
        <v>8740</v>
      </c>
      <c r="O22" s="20">
        <f t="shared" si="6"/>
        <v>78660</v>
      </c>
      <c r="X22" s="1">
        <v>18</v>
      </c>
      <c r="Y22" s="39">
        <f t="shared" si="5"/>
        <v>152700</v>
      </c>
    </row>
    <row r="23" spans="1:25" x14ac:dyDescent="0.2">
      <c r="A23" s="1">
        <v>19</v>
      </c>
      <c r="B23" s="52">
        <f t="shared" si="1"/>
        <v>24.066666666666666</v>
      </c>
      <c r="C23" s="19">
        <f t="shared" si="2"/>
        <v>130.33333333333331</v>
      </c>
      <c r="D23" s="19">
        <f t="shared" si="3"/>
        <v>2.1722222222222221</v>
      </c>
      <c r="E23" s="17">
        <f t="shared" si="4"/>
        <v>97266.666666666672</v>
      </c>
      <c r="F23" s="19">
        <f t="shared" si="6"/>
        <v>87540</v>
      </c>
      <c r="G23" s="20">
        <f t="shared" si="6"/>
        <v>9726.6666666666679</v>
      </c>
      <c r="H23" s="19">
        <f t="shared" si="6"/>
        <v>68086.666666666672</v>
      </c>
      <c r="I23" s="20">
        <f t="shared" si="6"/>
        <v>29180</v>
      </c>
      <c r="J23" s="19">
        <f t="shared" si="6"/>
        <v>48633.333333333336</v>
      </c>
      <c r="K23" s="20">
        <f t="shared" si="6"/>
        <v>48633.333333333336</v>
      </c>
      <c r="L23" s="19">
        <f t="shared" si="6"/>
        <v>29180</v>
      </c>
      <c r="M23" s="20">
        <f t="shared" si="6"/>
        <v>68086.666666666672</v>
      </c>
      <c r="N23" s="19">
        <f t="shared" si="6"/>
        <v>9726.6666666666679</v>
      </c>
      <c r="O23" s="20">
        <f t="shared" si="6"/>
        <v>87540</v>
      </c>
      <c r="X23" s="1">
        <v>19</v>
      </c>
      <c r="Y23" s="39">
        <f t="shared" si="5"/>
        <v>155800</v>
      </c>
    </row>
    <row r="24" spans="1:25" x14ac:dyDescent="0.2">
      <c r="A24" s="1">
        <v>20</v>
      </c>
      <c r="B24" s="52">
        <f t="shared" si="1"/>
        <v>26.666666666666668</v>
      </c>
      <c r="C24" s="19">
        <f t="shared" si="2"/>
        <v>143.33333333333334</v>
      </c>
      <c r="D24" s="19">
        <f t="shared" si="3"/>
        <v>2.3888888888888888</v>
      </c>
      <c r="E24" s="17">
        <f t="shared" si="4"/>
        <v>107666.66666666667</v>
      </c>
      <c r="F24" s="19">
        <f t="shared" si="6"/>
        <v>96900</v>
      </c>
      <c r="G24" s="20">
        <f t="shared" si="6"/>
        <v>10766.666666666668</v>
      </c>
      <c r="H24" s="19">
        <f t="shared" si="6"/>
        <v>75366.666666666672</v>
      </c>
      <c r="I24" s="20">
        <f t="shared" si="6"/>
        <v>32300</v>
      </c>
      <c r="J24" s="19">
        <f t="shared" si="6"/>
        <v>53833.333333333336</v>
      </c>
      <c r="K24" s="20">
        <f t="shared" si="6"/>
        <v>53833.333333333336</v>
      </c>
      <c r="L24" s="19">
        <f t="shared" si="6"/>
        <v>32300</v>
      </c>
      <c r="M24" s="20">
        <f t="shared" si="6"/>
        <v>75366.666666666672</v>
      </c>
      <c r="N24" s="19">
        <f t="shared" si="6"/>
        <v>10766.666666666668</v>
      </c>
      <c r="O24" s="20">
        <f t="shared" si="6"/>
        <v>96900</v>
      </c>
      <c r="X24" s="1">
        <v>20</v>
      </c>
      <c r="Y24" s="39">
        <f t="shared" si="5"/>
        <v>158900</v>
      </c>
    </row>
    <row r="25" spans="1:25" x14ac:dyDescent="0.2">
      <c r="A25" s="1">
        <v>21</v>
      </c>
      <c r="B25" s="52">
        <f t="shared" si="1"/>
        <v>29.4</v>
      </c>
      <c r="C25" s="19">
        <f t="shared" si="2"/>
        <v>157</v>
      </c>
      <c r="D25" s="19">
        <f t="shared" si="3"/>
        <v>2.6166666666666667</v>
      </c>
      <c r="E25" s="17">
        <f t="shared" si="4"/>
        <v>118600</v>
      </c>
      <c r="F25" s="19">
        <f t="shared" ref="F25:O34" si="7">$E25*(F$3/10)</f>
        <v>106740</v>
      </c>
      <c r="G25" s="20">
        <f t="shared" si="7"/>
        <v>11860</v>
      </c>
      <c r="H25" s="19">
        <f t="shared" si="7"/>
        <v>83020</v>
      </c>
      <c r="I25" s="20">
        <f t="shared" si="7"/>
        <v>35580</v>
      </c>
      <c r="J25" s="19">
        <f t="shared" si="7"/>
        <v>59300</v>
      </c>
      <c r="K25" s="20">
        <f t="shared" si="7"/>
        <v>59300</v>
      </c>
      <c r="L25" s="19">
        <f t="shared" si="7"/>
        <v>35580</v>
      </c>
      <c r="M25" s="20">
        <f t="shared" si="7"/>
        <v>83020</v>
      </c>
      <c r="N25" s="19">
        <f t="shared" si="7"/>
        <v>11860</v>
      </c>
      <c r="O25" s="20">
        <f t="shared" si="7"/>
        <v>106740</v>
      </c>
      <c r="X25" s="1">
        <v>21</v>
      </c>
      <c r="Y25" s="39">
        <f t="shared" si="5"/>
        <v>162000</v>
      </c>
    </row>
    <row r="26" spans="1:25" x14ac:dyDescent="0.2">
      <c r="A26" s="1">
        <v>22</v>
      </c>
      <c r="B26" s="52">
        <f t="shared" si="1"/>
        <v>32.266666666666666</v>
      </c>
      <c r="C26" s="19">
        <f t="shared" si="2"/>
        <v>171.33333333333331</v>
      </c>
      <c r="D26" s="19">
        <f t="shared" si="3"/>
        <v>2.8555555555555552</v>
      </c>
      <c r="E26" s="17">
        <f t="shared" si="4"/>
        <v>130066.66666666666</v>
      </c>
      <c r="F26" s="19">
        <f t="shared" si="7"/>
        <v>117060</v>
      </c>
      <c r="G26" s="20">
        <f t="shared" si="7"/>
        <v>13006.666666666666</v>
      </c>
      <c r="H26" s="19">
        <f t="shared" si="7"/>
        <v>91046.666666666657</v>
      </c>
      <c r="I26" s="20">
        <f t="shared" si="7"/>
        <v>39019.999999999993</v>
      </c>
      <c r="J26" s="19">
        <f t="shared" si="7"/>
        <v>65033.333333333328</v>
      </c>
      <c r="K26" s="20">
        <f t="shared" si="7"/>
        <v>65033.333333333328</v>
      </c>
      <c r="L26" s="19">
        <f t="shared" si="7"/>
        <v>39019.999999999993</v>
      </c>
      <c r="M26" s="20">
        <f t="shared" si="7"/>
        <v>91046.666666666657</v>
      </c>
      <c r="N26" s="19">
        <f t="shared" si="7"/>
        <v>13006.666666666666</v>
      </c>
      <c r="O26" s="20">
        <f t="shared" si="7"/>
        <v>117060</v>
      </c>
      <c r="X26" s="1">
        <v>22</v>
      </c>
      <c r="Y26" s="39">
        <f t="shared" si="5"/>
        <v>165100</v>
      </c>
    </row>
    <row r="27" spans="1:25" x14ac:dyDescent="0.2">
      <c r="A27" s="1">
        <v>23</v>
      </c>
      <c r="B27" s="52">
        <f t="shared" si="1"/>
        <v>35.266666666666666</v>
      </c>
      <c r="C27" s="19">
        <f t="shared" si="2"/>
        <v>186.33333333333331</v>
      </c>
      <c r="D27" s="19">
        <f t="shared" si="3"/>
        <v>3.1055555555555552</v>
      </c>
      <c r="E27" s="17">
        <f t="shared" si="4"/>
        <v>142066.66666666666</v>
      </c>
      <c r="F27" s="19">
        <f t="shared" si="7"/>
        <v>127860</v>
      </c>
      <c r="G27" s="20">
        <f t="shared" si="7"/>
        <v>14206.666666666666</v>
      </c>
      <c r="H27" s="19">
        <f t="shared" si="7"/>
        <v>99446.666666666657</v>
      </c>
      <c r="I27" s="20">
        <f t="shared" si="7"/>
        <v>42619.999999999993</v>
      </c>
      <c r="J27" s="19">
        <f t="shared" si="7"/>
        <v>71033.333333333328</v>
      </c>
      <c r="K27" s="20">
        <f t="shared" si="7"/>
        <v>71033.333333333328</v>
      </c>
      <c r="L27" s="19">
        <f t="shared" si="7"/>
        <v>42619.999999999993</v>
      </c>
      <c r="M27" s="20">
        <f t="shared" si="7"/>
        <v>99446.666666666657</v>
      </c>
      <c r="N27" s="19">
        <f t="shared" si="7"/>
        <v>14206.666666666666</v>
      </c>
      <c r="O27" s="20">
        <f t="shared" si="7"/>
        <v>127860</v>
      </c>
      <c r="X27" s="1">
        <v>23</v>
      </c>
      <c r="Y27" s="39">
        <f t="shared" si="5"/>
        <v>168200</v>
      </c>
    </row>
    <row r="28" spans="1:25" x14ac:dyDescent="0.2">
      <c r="A28" s="1">
        <v>24</v>
      </c>
      <c r="B28" s="52">
        <f t="shared" si="1"/>
        <v>38.4</v>
      </c>
      <c r="C28" s="19">
        <f t="shared" si="2"/>
        <v>202</v>
      </c>
      <c r="D28" s="19">
        <f t="shared" si="3"/>
        <v>3.3666666666666667</v>
      </c>
      <c r="E28" s="17">
        <f t="shared" si="4"/>
        <v>154600</v>
      </c>
      <c r="F28" s="19">
        <f t="shared" si="7"/>
        <v>139140</v>
      </c>
      <c r="G28" s="20">
        <f t="shared" si="7"/>
        <v>15460</v>
      </c>
      <c r="H28" s="19">
        <f t="shared" si="7"/>
        <v>108220</v>
      </c>
      <c r="I28" s="20">
        <f t="shared" si="7"/>
        <v>46380</v>
      </c>
      <c r="J28" s="19">
        <f t="shared" si="7"/>
        <v>77300</v>
      </c>
      <c r="K28" s="20">
        <f t="shared" si="7"/>
        <v>77300</v>
      </c>
      <c r="L28" s="19">
        <f t="shared" si="7"/>
        <v>46380</v>
      </c>
      <c r="M28" s="20">
        <f t="shared" si="7"/>
        <v>108220</v>
      </c>
      <c r="N28" s="19">
        <f t="shared" si="7"/>
        <v>15460</v>
      </c>
      <c r="O28" s="20">
        <f t="shared" si="7"/>
        <v>139140</v>
      </c>
      <c r="X28" s="1">
        <v>24</v>
      </c>
      <c r="Y28" s="39">
        <f t="shared" si="5"/>
        <v>171300</v>
      </c>
    </row>
    <row r="29" spans="1:25" x14ac:dyDescent="0.2">
      <c r="A29" s="1">
        <v>25</v>
      </c>
      <c r="B29" s="52">
        <f t="shared" si="1"/>
        <v>41.666666666666664</v>
      </c>
      <c r="C29" s="19">
        <f t="shared" si="2"/>
        <v>218.33333333333331</v>
      </c>
      <c r="D29" s="19">
        <f t="shared" si="3"/>
        <v>3.6388888888888884</v>
      </c>
      <c r="E29" s="17">
        <f t="shared" si="4"/>
        <v>167666.66666666666</v>
      </c>
      <c r="F29" s="19">
        <f t="shared" si="7"/>
        <v>150900</v>
      </c>
      <c r="G29" s="20">
        <f t="shared" si="7"/>
        <v>16766.666666666668</v>
      </c>
      <c r="H29" s="19">
        <f t="shared" si="7"/>
        <v>117366.66666666666</v>
      </c>
      <c r="I29" s="20">
        <f t="shared" si="7"/>
        <v>50299.999999999993</v>
      </c>
      <c r="J29" s="19">
        <f t="shared" si="7"/>
        <v>83833.333333333328</v>
      </c>
      <c r="K29" s="20">
        <f t="shared" si="7"/>
        <v>83833.333333333328</v>
      </c>
      <c r="L29" s="19">
        <f t="shared" si="7"/>
        <v>50299.999999999993</v>
      </c>
      <c r="M29" s="20">
        <f t="shared" si="7"/>
        <v>117366.66666666666</v>
      </c>
      <c r="N29" s="19">
        <f t="shared" si="7"/>
        <v>16766.666666666668</v>
      </c>
      <c r="O29" s="20">
        <f t="shared" si="7"/>
        <v>150900</v>
      </c>
      <c r="X29" s="1">
        <v>25</v>
      </c>
      <c r="Y29" s="39">
        <f t="shared" si="5"/>
        <v>174400</v>
      </c>
    </row>
    <row r="30" spans="1:25" x14ac:dyDescent="0.2">
      <c r="A30" s="1">
        <v>26</v>
      </c>
      <c r="B30" s="52">
        <f t="shared" si="1"/>
        <v>45.06666666666667</v>
      </c>
      <c r="C30" s="19">
        <f t="shared" si="2"/>
        <v>235.33333333333334</v>
      </c>
      <c r="D30" s="19">
        <f t="shared" si="3"/>
        <v>3.9222222222222225</v>
      </c>
      <c r="E30" s="17">
        <f t="shared" si="4"/>
        <v>181266.66666666669</v>
      </c>
      <c r="F30" s="19">
        <f t="shared" si="7"/>
        <v>163140.00000000003</v>
      </c>
      <c r="G30" s="20">
        <f t="shared" si="7"/>
        <v>18126.666666666668</v>
      </c>
      <c r="H30" s="19">
        <f t="shared" si="7"/>
        <v>126886.66666666667</v>
      </c>
      <c r="I30" s="20">
        <f t="shared" si="7"/>
        <v>54380.000000000007</v>
      </c>
      <c r="J30" s="19">
        <f t="shared" si="7"/>
        <v>90633.333333333343</v>
      </c>
      <c r="K30" s="20">
        <f t="shared" si="7"/>
        <v>90633.333333333343</v>
      </c>
      <c r="L30" s="19">
        <f t="shared" si="7"/>
        <v>54380.000000000007</v>
      </c>
      <c r="M30" s="20">
        <f t="shared" si="7"/>
        <v>126886.66666666667</v>
      </c>
      <c r="N30" s="19">
        <f t="shared" si="7"/>
        <v>18126.666666666668</v>
      </c>
      <c r="O30" s="20">
        <f t="shared" si="7"/>
        <v>163140.00000000003</v>
      </c>
      <c r="X30" s="1">
        <v>26</v>
      </c>
      <c r="Y30" s="39">
        <f t="shared" si="5"/>
        <v>177500</v>
      </c>
    </row>
    <row r="31" spans="1:25" x14ac:dyDescent="0.2">
      <c r="A31" s="1">
        <v>27</v>
      </c>
      <c r="B31" s="52">
        <f t="shared" si="1"/>
        <v>48.6</v>
      </c>
      <c r="C31" s="19">
        <f t="shared" si="2"/>
        <v>253</v>
      </c>
      <c r="D31" s="19">
        <f t="shared" si="3"/>
        <v>4.2166666666666668</v>
      </c>
      <c r="E31" s="17">
        <f t="shared" si="4"/>
        <v>195400</v>
      </c>
      <c r="F31" s="19">
        <f t="shared" si="7"/>
        <v>175860</v>
      </c>
      <c r="G31" s="20">
        <f t="shared" si="7"/>
        <v>19540</v>
      </c>
      <c r="H31" s="19">
        <f t="shared" si="7"/>
        <v>136780</v>
      </c>
      <c r="I31" s="20">
        <f t="shared" si="7"/>
        <v>58620</v>
      </c>
      <c r="J31" s="19">
        <f t="shared" si="7"/>
        <v>97700</v>
      </c>
      <c r="K31" s="20">
        <f t="shared" si="7"/>
        <v>97700</v>
      </c>
      <c r="L31" s="19">
        <f t="shared" si="7"/>
        <v>58620</v>
      </c>
      <c r="M31" s="20">
        <f t="shared" si="7"/>
        <v>136780</v>
      </c>
      <c r="N31" s="19">
        <f t="shared" si="7"/>
        <v>19540</v>
      </c>
      <c r="O31" s="20">
        <f t="shared" si="7"/>
        <v>175860</v>
      </c>
      <c r="R31" s="1">
        <f>150000/49</f>
        <v>3061.2244897959185</v>
      </c>
      <c r="X31" s="1">
        <v>27</v>
      </c>
      <c r="Y31" s="39">
        <f t="shared" si="5"/>
        <v>180600</v>
      </c>
    </row>
    <row r="32" spans="1:25" x14ac:dyDescent="0.2">
      <c r="A32" s="1">
        <v>28</v>
      </c>
      <c r="B32" s="52">
        <f t="shared" si="1"/>
        <v>52.266666666666666</v>
      </c>
      <c r="C32" s="19">
        <f t="shared" si="2"/>
        <v>271.33333333333331</v>
      </c>
      <c r="D32" s="19">
        <f t="shared" si="3"/>
        <v>4.5222222222222221</v>
      </c>
      <c r="E32" s="17">
        <f t="shared" si="4"/>
        <v>210066.66666666666</v>
      </c>
      <c r="F32" s="19">
        <f t="shared" si="7"/>
        <v>189060</v>
      </c>
      <c r="G32" s="20">
        <f t="shared" si="7"/>
        <v>21006.666666666668</v>
      </c>
      <c r="H32" s="19">
        <f t="shared" si="7"/>
        <v>147046.66666666666</v>
      </c>
      <c r="I32" s="20">
        <f t="shared" si="7"/>
        <v>63019.999999999993</v>
      </c>
      <c r="J32" s="19">
        <f t="shared" si="7"/>
        <v>105033.33333333333</v>
      </c>
      <c r="K32" s="20">
        <f t="shared" si="7"/>
        <v>105033.33333333333</v>
      </c>
      <c r="L32" s="19">
        <f t="shared" si="7"/>
        <v>63019.999999999993</v>
      </c>
      <c r="M32" s="20">
        <f t="shared" si="7"/>
        <v>147046.66666666666</v>
      </c>
      <c r="N32" s="19">
        <f t="shared" si="7"/>
        <v>21006.666666666668</v>
      </c>
      <c r="O32" s="20">
        <f t="shared" si="7"/>
        <v>189060</v>
      </c>
      <c r="X32" s="1">
        <v>28</v>
      </c>
      <c r="Y32" s="39">
        <f t="shared" si="5"/>
        <v>183700</v>
      </c>
    </row>
    <row r="33" spans="1:25" x14ac:dyDescent="0.2">
      <c r="A33" s="1">
        <v>29</v>
      </c>
      <c r="B33" s="52">
        <f t="shared" si="1"/>
        <v>56.06666666666667</v>
      </c>
      <c r="C33" s="19">
        <f t="shared" si="2"/>
        <v>290.33333333333337</v>
      </c>
      <c r="D33" s="19">
        <f t="shared" si="3"/>
        <v>4.8388888888888895</v>
      </c>
      <c r="E33" s="17">
        <f t="shared" si="4"/>
        <v>225266.66666666669</v>
      </c>
      <c r="F33" s="19">
        <f t="shared" si="7"/>
        <v>202740.00000000003</v>
      </c>
      <c r="G33" s="20">
        <f t="shared" si="7"/>
        <v>22526.666666666672</v>
      </c>
      <c r="H33" s="19">
        <f t="shared" si="7"/>
        <v>157686.66666666666</v>
      </c>
      <c r="I33" s="20">
        <f t="shared" si="7"/>
        <v>67580</v>
      </c>
      <c r="J33" s="19">
        <f t="shared" si="7"/>
        <v>112633.33333333334</v>
      </c>
      <c r="K33" s="20">
        <f t="shared" si="7"/>
        <v>112633.33333333334</v>
      </c>
      <c r="L33" s="19">
        <f t="shared" si="7"/>
        <v>67580</v>
      </c>
      <c r="M33" s="20">
        <f t="shared" si="7"/>
        <v>157686.66666666666</v>
      </c>
      <c r="N33" s="19">
        <f t="shared" si="7"/>
        <v>22526.666666666672</v>
      </c>
      <c r="O33" s="20">
        <f t="shared" si="7"/>
        <v>202740.00000000003</v>
      </c>
      <c r="X33" s="1">
        <v>29</v>
      </c>
      <c r="Y33" s="39">
        <f t="shared" si="5"/>
        <v>186800</v>
      </c>
    </row>
    <row r="34" spans="1:25" x14ac:dyDescent="0.2">
      <c r="A34" s="1">
        <v>30</v>
      </c>
      <c r="B34" s="52">
        <f t="shared" si="1"/>
        <v>60</v>
      </c>
      <c r="C34" s="19">
        <f t="shared" si="2"/>
        <v>310</v>
      </c>
      <c r="D34" s="19">
        <f t="shared" si="3"/>
        <v>5.166666666666667</v>
      </c>
      <c r="E34" s="17">
        <f t="shared" si="4"/>
        <v>241000</v>
      </c>
      <c r="F34" s="19">
        <f t="shared" si="7"/>
        <v>216900</v>
      </c>
      <c r="G34" s="20">
        <f t="shared" si="7"/>
        <v>24100</v>
      </c>
      <c r="H34" s="19">
        <f t="shared" si="7"/>
        <v>168700</v>
      </c>
      <c r="I34" s="20">
        <f t="shared" si="7"/>
        <v>72300</v>
      </c>
      <c r="J34" s="19">
        <f t="shared" si="7"/>
        <v>120500</v>
      </c>
      <c r="K34" s="20">
        <f t="shared" si="7"/>
        <v>120500</v>
      </c>
      <c r="L34" s="19">
        <f t="shared" si="7"/>
        <v>72300</v>
      </c>
      <c r="M34" s="20">
        <f t="shared" si="7"/>
        <v>168700</v>
      </c>
      <c r="N34" s="19">
        <f t="shared" si="7"/>
        <v>24100</v>
      </c>
      <c r="O34" s="20">
        <f t="shared" si="7"/>
        <v>216900</v>
      </c>
      <c r="X34" s="1">
        <v>30</v>
      </c>
      <c r="Y34" s="39">
        <f t="shared" si="5"/>
        <v>189900</v>
      </c>
    </row>
    <row r="35" spans="1:25" x14ac:dyDescent="0.2">
      <c r="A35" s="1">
        <v>31</v>
      </c>
      <c r="B35" s="52">
        <f t="shared" si="1"/>
        <v>64.066666666666663</v>
      </c>
      <c r="C35" s="19">
        <f t="shared" si="2"/>
        <v>330.33333333333331</v>
      </c>
      <c r="D35" s="19">
        <f t="shared" si="3"/>
        <v>5.5055555555555555</v>
      </c>
      <c r="E35" s="17">
        <f t="shared" si="4"/>
        <v>257266.66666666666</v>
      </c>
      <c r="F35" s="19">
        <f t="shared" ref="F35:O44" si="8">$E35*(F$3/10)</f>
        <v>231540</v>
      </c>
      <c r="G35" s="20">
        <f t="shared" si="8"/>
        <v>25726.666666666668</v>
      </c>
      <c r="H35" s="19">
        <f t="shared" si="8"/>
        <v>180086.66666666666</v>
      </c>
      <c r="I35" s="20">
        <f t="shared" si="8"/>
        <v>77180</v>
      </c>
      <c r="J35" s="19">
        <f t="shared" si="8"/>
        <v>128633.33333333333</v>
      </c>
      <c r="K35" s="20">
        <f t="shared" si="8"/>
        <v>128633.33333333333</v>
      </c>
      <c r="L35" s="19">
        <f t="shared" si="8"/>
        <v>77180</v>
      </c>
      <c r="M35" s="20">
        <f t="shared" si="8"/>
        <v>180086.66666666666</v>
      </c>
      <c r="N35" s="19">
        <f t="shared" si="8"/>
        <v>25726.666666666668</v>
      </c>
      <c r="O35" s="20">
        <f t="shared" si="8"/>
        <v>231540</v>
      </c>
      <c r="X35" s="1">
        <v>31</v>
      </c>
      <c r="Y35" s="39">
        <f t="shared" si="5"/>
        <v>193000</v>
      </c>
    </row>
    <row r="36" spans="1:25" x14ac:dyDescent="0.2">
      <c r="A36" s="1">
        <v>32</v>
      </c>
      <c r="B36" s="52">
        <f t="shared" si="1"/>
        <v>68.266666666666666</v>
      </c>
      <c r="C36" s="19">
        <f t="shared" si="2"/>
        <v>351.33333333333331</v>
      </c>
      <c r="D36" s="19">
        <f t="shared" si="3"/>
        <v>5.8555555555555552</v>
      </c>
      <c r="E36" s="17">
        <f t="shared" si="4"/>
        <v>274066.66666666669</v>
      </c>
      <c r="F36" s="19">
        <f t="shared" si="8"/>
        <v>246660.00000000003</v>
      </c>
      <c r="G36" s="20">
        <f t="shared" si="8"/>
        <v>27406.666666666672</v>
      </c>
      <c r="H36" s="19">
        <f t="shared" si="8"/>
        <v>191846.66666666666</v>
      </c>
      <c r="I36" s="20">
        <f t="shared" si="8"/>
        <v>82220</v>
      </c>
      <c r="J36" s="19">
        <f t="shared" si="8"/>
        <v>137033.33333333334</v>
      </c>
      <c r="K36" s="20">
        <f t="shared" si="8"/>
        <v>137033.33333333334</v>
      </c>
      <c r="L36" s="19">
        <f t="shared" si="8"/>
        <v>82220</v>
      </c>
      <c r="M36" s="20">
        <f t="shared" si="8"/>
        <v>191846.66666666666</v>
      </c>
      <c r="N36" s="19">
        <f t="shared" si="8"/>
        <v>27406.666666666672</v>
      </c>
      <c r="O36" s="20">
        <f t="shared" si="8"/>
        <v>246660.00000000003</v>
      </c>
      <c r="X36" s="1">
        <v>32</v>
      </c>
      <c r="Y36" s="39">
        <f t="shared" si="5"/>
        <v>196100</v>
      </c>
    </row>
    <row r="37" spans="1:25" x14ac:dyDescent="0.2">
      <c r="A37" s="1">
        <v>33</v>
      </c>
      <c r="B37" s="52">
        <f t="shared" si="1"/>
        <v>72.599999999999994</v>
      </c>
      <c r="C37" s="19">
        <f t="shared" si="2"/>
        <v>373</v>
      </c>
      <c r="D37" s="19">
        <f t="shared" si="3"/>
        <v>6.2166666666666668</v>
      </c>
      <c r="E37" s="17">
        <f t="shared" si="4"/>
        <v>291400</v>
      </c>
      <c r="F37" s="19">
        <f t="shared" si="8"/>
        <v>262260</v>
      </c>
      <c r="G37" s="20">
        <f t="shared" si="8"/>
        <v>29140</v>
      </c>
      <c r="H37" s="19">
        <f t="shared" si="8"/>
        <v>203980</v>
      </c>
      <c r="I37" s="20">
        <f t="shared" si="8"/>
        <v>87420</v>
      </c>
      <c r="J37" s="19">
        <f t="shared" si="8"/>
        <v>145700</v>
      </c>
      <c r="K37" s="20">
        <f t="shared" si="8"/>
        <v>145700</v>
      </c>
      <c r="L37" s="19">
        <f t="shared" si="8"/>
        <v>87420</v>
      </c>
      <c r="M37" s="20">
        <f t="shared" si="8"/>
        <v>203980</v>
      </c>
      <c r="N37" s="19">
        <f t="shared" si="8"/>
        <v>29140</v>
      </c>
      <c r="O37" s="20">
        <f t="shared" si="8"/>
        <v>262260</v>
      </c>
      <c r="X37" s="1">
        <v>33</v>
      </c>
      <c r="Y37" s="39">
        <f t="shared" si="5"/>
        <v>199200</v>
      </c>
    </row>
    <row r="38" spans="1:25" x14ac:dyDescent="0.2">
      <c r="A38" s="1">
        <v>34</v>
      </c>
      <c r="B38" s="52">
        <f t="shared" si="1"/>
        <v>77.066666666666663</v>
      </c>
      <c r="C38" s="19">
        <f t="shared" si="2"/>
        <v>395.33333333333331</v>
      </c>
      <c r="D38" s="19">
        <f t="shared" si="3"/>
        <v>6.5888888888888886</v>
      </c>
      <c r="E38" s="17">
        <f t="shared" si="4"/>
        <v>309266.66666666663</v>
      </c>
      <c r="F38" s="19">
        <f t="shared" si="8"/>
        <v>278340</v>
      </c>
      <c r="G38" s="20">
        <f t="shared" si="8"/>
        <v>30926.666666666664</v>
      </c>
      <c r="H38" s="19">
        <f t="shared" si="8"/>
        <v>216486.66666666663</v>
      </c>
      <c r="I38" s="20">
        <f t="shared" si="8"/>
        <v>92779.999999999985</v>
      </c>
      <c r="J38" s="19">
        <f t="shared" si="8"/>
        <v>154633.33333333331</v>
      </c>
      <c r="K38" s="20">
        <f t="shared" si="8"/>
        <v>154633.33333333331</v>
      </c>
      <c r="L38" s="19">
        <f t="shared" si="8"/>
        <v>92779.999999999985</v>
      </c>
      <c r="M38" s="20">
        <f t="shared" si="8"/>
        <v>216486.66666666663</v>
      </c>
      <c r="N38" s="19">
        <f t="shared" si="8"/>
        <v>30926.666666666664</v>
      </c>
      <c r="O38" s="20">
        <f t="shared" si="8"/>
        <v>278340</v>
      </c>
      <c r="X38" s="1">
        <v>34</v>
      </c>
      <c r="Y38" s="39">
        <f t="shared" si="5"/>
        <v>202300</v>
      </c>
    </row>
    <row r="39" spans="1:25" x14ac:dyDescent="0.2">
      <c r="A39" s="1">
        <v>35</v>
      </c>
      <c r="B39" s="52">
        <f t="shared" si="1"/>
        <v>81.666666666666671</v>
      </c>
      <c r="C39" s="19">
        <f t="shared" si="2"/>
        <v>418.33333333333337</v>
      </c>
      <c r="D39" s="19">
        <f t="shared" si="3"/>
        <v>6.9722222222222232</v>
      </c>
      <c r="E39" s="17">
        <f t="shared" si="4"/>
        <v>327666.66666666669</v>
      </c>
      <c r="F39" s="19">
        <f t="shared" si="8"/>
        <v>294900</v>
      </c>
      <c r="G39" s="20">
        <f t="shared" si="8"/>
        <v>32766.666666666672</v>
      </c>
      <c r="H39" s="19">
        <f t="shared" si="8"/>
        <v>229366.66666666666</v>
      </c>
      <c r="I39" s="20">
        <f t="shared" si="8"/>
        <v>98300</v>
      </c>
      <c r="J39" s="19">
        <f t="shared" si="8"/>
        <v>163833.33333333334</v>
      </c>
      <c r="K39" s="20">
        <f t="shared" si="8"/>
        <v>163833.33333333334</v>
      </c>
      <c r="L39" s="19">
        <f t="shared" si="8"/>
        <v>98300</v>
      </c>
      <c r="M39" s="20">
        <f t="shared" si="8"/>
        <v>229366.66666666666</v>
      </c>
      <c r="N39" s="19">
        <f t="shared" si="8"/>
        <v>32766.666666666672</v>
      </c>
      <c r="O39" s="20">
        <f t="shared" si="8"/>
        <v>294900</v>
      </c>
      <c r="X39" s="1">
        <v>35</v>
      </c>
      <c r="Y39" s="39">
        <f t="shared" si="5"/>
        <v>205400</v>
      </c>
    </row>
    <row r="40" spans="1:25" x14ac:dyDescent="0.2">
      <c r="A40" s="1">
        <v>36</v>
      </c>
      <c r="B40" s="52">
        <f t="shared" si="1"/>
        <v>86.4</v>
      </c>
      <c r="C40" s="19">
        <f t="shared" si="2"/>
        <v>442</v>
      </c>
      <c r="D40" s="19">
        <f t="shared" si="3"/>
        <v>7.3666666666666663</v>
      </c>
      <c r="E40" s="17">
        <f t="shared" si="4"/>
        <v>346600</v>
      </c>
      <c r="F40" s="19">
        <f t="shared" si="8"/>
        <v>311940</v>
      </c>
      <c r="G40" s="20">
        <f t="shared" si="8"/>
        <v>34660</v>
      </c>
      <c r="H40" s="19">
        <f t="shared" si="8"/>
        <v>242619.99999999997</v>
      </c>
      <c r="I40" s="20">
        <f t="shared" si="8"/>
        <v>103980</v>
      </c>
      <c r="J40" s="19">
        <f t="shared" si="8"/>
        <v>173300</v>
      </c>
      <c r="K40" s="20">
        <f t="shared" si="8"/>
        <v>173300</v>
      </c>
      <c r="L40" s="19">
        <f t="shared" si="8"/>
        <v>103980</v>
      </c>
      <c r="M40" s="20">
        <f t="shared" si="8"/>
        <v>242619.99999999997</v>
      </c>
      <c r="N40" s="19">
        <f t="shared" si="8"/>
        <v>34660</v>
      </c>
      <c r="O40" s="20">
        <f t="shared" si="8"/>
        <v>311940</v>
      </c>
      <c r="X40" s="1">
        <v>36</v>
      </c>
      <c r="Y40" s="39">
        <f t="shared" si="5"/>
        <v>208500</v>
      </c>
    </row>
    <row r="41" spans="1:25" x14ac:dyDescent="0.2">
      <c r="A41" s="1">
        <v>37</v>
      </c>
      <c r="B41" s="52">
        <f t="shared" si="1"/>
        <v>91.266666666666666</v>
      </c>
      <c r="C41" s="19">
        <f t="shared" si="2"/>
        <v>466.33333333333331</v>
      </c>
      <c r="D41" s="19">
        <f t="shared" si="3"/>
        <v>7.7722222222222221</v>
      </c>
      <c r="E41" s="17">
        <f t="shared" si="4"/>
        <v>366066.66666666669</v>
      </c>
      <c r="F41" s="19">
        <f t="shared" si="8"/>
        <v>329460</v>
      </c>
      <c r="G41" s="20">
        <f t="shared" si="8"/>
        <v>36606.666666666672</v>
      </c>
      <c r="H41" s="19">
        <f t="shared" si="8"/>
        <v>256246.66666666666</v>
      </c>
      <c r="I41" s="20">
        <f t="shared" si="8"/>
        <v>109820</v>
      </c>
      <c r="J41" s="19">
        <f t="shared" si="8"/>
        <v>183033.33333333334</v>
      </c>
      <c r="K41" s="20">
        <f t="shared" si="8"/>
        <v>183033.33333333334</v>
      </c>
      <c r="L41" s="19">
        <f t="shared" si="8"/>
        <v>109820</v>
      </c>
      <c r="M41" s="20">
        <f t="shared" si="8"/>
        <v>256246.66666666666</v>
      </c>
      <c r="N41" s="19">
        <f t="shared" si="8"/>
        <v>36606.666666666672</v>
      </c>
      <c r="O41" s="20">
        <f t="shared" si="8"/>
        <v>329460</v>
      </c>
      <c r="X41" s="1">
        <v>37</v>
      </c>
      <c r="Y41" s="39">
        <f t="shared" si="5"/>
        <v>211600</v>
      </c>
    </row>
    <row r="42" spans="1:25" x14ac:dyDescent="0.2">
      <c r="A42" s="1">
        <v>38</v>
      </c>
      <c r="B42" s="52">
        <f t="shared" si="1"/>
        <v>96.266666666666666</v>
      </c>
      <c r="C42" s="19">
        <f t="shared" si="2"/>
        <v>491.33333333333331</v>
      </c>
      <c r="D42" s="19">
        <f t="shared" si="3"/>
        <v>8.1888888888888882</v>
      </c>
      <c r="E42" s="17">
        <f t="shared" si="4"/>
        <v>386066.66666666669</v>
      </c>
      <c r="F42" s="19">
        <f t="shared" si="8"/>
        <v>347460</v>
      </c>
      <c r="G42" s="20">
        <f t="shared" si="8"/>
        <v>38606.666666666672</v>
      </c>
      <c r="H42" s="19">
        <f t="shared" si="8"/>
        <v>270246.66666666669</v>
      </c>
      <c r="I42" s="20">
        <f t="shared" si="8"/>
        <v>115820</v>
      </c>
      <c r="J42" s="19">
        <f t="shared" si="8"/>
        <v>193033.33333333334</v>
      </c>
      <c r="K42" s="20">
        <f t="shared" si="8"/>
        <v>193033.33333333334</v>
      </c>
      <c r="L42" s="19">
        <f t="shared" si="8"/>
        <v>115820</v>
      </c>
      <c r="M42" s="20">
        <f t="shared" si="8"/>
        <v>270246.66666666669</v>
      </c>
      <c r="N42" s="19">
        <f t="shared" si="8"/>
        <v>38606.666666666672</v>
      </c>
      <c r="O42" s="20">
        <f t="shared" si="8"/>
        <v>347460</v>
      </c>
      <c r="X42" s="1">
        <v>38</v>
      </c>
      <c r="Y42" s="39">
        <f t="shared" si="5"/>
        <v>214700</v>
      </c>
    </row>
    <row r="43" spans="1:25" x14ac:dyDescent="0.2">
      <c r="A43" s="1">
        <v>39</v>
      </c>
      <c r="B43" s="52">
        <f t="shared" si="1"/>
        <v>101.4</v>
      </c>
      <c r="C43" s="19">
        <f t="shared" si="2"/>
        <v>517</v>
      </c>
      <c r="D43" s="19">
        <f t="shared" si="3"/>
        <v>8.6166666666666671</v>
      </c>
      <c r="E43" s="17">
        <f t="shared" si="4"/>
        <v>406600</v>
      </c>
      <c r="F43" s="19">
        <f t="shared" si="8"/>
        <v>365940</v>
      </c>
      <c r="G43" s="20">
        <f t="shared" si="8"/>
        <v>40660</v>
      </c>
      <c r="H43" s="19">
        <f t="shared" si="8"/>
        <v>284620</v>
      </c>
      <c r="I43" s="20">
        <f t="shared" si="8"/>
        <v>121980</v>
      </c>
      <c r="J43" s="19">
        <f t="shared" si="8"/>
        <v>203300</v>
      </c>
      <c r="K43" s="20">
        <f t="shared" si="8"/>
        <v>203300</v>
      </c>
      <c r="L43" s="19">
        <f t="shared" si="8"/>
        <v>121980</v>
      </c>
      <c r="M43" s="20">
        <f t="shared" si="8"/>
        <v>284620</v>
      </c>
      <c r="N43" s="19">
        <f t="shared" si="8"/>
        <v>40660</v>
      </c>
      <c r="O43" s="20">
        <f t="shared" si="8"/>
        <v>365940</v>
      </c>
      <c r="X43" s="1">
        <v>39</v>
      </c>
      <c r="Y43" s="39">
        <f t="shared" si="5"/>
        <v>217800</v>
      </c>
    </row>
    <row r="44" spans="1:25" x14ac:dyDescent="0.2">
      <c r="A44" s="1">
        <v>40</v>
      </c>
      <c r="B44" s="52">
        <f t="shared" si="1"/>
        <v>106.66666666666667</v>
      </c>
      <c r="C44" s="19">
        <f t="shared" si="2"/>
        <v>543.33333333333337</v>
      </c>
      <c r="D44" s="19">
        <f t="shared" si="3"/>
        <v>9.0555555555555554</v>
      </c>
      <c r="E44" s="17">
        <f t="shared" si="4"/>
        <v>427666.66666666669</v>
      </c>
      <c r="F44" s="19">
        <f t="shared" si="8"/>
        <v>384900</v>
      </c>
      <c r="G44" s="20">
        <f t="shared" si="8"/>
        <v>42766.666666666672</v>
      </c>
      <c r="H44" s="19">
        <f t="shared" si="8"/>
        <v>299366.66666666669</v>
      </c>
      <c r="I44" s="20">
        <f t="shared" si="8"/>
        <v>128300</v>
      </c>
      <c r="J44" s="19">
        <f t="shared" si="8"/>
        <v>213833.33333333334</v>
      </c>
      <c r="K44" s="20">
        <f t="shared" si="8"/>
        <v>213833.33333333334</v>
      </c>
      <c r="L44" s="19">
        <f t="shared" si="8"/>
        <v>128300</v>
      </c>
      <c r="M44" s="20">
        <f t="shared" si="8"/>
        <v>299366.66666666669</v>
      </c>
      <c r="N44" s="19">
        <f t="shared" si="8"/>
        <v>42766.666666666672</v>
      </c>
      <c r="O44" s="20">
        <f t="shared" si="8"/>
        <v>384900</v>
      </c>
      <c r="X44" s="1">
        <v>40</v>
      </c>
      <c r="Y44" s="39">
        <f t="shared" si="5"/>
        <v>220900</v>
      </c>
    </row>
    <row r="45" spans="1:25" x14ac:dyDescent="0.2">
      <c r="A45" s="1">
        <v>41</v>
      </c>
      <c r="B45" s="52">
        <f t="shared" si="1"/>
        <v>112.06666666666666</v>
      </c>
      <c r="C45" s="19">
        <f t="shared" si="2"/>
        <v>570.33333333333326</v>
      </c>
      <c r="D45" s="19">
        <f t="shared" si="3"/>
        <v>9.5055555555555546</v>
      </c>
      <c r="E45" s="17">
        <f t="shared" si="4"/>
        <v>449266.66666666663</v>
      </c>
      <c r="F45" s="19">
        <f t="shared" ref="F45:O54" si="9">$E45*(F$3/10)</f>
        <v>404340</v>
      </c>
      <c r="G45" s="20">
        <f t="shared" si="9"/>
        <v>44926.666666666664</v>
      </c>
      <c r="H45" s="19">
        <f t="shared" si="9"/>
        <v>314486.66666666663</v>
      </c>
      <c r="I45" s="20">
        <f t="shared" si="9"/>
        <v>134779.99999999997</v>
      </c>
      <c r="J45" s="19">
        <f t="shared" si="9"/>
        <v>224633.33333333331</v>
      </c>
      <c r="K45" s="20">
        <f t="shared" si="9"/>
        <v>224633.33333333331</v>
      </c>
      <c r="L45" s="19">
        <f t="shared" si="9"/>
        <v>134779.99999999997</v>
      </c>
      <c r="M45" s="20">
        <f t="shared" si="9"/>
        <v>314486.66666666663</v>
      </c>
      <c r="N45" s="19">
        <f t="shared" si="9"/>
        <v>44926.666666666664</v>
      </c>
      <c r="O45" s="20">
        <f t="shared" si="9"/>
        <v>404340</v>
      </c>
      <c r="X45" s="1">
        <v>41</v>
      </c>
      <c r="Y45" s="39">
        <f t="shared" si="5"/>
        <v>224000</v>
      </c>
    </row>
    <row r="46" spans="1:25" x14ac:dyDescent="0.2">
      <c r="A46" s="1">
        <v>42</v>
      </c>
      <c r="B46" s="52">
        <f t="shared" si="1"/>
        <v>117.6</v>
      </c>
      <c r="C46" s="19">
        <f t="shared" si="2"/>
        <v>598</v>
      </c>
      <c r="D46" s="19">
        <f t="shared" si="3"/>
        <v>9.9666666666666668</v>
      </c>
      <c r="E46" s="17">
        <f t="shared" si="4"/>
        <v>471400</v>
      </c>
      <c r="F46" s="19">
        <f t="shared" si="9"/>
        <v>424260</v>
      </c>
      <c r="G46" s="20">
        <f t="shared" si="9"/>
        <v>47140</v>
      </c>
      <c r="H46" s="19">
        <f t="shared" si="9"/>
        <v>329980</v>
      </c>
      <c r="I46" s="20">
        <f t="shared" si="9"/>
        <v>141420</v>
      </c>
      <c r="J46" s="19">
        <f t="shared" si="9"/>
        <v>235700</v>
      </c>
      <c r="K46" s="20">
        <f t="shared" si="9"/>
        <v>235700</v>
      </c>
      <c r="L46" s="19">
        <f t="shared" si="9"/>
        <v>141420</v>
      </c>
      <c r="M46" s="20">
        <f t="shared" si="9"/>
        <v>329980</v>
      </c>
      <c r="N46" s="19">
        <f t="shared" si="9"/>
        <v>47140</v>
      </c>
      <c r="O46" s="20">
        <f t="shared" si="9"/>
        <v>424260</v>
      </c>
      <c r="X46" s="1">
        <v>42</v>
      </c>
      <c r="Y46" s="39">
        <f t="shared" si="5"/>
        <v>227100</v>
      </c>
    </row>
    <row r="47" spans="1:25" x14ac:dyDescent="0.2">
      <c r="A47" s="1">
        <v>43</v>
      </c>
      <c r="B47" s="52">
        <f t="shared" si="1"/>
        <v>123.26666666666667</v>
      </c>
      <c r="C47" s="19">
        <f t="shared" si="2"/>
        <v>626.33333333333337</v>
      </c>
      <c r="D47" s="19">
        <f t="shared" si="3"/>
        <v>10.43888888888889</v>
      </c>
      <c r="E47" s="17">
        <f t="shared" si="4"/>
        <v>494066.66666666669</v>
      </c>
      <c r="F47" s="19">
        <f t="shared" si="9"/>
        <v>444660</v>
      </c>
      <c r="G47" s="20">
        <f t="shared" si="9"/>
        <v>49406.666666666672</v>
      </c>
      <c r="H47" s="19">
        <f t="shared" si="9"/>
        <v>345846.66666666669</v>
      </c>
      <c r="I47" s="20">
        <f t="shared" si="9"/>
        <v>148220</v>
      </c>
      <c r="J47" s="19">
        <f t="shared" si="9"/>
        <v>247033.33333333334</v>
      </c>
      <c r="K47" s="20">
        <f t="shared" si="9"/>
        <v>247033.33333333334</v>
      </c>
      <c r="L47" s="19">
        <f t="shared" si="9"/>
        <v>148220</v>
      </c>
      <c r="M47" s="20">
        <f t="shared" si="9"/>
        <v>345846.66666666669</v>
      </c>
      <c r="N47" s="19">
        <f t="shared" si="9"/>
        <v>49406.666666666672</v>
      </c>
      <c r="O47" s="20">
        <f t="shared" si="9"/>
        <v>444660</v>
      </c>
      <c r="X47" s="1">
        <v>43</v>
      </c>
      <c r="Y47" s="39">
        <f t="shared" si="5"/>
        <v>230200</v>
      </c>
    </row>
    <row r="48" spans="1:25" x14ac:dyDescent="0.2">
      <c r="A48" s="1">
        <v>44</v>
      </c>
      <c r="B48" s="52">
        <f t="shared" si="1"/>
        <v>129.06666666666666</v>
      </c>
      <c r="C48" s="19">
        <f t="shared" si="2"/>
        <v>655.33333333333326</v>
      </c>
      <c r="D48" s="19">
        <f t="shared" si="3"/>
        <v>10.922222222222221</v>
      </c>
      <c r="E48" s="17">
        <f t="shared" si="4"/>
        <v>517266.66666666663</v>
      </c>
      <c r="F48" s="19">
        <f t="shared" si="9"/>
        <v>465540</v>
      </c>
      <c r="G48" s="20">
        <f t="shared" si="9"/>
        <v>51726.666666666664</v>
      </c>
      <c r="H48" s="19">
        <f t="shared" si="9"/>
        <v>362086.66666666663</v>
      </c>
      <c r="I48" s="20">
        <f t="shared" si="9"/>
        <v>155179.99999999997</v>
      </c>
      <c r="J48" s="19">
        <f t="shared" si="9"/>
        <v>258633.33333333331</v>
      </c>
      <c r="K48" s="20">
        <f t="shared" si="9"/>
        <v>258633.33333333331</v>
      </c>
      <c r="L48" s="19">
        <f t="shared" si="9"/>
        <v>155179.99999999997</v>
      </c>
      <c r="M48" s="20">
        <f t="shared" si="9"/>
        <v>362086.66666666663</v>
      </c>
      <c r="N48" s="19">
        <f t="shared" si="9"/>
        <v>51726.666666666664</v>
      </c>
      <c r="O48" s="20">
        <f t="shared" si="9"/>
        <v>465540</v>
      </c>
      <c r="X48" s="1">
        <v>44</v>
      </c>
      <c r="Y48" s="39">
        <f t="shared" si="5"/>
        <v>233300</v>
      </c>
    </row>
    <row r="49" spans="1:25" x14ac:dyDescent="0.2">
      <c r="A49" s="1">
        <v>45</v>
      </c>
      <c r="B49" s="52">
        <f t="shared" si="1"/>
        <v>135</v>
      </c>
      <c r="C49" s="19">
        <f t="shared" si="2"/>
        <v>685</v>
      </c>
      <c r="D49" s="19">
        <f t="shared" si="3"/>
        <v>11.416666666666666</v>
      </c>
      <c r="E49" s="17">
        <f t="shared" si="4"/>
        <v>541000</v>
      </c>
      <c r="F49" s="19">
        <f t="shared" si="9"/>
        <v>486900</v>
      </c>
      <c r="G49" s="20">
        <f t="shared" si="9"/>
        <v>54100</v>
      </c>
      <c r="H49" s="19">
        <f t="shared" si="9"/>
        <v>378700</v>
      </c>
      <c r="I49" s="20">
        <f t="shared" si="9"/>
        <v>162300</v>
      </c>
      <c r="J49" s="19">
        <f t="shared" si="9"/>
        <v>270500</v>
      </c>
      <c r="K49" s="20">
        <f t="shared" si="9"/>
        <v>270500</v>
      </c>
      <c r="L49" s="19">
        <f t="shared" si="9"/>
        <v>162300</v>
      </c>
      <c r="M49" s="20">
        <f t="shared" si="9"/>
        <v>378700</v>
      </c>
      <c r="N49" s="19">
        <f t="shared" si="9"/>
        <v>54100</v>
      </c>
      <c r="O49" s="20">
        <f t="shared" si="9"/>
        <v>486900</v>
      </c>
      <c r="X49" s="1">
        <v>45</v>
      </c>
      <c r="Y49" s="39">
        <f t="shared" si="5"/>
        <v>236400</v>
      </c>
    </row>
    <row r="50" spans="1:25" x14ac:dyDescent="0.2">
      <c r="A50" s="1">
        <v>46</v>
      </c>
      <c r="B50" s="52">
        <f t="shared" si="1"/>
        <v>141.06666666666666</v>
      </c>
      <c r="C50" s="19">
        <f t="shared" si="2"/>
        <v>715.33333333333326</v>
      </c>
      <c r="D50" s="19">
        <f t="shared" si="3"/>
        <v>11.922222222222221</v>
      </c>
      <c r="E50" s="17">
        <f t="shared" si="4"/>
        <v>565266.66666666663</v>
      </c>
      <c r="F50" s="19">
        <f t="shared" si="9"/>
        <v>508740</v>
      </c>
      <c r="G50" s="20">
        <f t="shared" si="9"/>
        <v>56526.666666666664</v>
      </c>
      <c r="H50" s="19">
        <f t="shared" si="9"/>
        <v>395686.66666666663</v>
      </c>
      <c r="I50" s="20">
        <f t="shared" si="9"/>
        <v>169579.99999999997</v>
      </c>
      <c r="J50" s="19">
        <f t="shared" si="9"/>
        <v>282633.33333333331</v>
      </c>
      <c r="K50" s="20">
        <f t="shared" si="9"/>
        <v>282633.33333333331</v>
      </c>
      <c r="L50" s="19">
        <f t="shared" si="9"/>
        <v>169579.99999999997</v>
      </c>
      <c r="M50" s="20">
        <f t="shared" si="9"/>
        <v>395686.66666666663</v>
      </c>
      <c r="N50" s="19">
        <f t="shared" si="9"/>
        <v>56526.666666666664</v>
      </c>
      <c r="O50" s="20">
        <f t="shared" si="9"/>
        <v>508740</v>
      </c>
      <c r="X50" s="1">
        <v>46</v>
      </c>
      <c r="Y50" s="39">
        <f t="shared" si="5"/>
        <v>239500</v>
      </c>
    </row>
    <row r="51" spans="1:25" x14ac:dyDescent="0.2">
      <c r="A51" s="1">
        <v>47</v>
      </c>
      <c r="B51" s="52">
        <f t="shared" si="1"/>
        <v>147.26666666666668</v>
      </c>
      <c r="C51" s="19">
        <f t="shared" si="2"/>
        <v>746.33333333333337</v>
      </c>
      <c r="D51" s="19">
        <f t="shared" si="3"/>
        <v>12.43888888888889</v>
      </c>
      <c r="E51" s="17">
        <f t="shared" si="4"/>
        <v>590066.66666666674</v>
      </c>
      <c r="F51" s="19">
        <f t="shared" si="9"/>
        <v>531060.00000000012</v>
      </c>
      <c r="G51" s="20">
        <f t="shared" si="9"/>
        <v>59006.666666666679</v>
      </c>
      <c r="H51" s="19">
        <f t="shared" si="9"/>
        <v>413046.66666666669</v>
      </c>
      <c r="I51" s="20">
        <f t="shared" si="9"/>
        <v>177020.00000000003</v>
      </c>
      <c r="J51" s="19">
        <f t="shared" si="9"/>
        <v>295033.33333333337</v>
      </c>
      <c r="K51" s="20">
        <f t="shared" si="9"/>
        <v>295033.33333333337</v>
      </c>
      <c r="L51" s="19">
        <f t="shared" si="9"/>
        <v>177020.00000000003</v>
      </c>
      <c r="M51" s="20">
        <f t="shared" si="9"/>
        <v>413046.66666666669</v>
      </c>
      <c r="N51" s="19">
        <f t="shared" si="9"/>
        <v>59006.666666666679</v>
      </c>
      <c r="O51" s="20">
        <f t="shared" si="9"/>
        <v>531060.00000000012</v>
      </c>
      <c r="X51" s="1">
        <v>47</v>
      </c>
      <c r="Y51" s="39">
        <f t="shared" si="5"/>
        <v>242600</v>
      </c>
    </row>
    <row r="52" spans="1:25" x14ac:dyDescent="0.2">
      <c r="A52" s="1">
        <v>48</v>
      </c>
      <c r="B52" s="52">
        <f t="shared" si="1"/>
        <v>153.6</v>
      </c>
      <c r="C52" s="19">
        <f t="shared" si="2"/>
        <v>778</v>
      </c>
      <c r="D52" s="19">
        <f t="shared" si="3"/>
        <v>12.966666666666667</v>
      </c>
      <c r="E52" s="17">
        <f t="shared" si="4"/>
        <v>615400</v>
      </c>
      <c r="F52" s="19">
        <f t="shared" si="9"/>
        <v>553860</v>
      </c>
      <c r="G52" s="20">
        <f t="shared" si="9"/>
        <v>61540</v>
      </c>
      <c r="H52" s="19">
        <f t="shared" si="9"/>
        <v>430780</v>
      </c>
      <c r="I52" s="20">
        <f t="shared" si="9"/>
        <v>184620</v>
      </c>
      <c r="J52" s="19">
        <f t="shared" si="9"/>
        <v>307700</v>
      </c>
      <c r="K52" s="20">
        <f t="shared" si="9"/>
        <v>307700</v>
      </c>
      <c r="L52" s="19">
        <f t="shared" si="9"/>
        <v>184620</v>
      </c>
      <c r="M52" s="20">
        <f t="shared" si="9"/>
        <v>430780</v>
      </c>
      <c r="N52" s="19">
        <f t="shared" si="9"/>
        <v>61540</v>
      </c>
      <c r="O52" s="20">
        <f t="shared" si="9"/>
        <v>553860</v>
      </c>
      <c r="X52" s="1">
        <v>48</v>
      </c>
      <c r="Y52" s="39">
        <f t="shared" si="5"/>
        <v>245700</v>
      </c>
    </row>
    <row r="53" spans="1:25" x14ac:dyDescent="0.2">
      <c r="A53" s="1">
        <v>49</v>
      </c>
      <c r="B53" s="52">
        <f t="shared" si="1"/>
        <v>160.06666666666666</v>
      </c>
      <c r="C53" s="19">
        <f t="shared" si="2"/>
        <v>810.33333333333326</v>
      </c>
      <c r="D53" s="19">
        <f t="shared" si="3"/>
        <v>13.505555555555555</v>
      </c>
      <c r="E53" s="17">
        <f t="shared" si="4"/>
        <v>641266.66666666663</v>
      </c>
      <c r="F53" s="19">
        <f t="shared" si="9"/>
        <v>577140</v>
      </c>
      <c r="G53" s="20">
        <f t="shared" si="9"/>
        <v>64126.666666666664</v>
      </c>
      <c r="H53" s="19">
        <f t="shared" si="9"/>
        <v>448886.66666666663</v>
      </c>
      <c r="I53" s="20">
        <f t="shared" si="9"/>
        <v>192379.99999999997</v>
      </c>
      <c r="J53" s="19">
        <f t="shared" si="9"/>
        <v>320633.33333333331</v>
      </c>
      <c r="K53" s="20">
        <f t="shared" si="9"/>
        <v>320633.33333333331</v>
      </c>
      <c r="L53" s="19">
        <f t="shared" si="9"/>
        <v>192379.99999999997</v>
      </c>
      <c r="M53" s="20">
        <f t="shared" si="9"/>
        <v>448886.66666666663</v>
      </c>
      <c r="N53" s="19">
        <f t="shared" si="9"/>
        <v>64126.666666666664</v>
      </c>
      <c r="O53" s="20">
        <f t="shared" si="9"/>
        <v>577140</v>
      </c>
      <c r="X53" s="1">
        <v>49</v>
      </c>
      <c r="Y53" s="39">
        <f t="shared" si="5"/>
        <v>248800</v>
      </c>
    </row>
    <row r="54" spans="1:25" x14ac:dyDescent="0.2">
      <c r="A54" s="1">
        <v>50</v>
      </c>
      <c r="B54" s="52">
        <f t="shared" si="1"/>
        <v>166.66666666666666</v>
      </c>
      <c r="C54" s="19">
        <f t="shared" si="2"/>
        <v>843.33333333333326</v>
      </c>
      <c r="D54" s="19">
        <f t="shared" si="3"/>
        <v>14.055555555555554</v>
      </c>
      <c r="E54" s="17">
        <f t="shared" si="4"/>
        <v>667666.66666666663</v>
      </c>
      <c r="F54" s="19">
        <f t="shared" si="9"/>
        <v>600900</v>
      </c>
      <c r="G54" s="20">
        <f t="shared" si="9"/>
        <v>66766.666666666672</v>
      </c>
      <c r="H54" s="19">
        <f t="shared" si="9"/>
        <v>467366.66666666663</v>
      </c>
      <c r="I54" s="20">
        <f t="shared" si="9"/>
        <v>200299.99999999997</v>
      </c>
      <c r="J54" s="19">
        <f t="shared" si="9"/>
        <v>333833.33333333331</v>
      </c>
      <c r="K54" s="20">
        <f t="shared" si="9"/>
        <v>333833.33333333331</v>
      </c>
      <c r="L54" s="19">
        <f t="shared" si="9"/>
        <v>200299.99999999997</v>
      </c>
      <c r="M54" s="20">
        <f t="shared" si="9"/>
        <v>467366.66666666663</v>
      </c>
      <c r="N54" s="19">
        <f t="shared" si="9"/>
        <v>66766.666666666672</v>
      </c>
      <c r="O54" s="20">
        <f t="shared" si="9"/>
        <v>600900</v>
      </c>
      <c r="X54" s="1">
        <v>50</v>
      </c>
      <c r="Y54" s="39">
        <f t="shared" si="5"/>
        <v>251900</v>
      </c>
    </row>
    <row r="55" spans="1:25" x14ac:dyDescent="0.2">
      <c r="H55" s="19"/>
      <c r="I55" s="20"/>
      <c r="L55" s="19"/>
      <c r="M55" s="20"/>
      <c r="N55" s="19"/>
      <c r="O55" s="21"/>
    </row>
    <row r="56" spans="1:25" x14ac:dyDescent="0.2">
      <c r="H56" s="19"/>
      <c r="I56" s="20"/>
      <c r="L56" s="19"/>
      <c r="M56" s="20"/>
      <c r="N56" s="19"/>
      <c r="O56" s="21"/>
    </row>
    <row r="57" spans="1:25" x14ac:dyDescent="0.2">
      <c r="H57" s="19"/>
      <c r="I57" s="20"/>
      <c r="L57" s="19"/>
      <c r="M57" s="20"/>
      <c r="N57" s="19"/>
      <c r="O57" s="21"/>
    </row>
    <row r="58" spans="1:25" x14ac:dyDescent="0.2">
      <c r="H58" s="19"/>
      <c r="I58" s="20"/>
      <c r="L58" s="19"/>
      <c r="M58" s="20"/>
      <c r="N58" s="19"/>
      <c r="O58" s="21"/>
    </row>
    <row r="59" spans="1:25" x14ac:dyDescent="0.2">
      <c r="H59" s="19"/>
      <c r="I59" s="20"/>
      <c r="L59" s="19"/>
      <c r="M59" s="20"/>
    </row>
    <row r="60" spans="1:25" x14ac:dyDescent="0.2">
      <c r="L60" s="19"/>
      <c r="M60" s="20"/>
    </row>
  </sheetData>
  <mergeCells count="6">
    <mergeCell ref="A1:O1"/>
    <mergeCell ref="F2:G2"/>
    <mergeCell ref="H2:I2"/>
    <mergeCell ref="J2:K2"/>
    <mergeCell ref="L2:M2"/>
    <mergeCell ref="N2:O2"/>
  </mergeCells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"/>
  <sheetViews>
    <sheetView workbookViewId="0">
      <selection activeCell="A11" sqref="A11"/>
    </sheetView>
  </sheetViews>
  <sheetFormatPr defaultRowHeight="12" x14ac:dyDescent="0.2"/>
  <cols>
    <col min="1" max="1" width="7.5" style="1" bestFit="1" customWidth="1"/>
    <col min="2" max="5" width="9" style="1"/>
    <col min="6" max="6" width="15.5" style="1" bestFit="1" customWidth="1"/>
    <col min="7" max="8" width="9" style="34"/>
    <col min="9" max="9" width="8.875" style="26" customWidth="1"/>
    <col min="10" max="10" width="9" style="26"/>
    <col min="11" max="11" width="9" style="77"/>
    <col min="12" max="12" width="9" style="78"/>
    <col min="13" max="14" width="9" style="79"/>
    <col min="15" max="15" width="9" style="26"/>
    <col min="16" max="16" width="11.25" style="26" bestFit="1" customWidth="1"/>
    <col min="17" max="19" width="11.25" style="26" customWidth="1"/>
    <col min="20" max="20" width="10.5" style="17" bestFit="1" customWidth="1"/>
    <col min="21" max="21" width="9.625" style="68" bestFit="1" customWidth="1"/>
    <col min="22" max="22" width="9" style="33"/>
    <col min="23" max="25" width="9" style="26"/>
    <col min="26" max="16384" width="9" style="1"/>
  </cols>
  <sheetData>
    <row r="1" spans="1:25" x14ac:dyDescent="0.2">
      <c r="A1" s="94" t="s">
        <v>33</v>
      </c>
      <c r="B1" s="94"/>
      <c r="C1" s="65"/>
      <c r="D1" s="48"/>
      <c r="E1" s="48"/>
      <c r="F1" s="35"/>
      <c r="G1" s="37"/>
      <c r="H1" s="37"/>
      <c r="I1" s="95" t="s">
        <v>37</v>
      </c>
      <c r="J1" s="95"/>
      <c r="K1" s="96" t="s">
        <v>85</v>
      </c>
      <c r="L1" s="96"/>
      <c r="M1" s="98" t="s">
        <v>86</v>
      </c>
      <c r="N1" s="98"/>
      <c r="O1" s="28"/>
      <c r="P1" s="28"/>
      <c r="Q1" s="28"/>
      <c r="R1" s="28"/>
      <c r="S1" s="28"/>
    </row>
    <row r="2" spans="1:25" x14ac:dyDescent="0.2">
      <c r="A2" s="27"/>
      <c r="B2" s="27"/>
      <c r="C2" s="65"/>
      <c r="D2" s="48"/>
      <c r="E2" s="48"/>
      <c r="F2" s="35"/>
      <c r="G2" s="37"/>
      <c r="H2" s="37"/>
      <c r="I2" s="1"/>
      <c r="J2" s="1"/>
      <c r="K2" s="71">
        <v>10000</v>
      </c>
      <c r="L2" s="72">
        <f>K2*(3/5)</f>
        <v>6000</v>
      </c>
      <c r="M2" s="73">
        <v>10000</v>
      </c>
      <c r="N2" s="73">
        <f>M2*(3/5)</f>
        <v>6000</v>
      </c>
      <c r="O2" s="28"/>
      <c r="P2" s="28"/>
      <c r="Q2" s="28"/>
      <c r="R2" s="28"/>
      <c r="S2" s="28"/>
      <c r="V2" s="33" t="s">
        <v>120</v>
      </c>
    </row>
    <row r="3" spans="1:25" s="29" customFormat="1" x14ac:dyDescent="0.3">
      <c r="A3" s="29" t="s">
        <v>34</v>
      </c>
      <c r="B3" s="29" t="s">
        <v>32</v>
      </c>
      <c r="C3" s="29" t="s">
        <v>90</v>
      </c>
      <c r="D3" s="29" t="s">
        <v>89</v>
      </c>
      <c r="E3" s="29" t="s">
        <v>82</v>
      </c>
      <c r="F3" s="29" t="s">
        <v>84</v>
      </c>
      <c r="G3" s="38" t="s">
        <v>112</v>
      </c>
      <c r="H3" s="38" t="s">
        <v>83</v>
      </c>
      <c r="I3" s="30" t="s">
        <v>35</v>
      </c>
      <c r="J3" s="30" t="s">
        <v>36</v>
      </c>
      <c r="K3" s="74" t="s">
        <v>35</v>
      </c>
      <c r="L3" s="75" t="s">
        <v>36</v>
      </c>
      <c r="M3" s="76" t="s">
        <v>35</v>
      </c>
      <c r="N3" s="76" t="s">
        <v>36</v>
      </c>
      <c r="O3" s="97" t="s">
        <v>40</v>
      </c>
      <c r="P3" s="97"/>
      <c r="Q3" s="97" t="s">
        <v>41</v>
      </c>
      <c r="R3" s="97"/>
      <c r="S3" s="30" t="s">
        <v>42</v>
      </c>
      <c r="T3" s="31" t="s">
        <v>38</v>
      </c>
      <c r="U3" s="69" t="s">
        <v>119</v>
      </c>
      <c r="V3" s="32" t="s">
        <v>119</v>
      </c>
      <c r="W3" s="30"/>
      <c r="X3" s="30"/>
      <c r="Y3" s="30"/>
    </row>
    <row r="4" spans="1:25" x14ac:dyDescent="0.2">
      <c r="A4" s="1">
        <v>1</v>
      </c>
      <c r="B4" s="1">
        <v>0</v>
      </c>
      <c r="C4" s="66">
        <v>1</v>
      </c>
      <c r="D4" s="14">
        <v>1</v>
      </c>
      <c r="E4" s="1">
        <v>0</v>
      </c>
      <c r="F4" s="52">
        <v>0</v>
      </c>
      <c r="G4" s="34">
        <f>(F4*E4)*60</f>
        <v>0</v>
      </c>
      <c r="H4" s="12">
        <f>G4/60</f>
        <v>0</v>
      </c>
      <c r="I4" s="26">
        <v>0</v>
      </c>
      <c r="J4" s="26">
        <v>0</v>
      </c>
      <c r="K4" s="77">
        <f t="shared" ref="K4:K13" si="0">(base1*I4)*B4</f>
        <v>0</v>
      </c>
      <c r="L4" s="78">
        <f t="shared" ref="L4:L13" si="1">(base2*J4)*B4</f>
        <v>0</v>
      </c>
      <c r="M4" s="79">
        <v>0</v>
      </c>
      <c r="N4" s="79">
        <f>(base2*L4)*E4</f>
        <v>0</v>
      </c>
      <c r="O4" s="26">
        <f>1*I4</f>
        <v>0</v>
      </c>
      <c r="P4" s="26">
        <f>0.6*J4</f>
        <v>0</v>
      </c>
      <c r="Q4" s="26">
        <f t="shared" ref="Q4:Q13" si="2">B4*O4</f>
        <v>0</v>
      </c>
      <c r="R4" s="26">
        <f t="shared" ref="R4:R13" si="3">B4*P4</f>
        <v>0</v>
      </c>
      <c r="S4" s="26">
        <f t="shared" ref="S4:S13" si="4">B4*3</f>
        <v>0</v>
      </c>
      <c r="T4" s="17">
        <f>(K4*3)+(L4*5)</f>
        <v>0</v>
      </c>
      <c r="U4" s="68">
        <f>T4/2</f>
        <v>0</v>
      </c>
      <c r="V4" s="80">
        <v>0</v>
      </c>
    </row>
    <row r="5" spans="1:25" x14ac:dyDescent="0.2">
      <c r="A5" s="1">
        <v>2</v>
      </c>
      <c r="B5" s="52">
        <f>POWER(A4,2.5)</f>
        <v>1</v>
      </c>
      <c r="C5" s="66">
        <v>2</v>
      </c>
      <c r="D5" s="14">
        <v>1</v>
      </c>
      <c r="E5" s="52">
        <v>5</v>
      </c>
      <c r="F5" s="52">
        <f>부대렙업!Y$28</f>
        <v>277.77777777777777</v>
      </c>
      <c r="G5" s="34">
        <f>(F5*E5)/60</f>
        <v>23.148148148148149</v>
      </c>
      <c r="H5" s="12">
        <f t="shared" ref="H5:H13" si="5">G5/60</f>
        <v>0.38580246913580246</v>
      </c>
      <c r="I5" s="26">
        <v>1</v>
      </c>
      <c r="J5" s="26">
        <v>0</v>
      </c>
      <c r="K5" s="77">
        <f t="shared" si="0"/>
        <v>10000</v>
      </c>
      <c r="L5" s="78">
        <f t="shared" si="1"/>
        <v>0</v>
      </c>
      <c r="M5" s="79">
        <f>K5/E5</f>
        <v>2000</v>
      </c>
      <c r="N5" s="79">
        <f>L5/E5</f>
        <v>0</v>
      </c>
      <c r="O5" s="26">
        <f t="shared" ref="O5" si="6">1*I5</f>
        <v>1</v>
      </c>
      <c r="P5" s="26">
        <f t="shared" ref="P5" si="7">0.6*J5</f>
        <v>0</v>
      </c>
      <c r="Q5" s="26">
        <f t="shared" si="2"/>
        <v>1</v>
      </c>
      <c r="R5" s="26">
        <f t="shared" si="3"/>
        <v>0</v>
      </c>
      <c r="S5" s="26">
        <f t="shared" si="4"/>
        <v>3</v>
      </c>
      <c r="T5" s="17">
        <f t="shared" ref="T5" si="8">(K5*3)+(L5*5)</f>
        <v>30000</v>
      </c>
      <c r="U5" s="68">
        <f>T5/2</f>
        <v>15000</v>
      </c>
      <c r="V5" s="80">
        <f>ROUNDUP(U5/E5,-3)</f>
        <v>3000</v>
      </c>
    </row>
    <row r="6" spans="1:25" x14ac:dyDescent="0.2">
      <c r="A6" s="1">
        <v>3</v>
      </c>
      <c r="B6" s="52">
        <f t="shared" ref="B6:B13" si="9">POWER(A5,2.5)</f>
        <v>5.6568542494923806</v>
      </c>
      <c r="C6" s="66">
        <v>7</v>
      </c>
      <c r="D6" s="14">
        <v>1</v>
      </c>
      <c r="E6" s="52">
        <v>10</v>
      </c>
      <c r="F6" s="52">
        <f>부대렙업!Y$28</f>
        <v>277.77777777777777</v>
      </c>
      <c r="G6" s="34">
        <f t="shared" ref="G6:G13" si="10">(F6*E6)/60</f>
        <v>46.296296296296298</v>
      </c>
      <c r="H6" s="12">
        <f t="shared" si="5"/>
        <v>0.77160493827160492</v>
      </c>
      <c r="I6" s="26">
        <v>0.875</v>
      </c>
      <c r="J6" s="26">
        <v>0.125</v>
      </c>
      <c r="K6" s="77">
        <f t="shared" si="0"/>
        <v>49497.474683058332</v>
      </c>
      <c r="L6" s="78">
        <f t="shared" si="1"/>
        <v>4242.6406871192858</v>
      </c>
      <c r="M6" s="79">
        <f t="shared" ref="M6:M13" si="11">K6/E6</f>
        <v>4949.7474683058335</v>
      </c>
      <c r="N6" s="79">
        <f t="shared" ref="N6:N13" si="12">L6/E6</f>
        <v>424.26406871192859</v>
      </c>
      <c r="O6" s="26">
        <f t="shared" ref="O6:O13" si="13">1*I6</f>
        <v>0.875</v>
      </c>
      <c r="P6" s="26">
        <f t="shared" ref="P6:P13" si="14">0.6*J6</f>
        <v>7.4999999999999997E-2</v>
      </c>
      <c r="Q6" s="26">
        <f t="shared" si="2"/>
        <v>4.9497474683058327</v>
      </c>
      <c r="R6" s="26">
        <f t="shared" si="3"/>
        <v>0.42426406871192851</v>
      </c>
      <c r="S6" s="26">
        <f t="shared" si="4"/>
        <v>16.970562748477143</v>
      </c>
      <c r="T6" s="17">
        <f t="shared" ref="T6:T13" si="15">(K6*3)+(L6*5)</f>
        <v>169705.62748477142</v>
      </c>
      <c r="U6" s="68">
        <f t="shared" ref="U6:U13" si="16">T6/2</f>
        <v>84852.813742385712</v>
      </c>
      <c r="V6" s="80">
        <f t="shared" ref="V6:V13" si="17">ROUNDUP(U6/E6,-3)</f>
        <v>9000</v>
      </c>
    </row>
    <row r="7" spans="1:25" x14ac:dyDescent="0.2">
      <c r="A7" s="1">
        <v>4</v>
      </c>
      <c r="B7" s="52">
        <f t="shared" si="9"/>
        <v>15.588457268119901</v>
      </c>
      <c r="C7" s="66">
        <v>9</v>
      </c>
      <c r="D7" s="14">
        <v>2</v>
      </c>
      <c r="E7" s="52">
        <v>5</v>
      </c>
      <c r="F7" s="52">
        <f>부대렙업!Y$29</f>
        <v>952.38095238095241</v>
      </c>
      <c r="G7" s="34">
        <f t="shared" si="10"/>
        <v>79.365079365079367</v>
      </c>
      <c r="H7" s="12">
        <f t="shared" si="5"/>
        <v>1.3227513227513228</v>
      </c>
      <c r="I7" s="26">
        <v>0.75</v>
      </c>
      <c r="J7" s="26">
        <v>0.25</v>
      </c>
      <c r="K7" s="77">
        <f t="shared" si="0"/>
        <v>116913.42951089927</v>
      </c>
      <c r="L7" s="78">
        <f t="shared" si="1"/>
        <v>23382.685902179852</v>
      </c>
      <c r="M7" s="79">
        <f t="shared" si="11"/>
        <v>23382.685902179852</v>
      </c>
      <c r="N7" s="79">
        <f t="shared" si="12"/>
        <v>4676.5371804359702</v>
      </c>
      <c r="O7" s="26">
        <f t="shared" si="13"/>
        <v>0.75</v>
      </c>
      <c r="P7" s="26">
        <f t="shared" si="14"/>
        <v>0.15</v>
      </c>
      <c r="Q7" s="26">
        <f t="shared" si="2"/>
        <v>11.691342951089926</v>
      </c>
      <c r="R7" s="26">
        <f t="shared" si="3"/>
        <v>2.3382685902179849</v>
      </c>
      <c r="S7" s="26">
        <f t="shared" si="4"/>
        <v>46.765371804359702</v>
      </c>
      <c r="T7" s="17">
        <f t="shared" si="15"/>
        <v>467653.71804359707</v>
      </c>
      <c r="U7" s="68">
        <f t="shared" si="16"/>
        <v>233826.85902179853</v>
      </c>
      <c r="V7" s="80">
        <f t="shared" si="17"/>
        <v>47000</v>
      </c>
    </row>
    <row r="8" spans="1:25" x14ac:dyDescent="0.2">
      <c r="A8" s="1">
        <v>5</v>
      </c>
      <c r="B8" s="52">
        <f t="shared" si="9"/>
        <v>32</v>
      </c>
      <c r="C8" s="66">
        <v>12</v>
      </c>
      <c r="D8" s="14">
        <v>2</v>
      </c>
      <c r="E8" s="52">
        <v>10</v>
      </c>
      <c r="F8" s="52">
        <f>부대렙업!Y$29</f>
        <v>952.38095238095241</v>
      </c>
      <c r="G8" s="34">
        <f t="shared" si="10"/>
        <v>158.73015873015873</v>
      </c>
      <c r="H8" s="12">
        <f t="shared" si="5"/>
        <v>2.6455026455026456</v>
      </c>
      <c r="I8" s="26">
        <v>0.625</v>
      </c>
      <c r="J8" s="26">
        <v>0.375</v>
      </c>
      <c r="K8" s="77">
        <f t="shared" si="0"/>
        <v>200000</v>
      </c>
      <c r="L8" s="78">
        <f t="shared" si="1"/>
        <v>72000</v>
      </c>
      <c r="M8" s="79">
        <f t="shared" si="11"/>
        <v>20000</v>
      </c>
      <c r="N8" s="79">
        <f t="shared" si="12"/>
        <v>7200</v>
      </c>
      <c r="O8" s="26">
        <f t="shared" si="13"/>
        <v>0.625</v>
      </c>
      <c r="P8" s="26">
        <f t="shared" si="14"/>
        <v>0.22499999999999998</v>
      </c>
      <c r="Q8" s="26">
        <f t="shared" si="2"/>
        <v>20</v>
      </c>
      <c r="R8" s="26">
        <f t="shared" si="3"/>
        <v>7.1999999999999993</v>
      </c>
      <c r="S8" s="26">
        <f t="shared" si="4"/>
        <v>96</v>
      </c>
      <c r="T8" s="17">
        <f t="shared" si="15"/>
        <v>960000</v>
      </c>
      <c r="U8" s="68">
        <f t="shared" si="16"/>
        <v>480000</v>
      </c>
      <c r="V8" s="80">
        <f t="shared" si="17"/>
        <v>48000</v>
      </c>
    </row>
    <row r="9" spans="1:25" x14ac:dyDescent="0.2">
      <c r="A9" s="1">
        <v>6</v>
      </c>
      <c r="B9" s="52">
        <f t="shared" si="9"/>
        <v>55.901699437494734</v>
      </c>
      <c r="C9" s="66">
        <v>15</v>
      </c>
      <c r="D9" s="14">
        <v>2</v>
      </c>
      <c r="E9" s="52">
        <v>15</v>
      </c>
      <c r="F9" s="52">
        <f>부대렙업!Y$29</f>
        <v>952.38095238095241</v>
      </c>
      <c r="G9" s="34">
        <f t="shared" si="10"/>
        <v>238.0952380952381</v>
      </c>
      <c r="H9" s="12">
        <f t="shared" si="5"/>
        <v>3.9682539682539684</v>
      </c>
      <c r="I9" s="26">
        <v>0.5</v>
      </c>
      <c r="J9" s="26">
        <v>0.5</v>
      </c>
      <c r="K9" s="77">
        <f t="shared" si="0"/>
        <v>279508.49718747369</v>
      </c>
      <c r="L9" s="78">
        <f t="shared" si="1"/>
        <v>167705.09831248422</v>
      </c>
      <c r="M9" s="79">
        <f t="shared" si="11"/>
        <v>18633.899812498246</v>
      </c>
      <c r="N9" s="79">
        <f t="shared" si="12"/>
        <v>11180.339887498947</v>
      </c>
      <c r="O9" s="26">
        <f t="shared" si="13"/>
        <v>0.5</v>
      </c>
      <c r="P9" s="26">
        <f t="shared" si="14"/>
        <v>0.3</v>
      </c>
      <c r="Q9" s="26">
        <f t="shared" si="2"/>
        <v>27.950849718747367</v>
      </c>
      <c r="R9" s="26">
        <f t="shared" si="3"/>
        <v>16.770509831248418</v>
      </c>
      <c r="S9" s="26">
        <f t="shared" si="4"/>
        <v>167.70509831248421</v>
      </c>
      <c r="T9" s="17">
        <f t="shared" si="15"/>
        <v>1677050.9831248422</v>
      </c>
      <c r="U9" s="68">
        <f t="shared" si="16"/>
        <v>838525.49156242108</v>
      </c>
      <c r="V9" s="80">
        <f t="shared" si="17"/>
        <v>56000</v>
      </c>
    </row>
    <row r="10" spans="1:25" x14ac:dyDescent="0.2">
      <c r="A10" s="1">
        <v>7</v>
      </c>
      <c r="B10" s="52">
        <f t="shared" si="9"/>
        <v>88.181630740194379</v>
      </c>
      <c r="C10" s="66">
        <v>18</v>
      </c>
      <c r="D10" s="14">
        <v>3</v>
      </c>
      <c r="E10" s="52">
        <v>5</v>
      </c>
      <c r="F10" s="52">
        <f>부대렙업!Y$30</f>
        <v>3333.3333333333335</v>
      </c>
      <c r="G10" s="34">
        <f t="shared" si="10"/>
        <v>277.77777777777777</v>
      </c>
      <c r="H10" s="12">
        <f t="shared" si="5"/>
        <v>4.6296296296296298</v>
      </c>
      <c r="I10" s="26">
        <v>0.375</v>
      </c>
      <c r="J10" s="26">
        <v>0.625</v>
      </c>
      <c r="K10" s="77">
        <f t="shared" si="0"/>
        <v>330681.11527572892</v>
      </c>
      <c r="L10" s="78">
        <f t="shared" si="1"/>
        <v>330681.11527572892</v>
      </c>
      <c r="M10" s="79">
        <f t="shared" si="11"/>
        <v>66136.223055145791</v>
      </c>
      <c r="N10" s="79">
        <f t="shared" si="12"/>
        <v>66136.223055145791</v>
      </c>
      <c r="O10" s="26">
        <f t="shared" si="13"/>
        <v>0.375</v>
      </c>
      <c r="P10" s="26">
        <f t="shared" si="14"/>
        <v>0.375</v>
      </c>
      <c r="Q10" s="26">
        <f t="shared" si="2"/>
        <v>33.068111527572896</v>
      </c>
      <c r="R10" s="26">
        <f t="shared" si="3"/>
        <v>33.068111527572896</v>
      </c>
      <c r="S10" s="26">
        <f t="shared" si="4"/>
        <v>264.54489222058316</v>
      </c>
      <c r="T10" s="17">
        <f t="shared" si="15"/>
        <v>2645448.9222058314</v>
      </c>
      <c r="U10" s="68">
        <f t="shared" si="16"/>
        <v>1322724.4611029157</v>
      </c>
      <c r="V10" s="80">
        <f t="shared" si="17"/>
        <v>265000</v>
      </c>
    </row>
    <row r="11" spans="1:25" x14ac:dyDescent="0.2">
      <c r="A11" s="1">
        <v>8</v>
      </c>
      <c r="B11" s="52">
        <f t="shared" si="9"/>
        <v>129.64181424216488</v>
      </c>
      <c r="C11" s="66">
        <v>21</v>
      </c>
      <c r="D11" s="14">
        <v>3</v>
      </c>
      <c r="E11" s="52">
        <v>10</v>
      </c>
      <c r="F11" s="52">
        <f>부대렙업!Y$30</f>
        <v>3333.3333333333335</v>
      </c>
      <c r="G11" s="34">
        <f t="shared" si="10"/>
        <v>555.55555555555554</v>
      </c>
      <c r="H11" s="12">
        <f t="shared" si="5"/>
        <v>9.2592592592592595</v>
      </c>
      <c r="I11" s="26">
        <v>0.25</v>
      </c>
      <c r="J11" s="26">
        <v>0.75</v>
      </c>
      <c r="K11" s="77">
        <f t="shared" si="0"/>
        <v>324104.53560541221</v>
      </c>
      <c r="L11" s="78">
        <f t="shared" si="1"/>
        <v>583388.164089742</v>
      </c>
      <c r="M11" s="79">
        <f t="shared" si="11"/>
        <v>32410.45356054122</v>
      </c>
      <c r="N11" s="79">
        <f t="shared" si="12"/>
        <v>58338.816408974199</v>
      </c>
      <c r="O11" s="26">
        <f t="shared" si="13"/>
        <v>0.25</v>
      </c>
      <c r="P11" s="26">
        <f t="shared" si="14"/>
        <v>0.44999999999999996</v>
      </c>
      <c r="Q11" s="26">
        <f t="shared" si="2"/>
        <v>32.410453560541221</v>
      </c>
      <c r="R11" s="26">
        <f t="shared" si="3"/>
        <v>58.338816408974189</v>
      </c>
      <c r="S11" s="26">
        <f t="shared" si="4"/>
        <v>388.92544272649468</v>
      </c>
      <c r="T11" s="17">
        <f t="shared" si="15"/>
        <v>3889254.4272649465</v>
      </c>
      <c r="U11" s="68">
        <f t="shared" si="16"/>
        <v>1944627.2136324733</v>
      </c>
      <c r="V11" s="80">
        <f t="shared" si="17"/>
        <v>195000</v>
      </c>
    </row>
    <row r="12" spans="1:25" x14ac:dyDescent="0.2">
      <c r="A12" s="1">
        <v>9</v>
      </c>
      <c r="B12" s="52">
        <f t="shared" si="9"/>
        <v>181.01933598375612</v>
      </c>
      <c r="C12" s="66">
        <v>25</v>
      </c>
      <c r="D12" s="14">
        <v>3</v>
      </c>
      <c r="E12" s="52">
        <v>15</v>
      </c>
      <c r="F12" s="52">
        <f>부대렙업!Y$30</f>
        <v>3333.3333333333335</v>
      </c>
      <c r="G12" s="34">
        <f t="shared" si="10"/>
        <v>833.33333333333337</v>
      </c>
      <c r="H12" s="12">
        <f t="shared" si="5"/>
        <v>13.888888888888889</v>
      </c>
      <c r="I12" s="26">
        <v>0.125</v>
      </c>
      <c r="J12" s="26">
        <v>0.875</v>
      </c>
      <c r="K12" s="77">
        <f t="shared" si="0"/>
        <v>226274.16997969514</v>
      </c>
      <c r="L12" s="78">
        <f t="shared" si="1"/>
        <v>950351.51391471969</v>
      </c>
      <c r="M12" s="79">
        <f t="shared" si="11"/>
        <v>15084.944665313009</v>
      </c>
      <c r="N12" s="79">
        <f t="shared" si="12"/>
        <v>63356.767594314646</v>
      </c>
      <c r="O12" s="26">
        <f t="shared" si="13"/>
        <v>0.125</v>
      </c>
      <c r="P12" s="26">
        <f t="shared" si="14"/>
        <v>0.52500000000000002</v>
      </c>
      <c r="Q12" s="26">
        <f t="shared" si="2"/>
        <v>22.627416997969515</v>
      </c>
      <c r="R12" s="26">
        <f t="shared" si="3"/>
        <v>95.03515139147197</v>
      </c>
      <c r="S12" s="26">
        <f t="shared" si="4"/>
        <v>543.05800795126834</v>
      </c>
      <c r="T12" s="17">
        <f t="shared" si="15"/>
        <v>5430580.0795126837</v>
      </c>
      <c r="U12" s="68">
        <f t="shared" si="16"/>
        <v>2715290.0397563418</v>
      </c>
      <c r="V12" s="80">
        <f t="shared" si="17"/>
        <v>182000</v>
      </c>
    </row>
    <row r="13" spans="1:25" x14ac:dyDescent="0.2">
      <c r="A13" s="1">
        <v>10</v>
      </c>
      <c r="B13" s="52">
        <f t="shared" si="9"/>
        <v>243.00000000000017</v>
      </c>
      <c r="C13" s="66">
        <v>30</v>
      </c>
      <c r="D13" s="14">
        <v>4</v>
      </c>
      <c r="E13" s="52">
        <v>5</v>
      </c>
      <c r="F13" s="52">
        <f>부대렙업!Y31</f>
        <v>20000</v>
      </c>
      <c r="G13" s="34">
        <f t="shared" si="10"/>
        <v>1666.6666666666667</v>
      </c>
      <c r="H13" s="12">
        <f t="shared" si="5"/>
        <v>27.777777777777779</v>
      </c>
      <c r="I13" s="26">
        <v>0</v>
      </c>
      <c r="J13" s="26">
        <v>1</v>
      </c>
      <c r="K13" s="77">
        <f t="shared" si="0"/>
        <v>0</v>
      </c>
      <c r="L13" s="78">
        <f t="shared" si="1"/>
        <v>1458000.0000000009</v>
      </c>
      <c r="M13" s="79">
        <f t="shared" si="11"/>
        <v>0</v>
      </c>
      <c r="N13" s="79">
        <f t="shared" si="12"/>
        <v>291600.00000000017</v>
      </c>
      <c r="O13" s="26">
        <f t="shared" si="13"/>
        <v>0</v>
      </c>
      <c r="P13" s="26">
        <f t="shared" si="14"/>
        <v>0.6</v>
      </c>
      <c r="Q13" s="26">
        <f t="shared" si="2"/>
        <v>0</v>
      </c>
      <c r="R13" s="26">
        <f t="shared" si="3"/>
        <v>145.8000000000001</v>
      </c>
      <c r="S13" s="26">
        <f t="shared" si="4"/>
        <v>729.00000000000045</v>
      </c>
      <c r="T13" s="17">
        <f t="shared" si="15"/>
        <v>7290000.0000000047</v>
      </c>
      <c r="U13" s="68">
        <f t="shared" si="16"/>
        <v>3645000.0000000023</v>
      </c>
      <c r="V13" s="80">
        <f t="shared" si="17"/>
        <v>729000</v>
      </c>
    </row>
    <row r="14" spans="1:25" x14ac:dyDescent="0.2">
      <c r="J14" s="26" t="s">
        <v>39</v>
      </c>
    </row>
  </sheetData>
  <mergeCells count="6">
    <mergeCell ref="A1:B1"/>
    <mergeCell ref="I1:J1"/>
    <mergeCell ref="K1:L1"/>
    <mergeCell ref="O3:P3"/>
    <mergeCell ref="Q3:R3"/>
    <mergeCell ref="M1:N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G14" sqref="G14"/>
    </sheetView>
  </sheetViews>
  <sheetFormatPr defaultRowHeight="12" x14ac:dyDescent="0.2"/>
  <cols>
    <col min="1" max="2" width="9" style="14"/>
    <col min="3" max="3" width="10" style="14" bestFit="1" customWidth="1"/>
    <col min="4" max="16384" width="9" style="14"/>
  </cols>
  <sheetData>
    <row r="1" spans="1:4" x14ac:dyDescent="0.2">
      <c r="A1" s="14" t="s">
        <v>44</v>
      </c>
    </row>
    <row r="2" spans="1:4" x14ac:dyDescent="0.2">
      <c r="A2" s="14" t="s">
        <v>88</v>
      </c>
      <c r="C2" s="14" t="str">
        <f>스킬렙업!C3</f>
        <v>영웅렙제한</v>
      </c>
      <c r="D2" s="14" t="s">
        <v>121</v>
      </c>
    </row>
    <row r="3" spans="1:4" x14ac:dyDescent="0.2">
      <c r="A3" s="14">
        <f>스킬렙업!A4</f>
        <v>1</v>
      </c>
      <c r="C3" s="14">
        <f>스킬렙업!C4</f>
        <v>1</v>
      </c>
      <c r="D3" s="84">
        <v>1000</v>
      </c>
    </row>
    <row r="4" spans="1:4" x14ac:dyDescent="0.2">
      <c r="A4" s="14">
        <f>스킬렙업!A5</f>
        <v>2</v>
      </c>
      <c r="C4" s="14">
        <f>스킬렙업!C5</f>
        <v>2</v>
      </c>
      <c r="D4" s="84">
        <v>7825</v>
      </c>
    </row>
    <row r="5" spans="1:4" x14ac:dyDescent="0.2">
      <c r="A5" s="14">
        <f>스킬렙업!A6</f>
        <v>3</v>
      </c>
      <c r="C5" s="14">
        <f>스킬렙업!C6</f>
        <v>7</v>
      </c>
      <c r="D5" s="84">
        <v>12700</v>
      </c>
    </row>
    <row r="6" spans="1:4" x14ac:dyDescent="0.2">
      <c r="A6" s="14">
        <f>스킬렙업!A7</f>
        <v>4</v>
      </c>
      <c r="C6" s="14">
        <f>스킬렙업!C7</f>
        <v>9</v>
      </c>
      <c r="D6" s="84">
        <v>17575</v>
      </c>
    </row>
    <row r="7" spans="1:4" x14ac:dyDescent="0.2">
      <c r="A7" s="14">
        <f>스킬렙업!A8</f>
        <v>5</v>
      </c>
      <c r="C7" s="14">
        <f>스킬렙업!C8</f>
        <v>12</v>
      </c>
      <c r="D7" s="84">
        <v>22450</v>
      </c>
    </row>
    <row r="8" spans="1:4" x14ac:dyDescent="0.2">
      <c r="A8" s="14">
        <f>스킬렙업!A9</f>
        <v>6</v>
      </c>
      <c r="C8" s="14">
        <f>스킬렙업!C9</f>
        <v>15</v>
      </c>
      <c r="D8" s="84">
        <v>27325</v>
      </c>
    </row>
    <row r="9" spans="1:4" x14ac:dyDescent="0.2">
      <c r="A9" s="14">
        <f>스킬렙업!A10</f>
        <v>7</v>
      </c>
      <c r="C9" s="14">
        <f>스킬렙업!C10</f>
        <v>18</v>
      </c>
      <c r="D9" s="84">
        <v>32200</v>
      </c>
    </row>
    <row r="10" spans="1:4" x14ac:dyDescent="0.2">
      <c r="A10" s="14">
        <f>스킬렙업!A11</f>
        <v>8</v>
      </c>
      <c r="C10" s="14">
        <f>스킬렙업!C11</f>
        <v>21</v>
      </c>
      <c r="D10" s="84">
        <v>37075</v>
      </c>
    </row>
    <row r="11" spans="1:4" x14ac:dyDescent="0.2">
      <c r="A11" s="14">
        <f>스킬렙업!A12</f>
        <v>9</v>
      </c>
      <c r="C11" s="14">
        <f>스킬렙업!C12</f>
        <v>25</v>
      </c>
      <c r="D11" s="84">
        <v>41950</v>
      </c>
    </row>
    <row r="12" spans="1:4" x14ac:dyDescent="0.2">
      <c r="A12" s="14">
        <f>스킬렙업!A13</f>
        <v>10</v>
      </c>
      <c r="C12" s="14">
        <f>스킬렙업!C13</f>
        <v>30</v>
      </c>
      <c r="D12" s="84">
        <v>46825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propResearch</vt:lpstr>
      <vt:lpstr>특성연구</vt:lpstr>
      <vt:lpstr>부대렙업</vt:lpstr>
      <vt:lpstr>영웅렙업2</vt:lpstr>
      <vt:lpstr>스킬렙업</vt:lpstr>
      <vt:lpstr>propUpgrade</vt:lpstr>
      <vt:lpstr>base</vt:lpstr>
      <vt:lpstr>base1</vt:lpstr>
      <vt:lpstr>base2</vt:lpstr>
      <vt:lpstr>sec_per_medal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2015-09-08T12:22:19Z</dcterms:modified>
</cp:coreProperties>
</file>