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24226"/>
  <bookViews>
    <workbookView xWindow="-15" yWindow="0" windowWidth="20535" windowHeight="2835" activeTab="2"/>
  </bookViews>
  <sheets>
    <sheet name="propResearch" sheetId="7" r:id="rId1"/>
    <sheet name="특성연구" sheetId="1" r:id="rId2"/>
    <sheet name="영웅렙업zero" sheetId="10" r:id="rId3"/>
    <sheet name="Sheet1" sheetId="14" r:id="rId4"/>
    <sheet name="부대렙업" sheetId="3" r:id="rId5"/>
    <sheet name="스킬렙업" sheetId="12" r:id="rId6"/>
    <sheet name="propUpgrade" sheetId="5" r:id="rId7"/>
    <sheet name="계정 경험치 테이블" sheetId="11" r:id="rId8"/>
    <sheet name="특성연구(Zero)" sheetId="13" r:id="rId9"/>
    <sheet name="영웅렙업zero (2)" sheetId="15" r:id="rId10"/>
  </sheets>
  <externalReferences>
    <externalReference r:id="rId11"/>
    <externalReference r:id="rId12"/>
    <externalReference r:id="rId13"/>
  </externalReferences>
  <definedNames>
    <definedName name="base" localSheetId="5">부대렙업!#REF!</definedName>
    <definedName name="base" localSheetId="2">부대렙업!#REF!</definedName>
    <definedName name="base" localSheetId="9">부대렙업!#REF!</definedName>
    <definedName name="base">부대렙업!#REF!</definedName>
    <definedName name="base1" localSheetId="5">#REF!</definedName>
    <definedName name="base1" localSheetId="9">#REF!</definedName>
    <definedName name="base1">#REF!</definedName>
    <definedName name="base2" localSheetId="5">#REF!</definedName>
    <definedName name="base2" localSheetId="9">#REF!</definedName>
    <definedName name="base2">#REF!</definedName>
    <definedName name="maxLvAcc" localSheetId="9">'영웅렙업zero (2)'!$Z$54</definedName>
    <definedName name="maxLvAcc">영웅렙업zero!$Z$54</definedName>
    <definedName name="maxLvArmy" localSheetId="9">'영웅렙업zero (2)'!$Z$57</definedName>
    <definedName name="maxLvArmy">영웅렙업zero!$Z$57</definedName>
    <definedName name="maxLvHero" localSheetId="9">'영웅렙업zero (2)'!$Z$55</definedName>
    <definedName name="maxLvHero">영웅렙업zero!$Z$55</definedName>
    <definedName name="maxLvSkill" localSheetId="9">'영웅렙업zero (2)'!$Z$56</definedName>
    <definedName name="maxLvSkill">영웅렙업zero!$Z$56</definedName>
    <definedName name="sec_per_medal" localSheetId="5">부대렙업!#REF!</definedName>
    <definedName name="sec_per_medal" localSheetId="2">부대렙업!#REF!</definedName>
    <definedName name="sec_per_medal" localSheetId="9">부대렙업!#REF!</definedName>
    <definedName name="sec_per_medal">부대렙업!#REF!</definedName>
  </definedNames>
  <calcPr calcId="152511"/>
</workbook>
</file>

<file path=xl/calcChain.xml><?xml version="1.0" encoding="utf-8"?>
<calcChain xmlns="http://schemas.openxmlformats.org/spreadsheetml/2006/main">
  <c r="AB20" i="10" l="1"/>
  <c r="AB21" i="10"/>
  <c r="AB22" i="10"/>
  <c r="W52" i="15" l="1"/>
  <c r="V52" i="15"/>
  <c r="N52" i="15"/>
  <c r="P52" i="15" s="1"/>
  <c r="S52" i="15" s="1"/>
  <c r="T52" i="15" s="1"/>
  <c r="M52" i="15"/>
  <c r="E52" i="15"/>
  <c r="B52" i="15"/>
  <c r="C52" i="15" s="1"/>
  <c r="A52" i="15"/>
  <c r="AO52" i="15" s="1"/>
  <c r="W51" i="15"/>
  <c r="V51" i="15"/>
  <c r="N51" i="15"/>
  <c r="P51" i="15" s="1"/>
  <c r="S51" i="15" s="1"/>
  <c r="T51" i="15" s="1"/>
  <c r="M51" i="15"/>
  <c r="B51" i="15"/>
  <c r="A51" i="15"/>
  <c r="AN51" i="15" s="1"/>
  <c r="W50" i="15"/>
  <c r="V50" i="15"/>
  <c r="N50" i="15"/>
  <c r="P50" i="15" s="1"/>
  <c r="M50" i="15"/>
  <c r="B50" i="15"/>
  <c r="A50" i="15"/>
  <c r="AO50" i="15" s="1"/>
  <c r="W49" i="15"/>
  <c r="V49" i="15"/>
  <c r="N49" i="15"/>
  <c r="P49" i="15" s="1"/>
  <c r="M49" i="15"/>
  <c r="B49" i="15"/>
  <c r="A49" i="15"/>
  <c r="AO48" i="15"/>
  <c r="AN48" i="15"/>
  <c r="W48" i="15"/>
  <c r="V48" i="15"/>
  <c r="N48" i="15"/>
  <c r="P48" i="15" s="1"/>
  <c r="M48" i="15"/>
  <c r="B48" i="15"/>
  <c r="A48" i="15"/>
  <c r="W47" i="15"/>
  <c r="V47" i="15"/>
  <c r="N47" i="15"/>
  <c r="P47" i="15" s="1"/>
  <c r="M47" i="15"/>
  <c r="B47" i="15"/>
  <c r="A47" i="15"/>
  <c r="AN47" i="15" s="1"/>
  <c r="W46" i="15"/>
  <c r="V46" i="15"/>
  <c r="N46" i="15"/>
  <c r="P46" i="15" s="1"/>
  <c r="M46" i="15"/>
  <c r="B46" i="15"/>
  <c r="A46" i="15"/>
  <c r="W45" i="15"/>
  <c r="V45" i="15"/>
  <c r="N45" i="15"/>
  <c r="P45" i="15" s="1"/>
  <c r="Q45" i="15" s="1"/>
  <c r="M45" i="15"/>
  <c r="B45" i="15"/>
  <c r="A45" i="15"/>
  <c r="AO45" i="15" s="1"/>
  <c r="AN44" i="15"/>
  <c r="W44" i="15"/>
  <c r="V44" i="15"/>
  <c r="N44" i="15"/>
  <c r="P44" i="15" s="1"/>
  <c r="M44" i="15"/>
  <c r="B44" i="15"/>
  <c r="A44" i="15"/>
  <c r="AO44" i="15" s="1"/>
  <c r="W43" i="15"/>
  <c r="V43" i="15"/>
  <c r="N43" i="15"/>
  <c r="P43" i="15" s="1"/>
  <c r="S43" i="15" s="1"/>
  <c r="T43" i="15" s="1"/>
  <c r="M43" i="15"/>
  <c r="B43" i="15"/>
  <c r="A43" i="15"/>
  <c r="AN43" i="15" s="1"/>
  <c r="W42" i="15"/>
  <c r="V42" i="15"/>
  <c r="N42" i="15"/>
  <c r="P42" i="15" s="1"/>
  <c r="S42" i="15" s="1"/>
  <c r="T42" i="15" s="1"/>
  <c r="M42" i="15"/>
  <c r="B42" i="15"/>
  <c r="A42" i="15"/>
  <c r="AO42" i="15" s="1"/>
  <c r="W41" i="15"/>
  <c r="V41" i="15"/>
  <c r="N41" i="15"/>
  <c r="P41" i="15" s="1"/>
  <c r="M41" i="15"/>
  <c r="B41" i="15"/>
  <c r="A41" i="15"/>
  <c r="AO41" i="15" s="1"/>
  <c r="W40" i="15"/>
  <c r="V40" i="15"/>
  <c r="N40" i="15"/>
  <c r="P40" i="15" s="1"/>
  <c r="S40" i="15" s="1"/>
  <c r="T40" i="15" s="1"/>
  <c r="M40" i="15"/>
  <c r="B40" i="15"/>
  <c r="A40" i="15"/>
  <c r="AO40" i="15" s="1"/>
  <c r="AP39" i="15"/>
  <c r="W39" i="15"/>
  <c r="V39" i="15"/>
  <c r="N39" i="15"/>
  <c r="P39" i="15" s="1"/>
  <c r="Q39" i="15" s="1"/>
  <c r="M39" i="15"/>
  <c r="B39" i="15"/>
  <c r="A39" i="15"/>
  <c r="AN39" i="15" s="1"/>
  <c r="W38" i="15"/>
  <c r="V38" i="15"/>
  <c r="N38" i="15"/>
  <c r="P38" i="15" s="1"/>
  <c r="M38" i="15"/>
  <c r="B38" i="15"/>
  <c r="A38" i="15"/>
  <c r="W37" i="15"/>
  <c r="V37" i="15"/>
  <c r="N37" i="15"/>
  <c r="P37" i="15" s="1"/>
  <c r="Q37" i="15" s="1"/>
  <c r="M37" i="15"/>
  <c r="B37" i="15"/>
  <c r="A37" i="15"/>
  <c r="AO37" i="15" s="1"/>
  <c r="AQ37" i="15" s="1"/>
  <c r="W36" i="15"/>
  <c r="V36" i="15"/>
  <c r="N36" i="15"/>
  <c r="P36" i="15" s="1"/>
  <c r="M36" i="15"/>
  <c r="B36" i="15"/>
  <c r="A36" i="15"/>
  <c r="AO36" i="15" s="1"/>
  <c r="W35" i="15"/>
  <c r="V35" i="15"/>
  <c r="N35" i="15"/>
  <c r="P35" i="15" s="1"/>
  <c r="S35" i="15" s="1"/>
  <c r="T35" i="15" s="1"/>
  <c r="M35" i="15"/>
  <c r="B35" i="15"/>
  <c r="A35" i="15"/>
  <c r="AN35" i="15" s="1"/>
  <c r="W34" i="15"/>
  <c r="V34" i="15"/>
  <c r="S34" i="15"/>
  <c r="T34" i="15" s="1"/>
  <c r="N34" i="15"/>
  <c r="P34" i="15" s="1"/>
  <c r="Q34" i="15" s="1"/>
  <c r="M34" i="15"/>
  <c r="B34" i="15"/>
  <c r="A34" i="15"/>
  <c r="AO34" i="15" s="1"/>
  <c r="AI33" i="15"/>
  <c r="W33" i="15"/>
  <c r="V33" i="15"/>
  <c r="N33" i="15"/>
  <c r="P33" i="15" s="1"/>
  <c r="M33" i="15"/>
  <c r="B33" i="15"/>
  <c r="A33" i="15"/>
  <c r="AO33" i="15" s="1"/>
  <c r="W32" i="15"/>
  <c r="V32" i="15"/>
  <c r="P32" i="15"/>
  <c r="S32" i="15" s="1"/>
  <c r="T32" i="15" s="1"/>
  <c r="N32" i="15"/>
  <c r="M32" i="15"/>
  <c r="B32" i="15"/>
  <c r="A32" i="15"/>
  <c r="AN32" i="15" s="1"/>
  <c r="W31" i="15"/>
  <c r="V31" i="15"/>
  <c r="P31" i="15"/>
  <c r="Q31" i="15" s="1"/>
  <c r="N31" i="15"/>
  <c r="M31" i="15"/>
  <c r="B31" i="15"/>
  <c r="A31" i="15"/>
  <c r="AN31" i="15" s="1"/>
  <c r="W30" i="15"/>
  <c r="V30" i="15"/>
  <c r="P30" i="15"/>
  <c r="S30" i="15" s="1"/>
  <c r="T30" i="15" s="1"/>
  <c r="N30" i="15"/>
  <c r="M30" i="15"/>
  <c r="B30" i="15"/>
  <c r="A30" i="15"/>
  <c r="AN30" i="15" s="1"/>
  <c r="W29" i="15"/>
  <c r="V29" i="15"/>
  <c r="P29" i="15"/>
  <c r="Q29" i="15" s="1"/>
  <c r="N29" i="15"/>
  <c r="M29" i="15"/>
  <c r="B29" i="15"/>
  <c r="A29" i="15"/>
  <c r="AN29" i="15" s="1"/>
  <c r="AP29" i="15" s="1"/>
  <c r="AK28" i="15"/>
  <c r="W28" i="15"/>
  <c r="V28" i="15"/>
  <c r="N28" i="15"/>
  <c r="P28" i="15" s="1"/>
  <c r="M28" i="15"/>
  <c r="B28" i="15"/>
  <c r="A28" i="15"/>
  <c r="AN28" i="15" s="1"/>
  <c r="AQ27" i="15"/>
  <c r="W27" i="15"/>
  <c r="V27" i="15"/>
  <c r="N27" i="15"/>
  <c r="P27" i="15" s="1"/>
  <c r="M27" i="15"/>
  <c r="B27" i="15"/>
  <c r="A27" i="15"/>
  <c r="AO27" i="15" s="1"/>
  <c r="AM26" i="15"/>
  <c r="AK26" i="15"/>
  <c r="W26" i="15"/>
  <c r="V26" i="15"/>
  <c r="N26" i="15"/>
  <c r="P26" i="15" s="1"/>
  <c r="Q26" i="15" s="1"/>
  <c r="M26" i="15"/>
  <c r="B26" i="15"/>
  <c r="A26" i="15"/>
  <c r="AO26" i="15" s="1"/>
  <c r="AM25" i="15"/>
  <c r="W25" i="15"/>
  <c r="V25" i="15"/>
  <c r="N25" i="15"/>
  <c r="P25" i="15" s="1"/>
  <c r="M25" i="15"/>
  <c r="B25" i="15"/>
  <c r="A25" i="15"/>
  <c r="AN25" i="15" s="1"/>
  <c r="AM24" i="15"/>
  <c r="W24" i="15"/>
  <c r="V24" i="15"/>
  <c r="N24" i="15"/>
  <c r="P24" i="15" s="1"/>
  <c r="Q24" i="15" s="1"/>
  <c r="M24" i="15"/>
  <c r="B24" i="15"/>
  <c r="A24" i="15"/>
  <c r="AO24" i="15" s="1"/>
  <c r="AM23" i="15"/>
  <c r="W23" i="15"/>
  <c r="V23" i="15"/>
  <c r="N23" i="15"/>
  <c r="P23" i="15" s="1"/>
  <c r="M23" i="15"/>
  <c r="B23" i="15"/>
  <c r="A23" i="15"/>
  <c r="AO23" i="15" s="1"/>
  <c r="AM22" i="15"/>
  <c r="W22" i="15"/>
  <c r="V22" i="15"/>
  <c r="N22" i="15"/>
  <c r="P22" i="15" s="1"/>
  <c r="M22" i="15"/>
  <c r="B22" i="15"/>
  <c r="A22" i="15"/>
  <c r="AO22" i="15" s="1"/>
  <c r="AH21" i="15"/>
  <c r="AG21" i="15"/>
  <c r="W21" i="15"/>
  <c r="V21" i="15"/>
  <c r="P21" i="15"/>
  <c r="S21" i="15" s="1"/>
  <c r="T21" i="15" s="1"/>
  <c r="N21" i="15"/>
  <c r="M21" i="15"/>
  <c r="B21" i="15"/>
  <c r="A21" i="15"/>
  <c r="AN21" i="15" s="1"/>
  <c r="AP21" i="15" s="1"/>
  <c r="AO20" i="15"/>
  <c r="AQ20" i="15" s="1"/>
  <c r="W20" i="15"/>
  <c r="V20" i="15"/>
  <c r="N20" i="15"/>
  <c r="P20" i="15" s="1"/>
  <c r="M20" i="15"/>
  <c r="B20" i="15"/>
  <c r="A20" i="15"/>
  <c r="AN20" i="15" s="1"/>
  <c r="AP20" i="15" s="1"/>
  <c r="AG19" i="15"/>
  <c r="AI34" i="15" s="1"/>
  <c r="W19" i="15"/>
  <c r="V19" i="15"/>
  <c r="N19" i="15"/>
  <c r="P19" i="15" s="1"/>
  <c r="M19" i="15"/>
  <c r="B19" i="15"/>
  <c r="A19" i="15"/>
  <c r="AO19" i="15" s="1"/>
  <c r="AN18" i="15"/>
  <c r="W18" i="15"/>
  <c r="V18" i="15"/>
  <c r="N18" i="15"/>
  <c r="P18" i="15" s="1"/>
  <c r="M18" i="15"/>
  <c r="F18" i="15"/>
  <c r="B18" i="15"/>
  <c r="A18" i="15"/>
  <c r="AO18" i="15" s="1"/>
  <c r="AQ18" i="15" s="1"/>
  <c r="AO17" i="15"/>
  <c r="W17" i="15"/>
  <c r="V17" i="15"/>
  <c r="P17" i="15"/>
  <c r="S17" i="15" s="1"/>
  <c r="T17" i="15" s="1"/>
  <c r="N17" i="15"/>
  <c r="M17" i="15"/>
  <c r="B17" i="15"/>
  <c r="A17" i="15"/>
  <c r="AN17" i="15" s="1"/>
  <c r="W16" i="15"/>
  <c r="V16" i="15"/>
  <c r="N16" i="15"/>
  <c r="P16" i="15" s="1"/>
  <c r="M16" i="15"/>
  <c r="B16" i="15"/>
  <c r="A16" i="15"/>
  <c r="AN16" i="15" s="1"/>
  <c r="AP16" i="15" s="1"/>
  <c r="W15" i="15"/>
  <c r="V15" i="15"/>
  <c r="N15" i="15"/>
  <c r="P15" i="15" s="1"/>
  <c r="S15" i="15" s="1"/>
  <c r="T15" i="15" s="1"/>
  <c r="M15" i="15"/>
  <c r="B15" i="15"/>
  <c r="A15" i="15"/>
  <c r="AN15" i="15" s="1"/>
  <c r="W14" i="15"/>
  <c r="V14" i="15"/>
  <c r="N14" i="15"/>
  <c r="P14" i="15" s="1"/>
  <c r="M14" i="15"/>
  <c r="B14" i="15"/>
  <c r="A14" i="15"/>
  <c r="AN14" i="15" s="1"/>
  <c r="AP14" i="15" s="1"/>
  <c r="AI13" i="15"/>
  <c r="AH13" i="15"/>
  <c r="W13" i="15"/>
  <c r="V13" i="15"/>
  <c r="N13" i="15"/>
  <c r="P13" i="15" s="1"/>
  <c r="M13" i="15"/>
  <c r="F13" i="15"/>
  <c r="B13" i="15"/>
  <c r="A13" i="15"/>
  <c r="AO13" i="15" s="1"/>
  <c r="W12" i="15"/>
  <c r="V12" i="15"/>
  <c r="N12" i="15"/>
  <c r="P12" i="15" s="1"/>
  <c r="M12" i="15"/>
  <c r="B12" i="15"/>
  <c r="A12" i="15"/>
  <c r="AO12" i="15" s="1"/>
  <c r="AQ12" i="15" s="1"/>
  <c r="W11" i="15"/>
  <c r="V11" i="15"/>
  <c r="N11" i="15"/>
  <c r="P11" i="15" s="1"/>
  <c r="M11" i="15"/>
  <c r="B11" i="15"/>
  <c r="A11" i="15"/>
  <c r="AO11" i="15" s="1"/>
  <c r="W10" i="15"/>
  <c r="V10" i="15"/>
  <c r="N10" i="15"/>
  <c r="P10" i="15" s="1"/>
  <c r="M10" i="15"/>
  <c r="B10" i="15"/>
  <c r="A10" i="15"/>
  <c r="AO10" i="15" s="1"/>
  <c r="AQ10" i="15" s="1"/>
  <c r="W9" i="15"/>
  <c r="V9" i="15"/>
  <c r="N9" i="15"/>
  <c r="P9" i="15" s="1"/>
  <c r="M9" i="15"/>
  <c r="B9" i="15"/>
  <c r="A9" i="15"/>
  <c r="AO9" i="15" s="1"/>
  <c r="W8" i="15"/>
  <c r="V8" i="15"/>
  <c r="O8" i="15"/>
  <c r="N8" i="15"/>
  <c r="P8" i="15" s="1"/>
  <c r="M8" i="15"/>
  <c r="B8" i="15"/>
  <c r="A8" i="15"/>
  <c r="AO8" i="15" s="1"/>
  <c r="AQ8" i="15" s="1"/>
  <c r="W7" i="15"/>
  <c r="V7" i="15"/>
  <c r="M7" i="15"/>
  <c r="B7" i="15"/>
  <c r="A7" i="15"/>
  <c r="AN7" i="15" s="1"/>
  <c r="AO6" i="15"/>
  <c r="AN6" i="15"/>
  <c r="W6" i="15"/>
  <c r="V6" i="15"/>
  <c r="M6" i="15"/>
  <c r="B6" i="15"/>
  <c r="A6" i="15"/>
  <c r="W5" i="15"/>
  <c r="V5" i="15"/>
  <c r="M5" i="15"/>
  <c r="B5" i="15"/>
  <c r="A5" i="15"/>
  <c r="W4" i="15"/>
  <c r="V4" i="15"/>
  <c r="M4" i="15"/>
  <c r="B4" i="15"/>
  <c r="A4" i="15"/>
  <c r="AN4" i="15" s="1"/>
  <c r="W3" i="15"/>
  <c r="V3" i="15"/>
  <c r="M3" i="15"/>
  <c r="B3" i="15"/>
  <c r="A3" i="15"/>
  <c r="AO3" i="15" s="1"/>
  <c r="AQ3" i="15" s="1"/>
  <c r="AP2" i="15"/>
  <c r="B2" i="15"/>
  <c r="A2" i="15"/>
  <c r="Y1" i="15"/>
  <c r="AO43" i="15" l="1"/>
  <c r="AO4" i="15"/>
  <c r="AO15" i="15"/>
  <c r="AO28" i="15"/>
  <c r="AO29" i="15"/>
  <c r="AN36" i="15"/>
  <c r="AP36" i="15" s="1"/>
  <c r="AO47" i="15"/>
  <c r="AQ47" i="15" s="1"/>
  <c r="AO7" i="15"/>
  <c r="AQ7" i="15" s="1"/>
  <c r="AO35" i="15"/>
  <c r="S16" i="15"/>
  <c r="T16" i="15" s="1"/>
  <c r="R16" i="15"/>
  <c r="Q16" i="15"/>
  <c r="Q49" i="15"/>
  <c r="R49" i="15"/>
  <c r="S49" i="15"/>
  <c r="T49" i="15" s="1"/>
  <c r="S25" i="15"/>
  <c r="T25" i="15" s="1"/>
  <c r="AC25" i="15" s="1"/>
  <c r="D25" i="15" s="1"/>
  <c r="E25" i="15" s="1"/>
  <c r="F25" i="15" s="1"/>
  <c r="R25" i="15"/>
  <c r="Q25" i="15"/>
  <c r="S14" i="15"/>
  <c r="T14" i="15" s="1"/>
  <c r="R14" i="15"/>
  <c r="Q14" i="15"/>
  <c r="S22" i="15"/>
  <c r="T22" i="15" s="1"/>
  <c r="Q22" i="15"/>
  <c r="S20" i="15"/>
  <c r="T20" i="15" s="1"/>
  <c r="AC20" i="15" s="1"/>
  <c r="D20" i="15" s="1"/>
  <c r="E20" i="15" s="1"/>
  <c r="F20" i="15" s="1"/>
  <c r="R20" i="15"/>
  <c r="Q20" i="15"/>
  <c r="R42" i="15"/>
  <c r="R34" i="15"/>
  <c r="S37" i="15"/>
  <c r="T37" i="15" s="1"/>
  <c r="AO51" i="15"/>
  <c r="AO16" i="15"/>
  <c r="AQ16" i="15" s="1"/>
  <c r="AN26" i="15"/>
  <c r="AO30" i="15"/>
  <c r="AN22" i="15"/>
  <c r="AO31" i="15"/>
  <c r="AQ31" i="15" s="1"/>
  <c r="AO32" i="15"/>
  <c r="AQ32" i="15" s="1"/>
  <c r="AO39" i="15"/>
  <c r="AQ39" i="15" s="1"/>
  <c r="AO21" i="15"/>
  <c r="AQ21" i="15" s="1"/>
  <c r="AN33" i="15"/>
  <c r="AP33" i="15" s="1"/>
  <c r="AN40" i="15"/>
  <c r="AP40" i="15" s="1"/>
  <c r="AO14" i="15"/>
  <c r="AQ14" i="15" s="1"/>
  <c r="AO25" i="15"/>
  <c r="S13" i="15"/>
  <c r="T13" i="15" s="1"/>
  <c r="R13" i="15"/>
  <c r="Q13" i="15"/>
  <c r="P53" i="15"/>
  <c r="R54" i="15" s="1"/>
  <c r="Q8" i="15"/>
  <c r="S8" i="15"/>
  <c r="Q18" i="15"/>
  <c r="S18" i="15"/>
  <c r="T18" i="15" s="1"/>
  <c r="Y20" i="15"/>
  <c r="R18" i="15"/>
  <c r="Y25" i="15"/>
  <c r="Q27" i="15"/>
  <c r="R27" i="15"/>
  <c r="S27" i="15"/>
  <c r="T27" i="15" s="1"/>
  <c r="Y5" i="15"/>
  <c r="R8" i="15"/>
  <c r="Q10" i="15"/>
  <c r="S10" i="15"/>
  <c r="S36" i="15"/>
  <c r="T36" i="15" s="1"/>
  <c r="R36" i="15"/>
  <c r="Q36" i="15"/>
  <c r="Y44" i="15"/>
  <c r="Y18" i="15"/>
  <c r="Y12" i="15"/>
  <c r="Y10" i="15"/>
  <c r="Y4" i="15"/>
  <c r="Y23" i="15"/>
  <c r="Y36" i="15"/>
  <c r="R10" i="15"/>
  <c r="S11" i="15"/>
  <c r="R11" i="15"/>
  <c r="Q11" i="15"/>
  <c r="Q12" i="15"/>
  <c r="S12" i="15"/>
  <c r="Y41" i="15"/>
  <c r="Q46" i="15"/>
  <c r="S46" i="15"/>
  <c r="T46" i="15" s="1"/>
  <c r="R46" i="15"/>
  <c r="Y6" i="15"/>
  <c r="Y13" i="15"/>
  <c r="S9" i="15"/>
  <c r="R9" i="15"/>
  <c r="Q9" i="15"/>
  <c r="S19" i="15"/>
  <c r="T19" i="15" s="1"/>
  <c r="R19" i="15"/>
  <c r="Q19" i="15"/>
  <c r="AO5" i="15"/>
  <c r="AQ5" i="15" s="1"/>
  <c r="AN5" i="15"/>
  <c r="Y7" i="15"/>
  <c r="Y9" i="15"/>
  <c r="R12" i="15"/>
  <c r="Y14" i="15"/>
  <c r="AC14" i="15" s="1"/>
  <c r="D14" i="15" s="1"/>
  <c r="E14" i="15" s="1"/>
  <c r="F14" i="15" s="1"/>
  <c r="Y16" i="15"/>
  <c r="AC16" i="15" s="1"/>
  <c r="D16" i="15" s="1"/>
  <c r="E16" i="15" s="1"/>
  <c r="F16" i="15" s="1"/>
  <c r="Y19" i="15"/>
  <c r="Y11" i="15"/>
  <c r="S44" i="15"/>
  <c r="T44" i="15" s="1"/>
  <c r="R44" i="15"/>
  <c r="Q44" i="15"/>
  <c r="AN9" i="15"/>
  <c r="AN11" i="15"/>
  <c r="AP11" i="15" s="1"/>
  <c r="S47" i="15"/>
  <c r="T47" i="15" s="1"/>
  <c r="R47" i="15"/>
  <c r="Q47" i="15"/>
  <c r="AP6" i="15"/>
  <c r="AP7" i="15"/>
  <c r="AN13" i="15"/>
  <c r="AP13" i="15" s="1"/>
  <c r="Y15" i="15"/>
  <c r="AC15" i="15" s="1"/>
  <c r="D15" i="15" s="1"/>
  <c r="E15" i="15" s="1"/>
  <c r="F15" i="15" s="1"/>
  <c r="Y17" i="15"/>
  <c r="AC17" i="15" s="1"/>
  <c r="D17" i="15" s="1"/>
  <c r="E17" i="15" s="1"/>
  <c r="F17" i="15" s="1"/>
  <c r="AN19" i="15"/>
  <c r="AP19" i="15" s="1"/>
  <c r="Y21" i="15"/>
  <c r="Y22" i="15"/>
  <c r="AC22" i="15" s="1"/>
  <c r="D22" i="15" s="1"/>
  <c r="E22" i="15" s="1"/>
  <c r="F22" i="15" s="1"/>
  <c r="S26" i="15"/>
  <c r="T26" i="15" s="1"/>
  <c r="R26" i="15"/>
  <c r="Y28" i="15"/>
  <c r="Y30" i="15"/>
  <c r="AP31" i="15"/>
  <c r="AO38" i="15"/>
  <c r="AQ38" i="15" s="1"/>
  <c r="AN38" i="15"/>
  <c r="AP38" i="15" s="1"/>
  <c r="Y40" i="15"/>
  <c r="AC40" i="15" s="1"/>
  <c r="D40" i="15" s="1"/>
  <c r="E40" i="15" s="1"/>
  <c r="F40" i="15" s="1"/>
  <c r="G40" i="15" s="1"/>
  <c r="R41" i="15"/>
  <c r="Q41" i="15"/>
  <c r="S41" i="15"/>
  <c r="T41" i="15" s="1"/>
  <c r="R48" i="15"/>
  <c r="Q48" i="15"/>
  <c r="Y49" i="15"/>
  <c r="S39" i="15"/>
  <c r="T39" i="15" s="1"/>
  <c r="R39" i="15"/>
  <c r="AQ41" i="15"/>
  <c r="AQ26" i="15"/>
  <c r="AQ44" i="15"/>
  <c r="AQ36" i="15"/>
  <c r="AQ33" i="15"/>
  <c r="AP26" i="15"/>
  <c r="AP44" i="15"/>
  <c r="AQ29" i="15"/>
  <c r="AQ50" i="15"/>
  <c r="AP47" i="15"/>
  <c r="AQ48" i="15"/>
  <c r="AQ40" i="15"/>
  <c r="AQ22" i="15"/>
  <c r="AQ52" i="15"/>
  <c r="AQ51" i="15"/>
  <c r="AP48" i="15"/>
  <c r="AQ43" i="15"/>
  <c r="AQ35" i="15"/>
  <c r="AQ30" i="15"/>
  <c r="AQ28" i="15"/>
  <c r="AQ25" i="15"/>
  <c r="AP51" i="15"/>
  <c r="AP43" i="15"/>
  <c r="AP35" i="15"/>
  <c r="AP32" i="15"/>
  <c r="AP30" i="15"/>
  <c r="AP28" i="15"/>
  <c r="AP25" i="15"/>
  <c r="AQ6" i="15"/>
  <c r="AP9" i="15"/>
  <c r="S31" i="15"/>
  <c r="T31" i="15" s="1"/>
  <c r="AC31" i="15" s="1"/>
  <c r="D31" i="15" s="1"/>
  <c r="E31" i="15" s="1"/>
  <c r="F31" i="15" s="1"/>
  <c r="R31" i="15"/>
  <c r="AQ34" i="15"/>
  <c r="R37" i="15"/>
  <c r="AQ45" i="15"/>
  <c r="S48" i="15"/>
  <c r="T48" i="15" s="1"/>
  <c r="Y51" i="15"/>
  <c r="AP5" i="15"/>
  <c r="AQ9" i="15"/>
  <c r="AQ11" i="15"/>
  <c r="Q15" i="15"/>
  <c r="AP15" i="15"/>
  <c r="Q17" i="15"/>
  <c r="AP17" i="15"/>
  <c r="Q21" i="15"/>
  <c r="R23" i="15"/>
  <c r="Q23" i="15"/>
  <c r="Y32" i="15"/>
  <c r="Y39" i="15"/>
  <c r="AO46" i="15"/>
  <c r="AQ46" i="15" s="1"/>
  <c r="AN46" i="15"/>
  <c r="AP46" i="15" s="1"/>
  <c r="AC51" i="15"/>
  <c r="D51" i="15" s="1"/>
  <c r="E51" i="15" s="1"/>
  <c r="F51" i="15" s="1"/>
  <c r="G51" i="15" s="1"/>
  <c r="Y33" i="15"/>
  <c r="B53" i="15"/>
  <c r="Y8" i="15"/>
  <c r="AN8" i="15"/>
  <c r="AN10" i="15"/>
  <c r="AN12" i="15"/>
  <c r="AP12" i="15" s="1"/>
  <c r="AQ13" i="15"/>
  <c r="R15" i="15"/>
  <c r="AQ15" i="15"/>
  <c r="R17" i="15"/>
  <c r="AQ17" i="15"/>
  <c r="AQ19" i="15"/>
  <c r="R21" i="15"/>
  <c r="R22" i="15"/>
  <c r="AP22" i="15"/>
  <c r="S23" i="15"/>
  <c r="T23" i="15" s="1"/>
  <c r="AC23" i="15" s="1"/>
  <c r="D23" i="15" s="1"/>
  <c r="E23" i="15" s="1"/>
  <c r="F23" i="15" s="1"/>
  <c r="Q28" i="15"/>
  <c r="S28" i="15"/>
  <c r="T28" i="15" s="1"/>
  <c r="R28" i="15"/>
  <c r="Y29" i="15"/>
  <c r="S33" i="15"/>
  <c r="T33" i="15" s="1"/>
  <c r="R33" i="15"/>
  <c r="Y35" i="15"/>
  <c r="AC35" i="15" s="1"/>
  <c r="D35" i="15" s="1"/>
  <c r="E35" i="15" s="1"/>
  <c r="F35" i="15" s="1"/>
  <c r="G35" i="15" s="1"/>
  <c r="AQ42" i="15"/>
  <c r="R45" i="15"/>
  <c r="S50" i="15"/>
  <c r="T50" i="15" s="1"/>
  <c r="AC50" i="15" s="1"/>
  <c r="D50" i="15" s="1"/>
  <c r="E50" i="15" s="1"/>
  <c r="F50" i="15" s="1"/>
  <c r="G50" i="15" s="1"/>
  <c r="R50" i="15"/>
  <c r="Q50" i="15"/>
  <c r="AO49" i="15"/>
  <c r="AQ49" i="15" s="1"/>
  <c r="AN49" i="15"/>
  <c r="AP49" i="15" s="1"/>
  <c r="AN3" i="15"/>
  <c r="AP3" i="15" s="1"/>
  <c r="AP4" i="15"/>
  <c r="AN23" i="15"/>
  <c r="AP23" i="15" s="1"/>
  <c r="R24" i="15"/>
  <c r="AQ24" i="15"/>
  <c r="Y26" i="15"/>
  <c r="Q33" i="15"/>
  <c r="Q38" i="15"/>
  <c r="S38" i="15"/>
  <c r="T38" i="15" s="1"/>
  <c r="R38" i="15"/>
  <c r="R40" i="15"/>
  <c r="Q40" i="15"/>
  <c r="Q42" i="15"/>
  <c r="S45" i="15"/>
  <c r="T45" i="15" s="1"/>
  <c r="S29" i="15"/>
  <c r="T29" i="15" s="1"/>
  <c r="R29" i="15"/>
  <c r="Y3" i="15"/>
  <c r="AQ4" i="15"/>
  <c r="AP8" i="15"/>
  <c r="AP10" i="15"/>
  <c r="AP18" i="15"/>
  <c r="AQ23" i="15"/>
  <c r="S24" i="15"/>
  <c r="T24" i="15" s="1"/>
  <c r="Y31" i="15"/>
  <c r="AN41" i="15"/>
  <c r="AP41" i="15" s="1"/>
  <c r="Y43" i="15"/>
  <c r="Y48" i="15"/>
  <c r="Y24" i="15"/>
  <c r="Y27" i="15"/>
  <c r="Q30" i="15"/>
  <c r="Q32" i="15"/>
  <c r="Y34" i="15"/>
  <c r="Q35" i="15"/>
  <c r="Y37" i="15"/>
  <c r="AN37" i="15"/>
  <c r="AP37" i="15" s="1"/>
  <c r="Q43" i="15"/>
  <c r="Y45" i="15"/>
  <c r="AN45" i="15"/>
  <c r="AP45" i="15" s="1"/>
  <c r="Q51" i="15"/>
  <c r="Y52" i="15"/>
  <c r="AN24" i="15"/>
  <c r="AP24" i="15" s="1"/>
  <c r="AN27" i="15"/>
  <c r="AP27" i="15" s="1"/>
  <c r="R30" i="15"/>
  <c r="R32" i="15"/>
  <c r="AN34" i="15"/>
  <c r="AP34" i="15" s="1"/>
  <c r="R35" i="15"/>
  <c r="Y42" i="15"/>
  <c r="AN42" i="15"/>
  <c r="AP42" i="15" s="1"/>
  <c r="R43" i="15"/>
  <c r="Y50" i="15"/>
  <c r="AN50" i="15"/>
  <c r="AP50" i="15" s="1"/>
  <c r="R51" i="15"/>
  <c r="Y47" i="15"/>
  <c r="Q52" i="15"/>
  <c r="R52" i="15"/>
  <c r="Y38" i="15"/>
  <c r="Y46" i="15"/>
  <c r="AN52" i="15"/>
  <c r="AP52" i="15" s="1"/>
  <c r="AP2" i="10"/>
  <c r="E36" i="13"/>
  <c r="AI34" i="10"/>
  <c r="AI33" i="10"/>
  <c r="AC41" i="15" l="1"/>
  <c r="D41" i="15" s="1"/>
  <c r="E41" i="15" s="1"/>
  <c r="F41" i="15" s="1"/>
  <c r="G41" i="15" s="1"/>
  <c r="AC36" i="15"/>
  <c r="D36" i="15" s="1"/>
  <c r="E36" i="15" s="1"/>
  <c r="F36" i="15" s="1"/>
  <c r="G36" i="15" s="1"/>
  <c r="AC46" i="15"/>
  <c r="D46" i="15" s="1"/>
  <c r="E46" i="15" s="1"/>
  <c r="F46" i="15" s="1"/>
  <c r="G46" i="15" s="1"/>
  <c r="AC18" i="15"/>
  <c r="D18" i="15" s="1"/>
  <c r="AC45" i="15"/>
  <c r="D45" i="15" s="1"/>
  <c r="E45" i="15" s="1"/>
  <c r="F45" i="15" s="1"/>
  <c r="G45" i="15" s="1"/>
  <c r="AC44" i="15"/>
  <c r="D44" i="15" s="1"/>
  <c r="E44" i="15" s="1"/>
  <c r="F44" i="15" s="1"/>
  <c r="G44" i="15" s="1"/>
  <c r="AA32" i="15"/>
  <c r="AA49" i="15"/>
  <c r="AA21" i="15"/>
  <c r="AA19" i="15"/>
  <c r="AC21" i="15"/>
  <c r="D21" i="15" s="1"/>
  <c r="E21" i="15" s="1"/>
  <c r="F21" i="15" s="1"/>
  <c r="AA6" i="15"/>
  <c r="AA23" i="15"/>
  <c r="AD23" i="15"/>
  <c r="AE23" i="15" s="1"/>
  <c r="AA5" i="15"/>
  <c r="AC49" i="15"/>
  <c r="D49" i="15" s="1"/>
  <c r="E49" i="15" s="1"/>
  <c r="F49" i="15" s="1"/>
  <c r="G49" i="15" s="1"/>
  <c r="AC24" i="15"/>
  <c r="D24" i="15" s="1"/>
  <c r="E24" i="15" s="1"/>
  <c r="F24" i="15" s="1"/>
  <c r="AC33" i="15"/>
  <c r="D33" i="15" s="1"/>
  <c r="E33" i="15" s="1"/>
  <c r="F33" i="15" s="1"/>
  <c r="AC47" i="15"/>
  <c r="D47" i="15" s="1"/>
  <c r="E47" i="15" s="1"/>
  <c r="F47" i="15" s="1"/>
  <c r="G47" i="15" s="1"/>
  <c r="AD16" i="15"/>
  <c r="AE16" i="15" s="1"/>
  <c r="AA16" i="15"/>
  <c r="S7" i="15"/>
  <c r="T12" i="15"/>
  <c r="AC12" i="15" s="1"/>
  <c r="D12" i="15" s="1"/>
  <c r="E12" i="15" s="1"/>
  <c r="F12" i="15" s="1"/>
  <c r="AA4" i="15"/>
  <c r="AC27" i="15"/>
  <c r="D27" i="15" s="1"/>
  <c r="E27" i="15" s="1"/>
  <c r="AA24" i="15"/>
  <c r="AA48" i="15"/>
  <c r="AA29" i="15"/>
  <c r="AD17" i="15"/>
  <c r="AE17" i="15" s="1"/>
  <c r="AA17" i="15"/>
  <c r="AA11" i="15"/>
  <c r="AA47" i="15"/>
  <c r="AA42" i="15"/>
  <c r="AA43" i="15"/>
  <c r="AA30" i="15"/>
  <c r="AD15" i="15"/>
  <c r="AE15" i="15" s="1"/>
  <c r="AA15" i="15"/>
  <c r="AC43" i="15"/>
  <c r="D43" i="15" s="1"/>
  <c r="E43" i="15" s="1"/>
  <c r="F43" i="15" s="1"/>
  <c r="G43" i="15" s="1"/>
  <c r="AC19" i="15"/>
  <c r="D19" i="15" s="1"/>
  <c r="E19" i="15" s="1"/>
  <c r="F19" i="15" s="1"/>
  <c r="AA12" i="15"/>
  <c r="S5" i="15"/>
  <c r="T10" i="15"/>
  <c r="AA33" i="15"/>
  <c r="AD14" i="15"/>
  <c r="AE14" i="15" s="1"/>
  <c r="AA14" i="15"/>
  <c r="AD45" i="15"/>
  <c r="AE45" i="15" s="1"/>
  <c r="AA45" i="15"/>
  <c r="AC48" i="15"/>
  <c r="D48" i="15" s="1"/>
  <c r="E48" i="15" s="1"/>
  <c r="F48" i="15" s="1"/>
  <c r="G48" i="15" s="1"/>
  <c r="AA28" i="15"/>
  <c r="AA9" i="15"/>
  <c r="AA18" i="15"/>
  <c r="AD18" i="15"/>
  <c r="AE18" i="15" s="1"/>
  <c r="AA25" i="15"/>
  <c r="AD25" i="15"/>
  <c r="AE25" i="15" s="1"/>
  <c r="S3" i="15"/>
  <c r="T8" i="15"/>
  <c r="AA26" i="15"/>
  <c r="AA10" i="15"/>
  <c r="Y53" i="15"/>
  <c r="AA3" i="15"/>
  <c r="Z3" i="15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AC38" i="15"/>
  <c r="D38" i="15" s="1"/>
  <c r="E38" i="15" s="1"/>
  <c r="F38" i="15" s="1"/>
  <c r="G38" i="15" s="1"/>
  <c r="AC28" i="15"/>
  <c r="D28" i="15" s="1"/>
  <c r="E28" i="15" s="1"/>
  <c r="F28" i="15" s="1"/>
  <c r="AA8" i="15"/>
  <c r="AC30" i="15"/>
  <c r="D30" i="15" s="1"/>
  <c r="E30" i="15" s="1"/>
  <c r="F30" i="15" s="1"/>
  <c r="AA7" i="15"/>
  <c r="AA41" i="15"/>
  <c r="AD41" i="15"/>
  <c r="AE41" i="15" s="1"/>
  <c r="T11" i="15"/>
  <c r="AC11" i="15" s="1"/>
  <c r="S6" i="15"/>
  <c r="AA44" i="15"/>
  <c r="AD44" i="15"/>
  <c r="AE44" i="15" s="1"/>
  <c r="R53" i="15"/>
  <c r="Q53" i="15"/>
  <c r="AA37" i="15"/>
  <c r="AC37" i="15"/>
  <c r="D37" i="15" s="1"/>
  <c r="E37" i="15" s="1"/>
  <c r="F37" i="15" s="1"/>
  <c r="G37" i="15" s="1"/>
  <c r="AD51" i="15"/>
  <c r="AE51" i="15" s="1"/>
  <c r="AA51" i="15"/>
  <c r="AA46" i="15"/>
  <c r="AD46" i="15"/>
  <c r="AE46" i="15" s="1"/>
  <c r="AD50" i="15"/>
  <c r="AE50" i="15" s="1"/>
  <c r="AA50" i="15"/>
  <c r="AD31" i="15"/>
  <c r="AE31" i="15" s="1"/>
  <c r="AA31" i="15"/>
  <c r="AC42" i="15"/>
  <c r="D42" i="15" s="1"/>
  <c r="E42" i="15" s="1"/>
  <c r="F42" i="15" s="1"/>
  <c r="G42" i="15" s="1"/>
  <c r="AA40" i="15"/>
  <c r="AD40" i="15"/>
  <c r="AE40" i="15" s="1"/>
  <c r="AC26" i="15"/>
  <c r="D26" i="15" s="1"/>
  <c r="E26" i="15" s="1"/>
  <c r="F26" i="15" s="1"/>
  <c r="T9" i="15"/>
  <c r="S4" i="15"/>
  <c r="AC13" i="15"/>
  <c r="D13" i="15" s="1"/>
  <c r="AA34" i="15"/>
  <c r="AC34" i="15"/>
  <c r="D34" i="15" s="1"/>
  <c r="E34" i="15" s="1"/>
  <c r="F34" i="15" s="1"/>
  <c r="G34" i="15" s="1"/>
  <c r="AA38" i="15"/>
  <c r="AF52" i="15"/>
  <c r="AD52" i="15"/>
  <c r="AE52" i="15" s="1"/>
  <c r="AA52" i="15"/>
  <c r="AD27" i="15"/>
  <c r="AE27" i="15" s="1"/>
  <c r="AA27" i="15"/>
  <c r="AC29" i="15"/>
  <c r="D29" i="15" s="1"/>
  <c r="E29" i="15" s="1"/>
  <c r="F29" i="15" s="1"/>
  <c r="AA35" i="15"/>
  <c r="AD35" i="15"/>
  <c r="AE35" i="15" s="1"/>
  <c r="AA39" i="15"/>
  <c r="AC39" i="15"/>
  <c r="D39" i="15" s="1"/>
  <c r="E39" i="15" s="1"/>
  <c r="F39" i="15" s="1"/>
  <c r="G39" i="15" s="1"/>
  <c r="AD22" i="15"/>
  <c r="AE22" i="15" s="1"/>
  <c r="AA22" i="15"/>
  <c r="AA13" i="15"/>
  <c r="AA36" i="15"/>
  <c r="AD36" i="15"/>
  <c r="AE36" i="15" s="1"/>
  <c r="AD20" i="15"/>
  <c r="AE20" i="15" s="1"/>
  <c r="AA20" i="15"/>
  <c r="AC32" i="15"/>
  <c r="D32" i="15" s="1"/>
  <c r="E32" i="15" s="1"/>
  <c r="F32" i="15" s="1"/>
  <c r="G76" i="7"/>
  <c r="F76" i="7"/>
  <c r="E76" i="7"/>
  <c r="D76" i="7"/>
  <c r="C76" i="7"/>
  <c r="B76" i="7"/>
  <c r="A76" i="7"/>
  <c r="G75" i="7"/>
  <c r="F75" i="7"/>
  <c r="E75" i="7"/>
  <c r="D75" i="7"/>
  <c r="C75" i="7"/>
  <c r="B75" i="7"/>
  <c r="A75" i="7"/>
  <c r="G74" i="7"/>
  <c r="F74" i="7"/>
  <c r="E74" i="7"/>
  <c r="D74" i="7"/>
  <c r="C74" i="7"/>
  <c r="B74" i="7"/>
  <c r="A74" i="7"/>
  <c r="G73" i="7"/>
  <c r="F73" i="7"/>
  <c r="E73" i="7"/>
  <c r="D73" i="7"/>
  <c r="C73" i="7"/>
  <c r="B73" i="7"/>
  <c r="A73" i="7"/>
  <c r="G72" i="7"/>
  <c r="F72" i="7"/>
  <c r="E72" i="7"/>
  <c r="D72" i="7"/>
  <c r="C72" i="7"/>
  <c r="B72" i="7"/>
  <c r="A72" i="7"/>
  <c r="G71" i="7"/>
  <c r="F71" i="7"/>
  <c r="E71" i="7"/>
  <c r="D71" i="7"/>
  <c r="C71" i="7"/>
  <c r="B71" i="7"/>
  <c r="A71" i="7"/>
  <c r="G70" i="7"/>
  <c r="F70" i="7"/>
  <c r="E70" i="7"/>
  <c r="D70" i="7"/>
  <c r="C70" i="7"/>
  <c r="B70" i="7"/>
  <c r="A70" i="7"/>
  <c r="G69" i="7"/>
  <c r="F69" i="7"/>
  <c r="E69" i="7"/>
  <c r="D69" i="7"/>
  <c r="C69" i="7"/>
  <c r="B69" i="7"/>
  <c r="A69" i="7"/>
  <c r="G68" i="7"/>
  <c r="F68" i="7"/>
  <c r="E68" i="7"/>
  <c r="D68" i="7"/>
  <c r="C68" i="7"/>
  <c r="B68" i="7"/>
  <c r="A68" i="7"/>
  <c r="G67" i="7"/>
  <c r="F67" i="7"/>
  <c r="E67" i="7"/>
  <c r="D67" i="7"/>
  <c r="C67" i="7"/>
  <c r="B67" i="7"/>
  <c r="A67" i="7"/>
  <c r="G66" i="7"/>
  <c r="F66" i="7"/>
  <c r="E66" i="7"/>
  <c r="D66" i="7"/>
  <c r="C66" i="7"/>
  <c r="B66" i="7"/>
  <c r="A66" i="7"/>
  <c r="G65" i="7"/>
  <c r="F65" i="7"/>
  <c r="E65" i="7"/>
  <c r="D65" i="7"/>
  <c r="C65" i="7"/>
  <c r="B65" i="7"/>
  <c r="A65" i="7"/>
  <c r="G64" i="7"/>
  <c r="F64" i="7"/>
  <c r="E64" i="7"/>
  <c r="D64" i="7"/>
  <c r="C64" i="7"/>
  <c r="B64" i="7"/>
  <c r="A64" i="7"/>
  <c r="G63" i="7"/>
  <c r="F63" i="7"/>
  <c r="E63" i="7"/>
  <c r="D63" i="7"/>
  <c r="C63" i="7"/>
  <c r="B63" i="7"/>
  <c r="A63" i="7"/>
  <c r="G62" i="7"/>
  <c r="F62" i="7"/>
  <c r="E62" i="7"/>
  <c r="D62" i="7"/>
  <c r="C62" i="7"/>
  <c r="B62" i="7"/>
  <c r="A62" i="7"/>
  <c r="G61" i="7"/>
  <c r="F61" i="7"/>
  <c r="E61" i="7"/>
  <c r="D61" i="7"/>
  <c r="C61" i="7"/>
  <c r="B61" i="7"/>
  <c r="A61" i="7"/>
  <c r="G60" i="7"/>
  <c r="F60" i="7"/>
  <c r="E60" i="7"/>
  <c r="D60" i="7"/>
  <c r="C60" i="7"/>
  <c r="B60" i="7"/>
  <c r="A60" i="7"/>
  <c r="G59" i="7"/>
  <c r="F59" i="7"/>
  <c r="E59" i="7"/>
  <c r="D59" i="7"/>
  <c r="C59" i="7"/>
  <c r="B59" i="7"/>
  <c r="A59" i="7"/>
  <c r="G58" i="7"/>
  <c r="F58" i="7"/>
  <c r="E58" i="7"/>
  <c r="D58" i="7"/>
  <c r="C58" i="7"/>
  <c r="B58" i="7"/>
  <c r="A58" i="7"/>
  <c r="G57" i="7"/>
  <c r="F57" i="7"/>
  <c r="E57" i="7"/>
  <c r="D57" i="7"/>
  <c r="C57" i="7"/>
  <c r="B57" i="7"/>
  <c r="A57" i="7"/>
  <c r="G56" i="7"/>
  <c r="F56" i="7"/>
  <c r="E56" i="7"/>
  <c r="D56" i="7"/>
  <c r="C56" i="7"/>
  <c r="B56" i="7"/>
  <c r="A56" i="7"/>
  <c r="G55" i="7"/>
  <c r="F55" i="7"/>
  <c r="E55" i="7"/>
  <c r="D55" i="7"/>
  <c r="C55" i="7"/>
  <c r="B55" i="7"/>
  <c r="A55" i="7"/>
  <c r="G54" i="7"/>
  <c r="F54" i="7"/>
  <c r="E54" i="7"/>
  <c r="D54" i="7"/>
  <c r="C54" i="7"/>
  <c r="B54" i="7"/>
  <c r="A54" i="7"/>
  <c r="G53" i="7"/>
  <c r="F53" i="7"/>
  <c r="E53" i="7"/>
  <c r="D53" i="7"/>
  <c r="C53" i="7"/>
  <c r="B53" i="7"/>
  <c r="A53" i="7"/>
  <c r="G52" i="7"/>
  <c r="F52" i="7"/>
  <c r="E52" i="7"/>
  <c r="D52" i="7"/>
  <c r="C52" i="7"/>
  <c r="B52" i="7"/>
  <c r="A52" i="7"/>
  <c r="G51" i="7"/>
  <c r="F51" i="7"/>
  <c r="E51" i="7"/>
  <c r="D51" i="7"/>
  <c r="C51" i="7"/>
  <c r="B51" i="7"/>
  <c r="A51" i="7"/>
  <c r="G50" i="7"/>
  <c r="F50" i="7"/>
  <c r="E50" i="7"/>
  <c r="D50" i="7"/>
  <c r="C50" i="7"/>
  <c r="B50" i="7"/>
  <c r="A50" i="7"/>
  <c r="G49" i="7"/>
  <c r="F49" i="7"/>
  <c r="E49" i="7"/>
  <c r="D49" i="7"/>
  <c r="C49" i="7"/>
  <c r="B49" i="7"/>
  <c r="A49" i="7"/>
  <c r="G48" i="7"/>
  <c r="F48" i="7"/>
  <c r="E48" i="7"/>
  <c r="D48" i="7"/>
  <c r="C48" i="7"/>
  <c r="B48" i="7"/>
  <c r="A48" i="7"/>
  <c r="G47" i="7"/>
  <c r="F47" i="7"/>
  <c r="E47" i="7"/>
  <c r="D47" i="7"/>
  <c r="C47" i="7"/>
  <c r="B47" i="7"/>
  <c r="A47" i="7"/>
  <c r="G46" i="7"/>
  <c r="F46" i="7"/>
  <c r="E46" i="7"/>
  <c r="D46" i="7"/>
  <c r="C46" i="7"/>
  <c r="B46" i="7"/>
  <c r="A46" i="7"/>
  <c r="G45" i="7"/>
  <c r="F45" i="7"/>
  <c r="E45" i="7"/>
  <c r="D45" i="7"/>
  <c r="C45" i="7"/>
  <c r="B45" i="7"/>
  <c r="A45" i="7"/>
  <c r="G44" i="7"/>
  <c r="F44" i="7"/>
  <c r="E44" i="7"/>
  <c r="D44" i="7"/>
  <c r="C44" i="7"/>
  <c r="B44" i="7"/>
  <c r="A44" i="7"/>
  <c r="G43" i="7"/>
  <c r="F43" i="7"/>
  <c r="E43" i="7"/>
  <c r="D43" i="7"/>
  <c r="C43" i="7"/>
  <c r="B43" i="7"/>
  <c r="A43" i="7"/>
  <c r="G42" i="7"/>
  <c r="F42" i="7"/>
  <c r="E42" i="7"/>
  <c r="D42" i="7"/>
  <c r="C42" i="7"/>
  <c r="B42" i="7"/>
  <c r="A42" i="7"/>
  <c r="G41" i="7"/>
  <c r="F41" i="7"/>
  <c r="E41" i="7"/>
  <c r="D41" i="7"/>
  <c r="C41" i="7"/>
  <c r="B41" i="7"/>
  <c r="A41" i="7"/>
  <c r="G40" i="7"/>
  <c r="F40" i="7"/>
  <c r="E40" i="7"/>
  <c r="D40" i="7"/>
  <c r="C40" i="7"/>
  <c r="B40" i="7"/>
  <c r="A40" i="7"/>
  <c r="G39" i="7"/>
  <c r="F39" i="7"/>
  <c r="E39" i="7"/>
  <c r="D39" i="7"/>
  <c r="C39" i="7"/>
  <c r="B39" i="7"/>
  <c r="A39" i="7"/>
  <c r="G38" i="7"/>
  <c r="F38" i="7"/>
  <c r="E38" i="7"/>
  <c r="D38" i="7"/>
  <c r="C38" i="7"/>
  <c r="B38" i="7"/>
  <c r="A38" i="7"/>
  <c r="G37" i="7"/>
  <c r="F37" i="7"/>
  <c r="E37" i="7"/>
  <c r="D37" i="7"/>
  <c r="C37" i="7"/>
  <c r="B37" i="7"/>
  <c r="A37" i="7"/>
  <c r="G36" i="7"/>
  <c r="F36" i="7"/>
  <c r="E36" i="7"/>
  <c r="D36" i="7"/>
  <c r="C36" i="7"/>
  <c r="B36" i="7"/>
  <c r="A36" i="7"/>
  <c r="G35" i="7"/>
  <c r="F35" i="7"/>
  <c r="E35" i="7"/>
  <c r="D35" i="7"/>
  <c r="C35" i="7"/>
  <c r="B35" i="7"/>
  <c r="A35" i="7"/>
  <c r="G34" i="7"/>
  <c r="F34" i="7"/>
  <c r="E34" i="7"/>
  <c r="D34" i="7"/>
  <c r="C34" i="7"/>
  <c r="B34" i="7"/>
  <c r="A34" i="7"/>
  <c r="G33" i="7"/>
  <c r="F33" i="7"/>
  <c r="E33" i="7"/>
  <c r="D33" i="7"/>
  <c r="C33" i="7"/>
  <c r="B33" i="7"/>
  <c r="A33" i="7"/>
  <c r="G32" i="7"/>
  <c r="F32" i="7"/>
  <c r="E32" i="7"/>
  <c r="D32" i="7"/>
  <c r="C32" i="7"/>
  <c r="B32" i="7"/>
  <c r="A32" i="7"/>
  <c r="G31" i="7"/>
  <c r="F31" i="7"/>
  <c r="E31" i="7"/>
  <c r="D31" i="7"/>
  <c r="C31" i="7"/>
  <c r="B31" i="7"/>
  <c r="A31" i="7"/>
  <c r="G30" i="7"/>
  <c r="F30" i="7"/>
  <c r="E30" i="7"/>
  <c r="D30" i="7"/>
  <c r="C30" i="7"/>
  <c r="B30" i="7"/>
  <c r="A30" i="7"/>
  <c r="G29" i="7"/>
  <c r="F29" i="7"/>
  <c r="E29" i="7"/>
  <c r="D29" i="7"/>
  <c r="C29" i="7"/>
  <c r="B29" i="7"/>
  <c r="A29" i="7"/>
  <c r="G28" i="7"/>
  <c r="F28" i="7"/>
  <c r="E28" i="7"/>
  <c r="D28" i="7"/>
  <c r="C28" i="7"/>
  <c r="B28" i="7"/>
  <c r="A28" i="7"/>
  <c r="G27" i="7"/>
  <c r="F27" i="7"/>
  <c r="E27" i="7"/>
  <c r="D27" i="7"/>
  <c r="C27" i="7"/>
  <c r="B27" i="7"/>
  <c r="A27" i="7"/>
  <c r="K34" i="13"/>
  <c r="L34" i="13"/>
  <c r="M34" i="13"/>
  <c r="N34" i="13"/>
  <c r="K35" i="13"/>
  <c r="L35" i="13"/>
  <c r="R35" i="13" s="1"/>
  <c r="M35" i="13"/>
  <c r="N35" i="13"/>
  <c r="K36" i="13"/>
  <c r="L36" i="13"/>
  <c r="R36" i="13" s="1"/>
  <c r="M36" i="13"/>
  <c r="N36" i="13"/>
  <c r="K37" i="13"/>
  <c r="L37" i="13"/>
  <c r="R37" i="13" s="1"/>
  <c r="M37" i="13"/>
  <c r="N37" i="13"/>
  <c r="K38" i="13"/>
  <c r="L38" i="13"/>
  <c r="M38" i="13"/>
  <c r="N38" i="13"/>
  <c r="K39" i="13"/>
  <c r="L39" i="13"/>
  <c r="M39" i="13"/>
  <c r="N39" i="13"/>
  <c r="K40" i="13"/>
  <c r="L40" i="13"/>
  <c r="M40" i="13"/>
  <c r="N40" i="13"/>
  <c r="K41" i="13"/>
  <c r="L41" i="13"/>
  <c r="M41" i="13"/>
  <c r="N41" i="13"/>
  <c r="K42" i="13"/>
  <c r="L42" i="13"/>
  <c r="M42" i="13"/>
  <c r="N42" i="13"/>
  <c r="K43" i="13"/>
  <c r="L43" i="13"/>
  <c r="M43" i="13"/>
  <c r="N43" i="13"/>
  <c r="K44" i="13"/>
  <c r="L44" i="13"/>
  <c r="M44" i="13"/>
  <c r="N44" i="13"/>
  <c r="K45" i="13"/>
  <c r="L45" i="13"/>
  <c r="R45" i="13" s="1"/>
  <c r="M45" i="13"/>
  <c r="N45" i="13"/>
  <c r="K46" i="13"/>
  <c r="L46" i="13"/>
  <c r="R46" i="13" s="1"/>
  <c r="M46" i="13"/>
  <c r="N46" i="13"/>
  <c r="K47" i="13"/>
  <c r="L47" i="13"/>
  <c r="R47" i="13" s="1"/>
  <c r="M47" i="13"/>
  <c r="N47" i="13"/>
  <c r="K48" i="13"/>
  <c r="L48" i="13"/>
  <c r="M48" i="13"/>
  <c r="N48" i="13"/>
  <c r="K49" i="13"/>
  <c r="L49" i="13"/>
  <c r="R49" i="13" s="1"/>
  <c r="M49" i="13"/>
  <c r="N49" i="13"/>
  <c r="K50" i="13"/>
  <c r="L50" i="13"/>
  <c r="M50" i="13"/>
  <c r="N50" i="13"/>
  <c r="K51" i="13"/>
  <c r="L51" i="13"/>
  <c r="R51" i="13" s="1"/>
  <c r="M51" i="13"/>
  <c r="N51" i="13"/>
  <c r="K52" i="13"/>
  <c r="L52" i="13"/>
  <c r="M52" i="13"/>
  <c r="N52" i="13"/>
  <c r="K53" i="13"/>
  <c r="L53" i="13"/>
  <c r="M53" i="13"/>
  <c r="N53" i="13"/>
  <c r="K54" i="13"/>
  <c r="L54" i="13"/>
  <c r="R54" i="13" s="1"/>
  <c r="M54" i="13"/>
  <c r="N54" i="13"/>
  <c r="K55" i="13"/>
  <c r="L55" i="13"/>
  <c r="M55" i="13"/>
  <c r="N55" i="13"/>
  <c r="K56" i="13"/>
  <c r="L56" i="13"/>
  <c r="M56" i="13"/>
  <c r="N56" i="13"/>
  <c r="K57" i="13"/>
  <c r="L57" i="13"/>
  <c r="R57" i="13" s="1"/>
  <c r="M57" i="13"/>
  <c r="N57" i="13"/>
  <c r="K58" i="13"/>
  <c r="L58" i="13"/>
  <c r="R58" i="13" s="1"/>
  <c r="M58" i="13"/>
  <c r="N58" i="13"/>
  <c r="K59" i="13"/>
  <c r="L59" i="13"/>
  <c r="R59" i="13" s="1"/>
  <c r="M59" i="13"/>
  <c r="N59" i="13"/>
  <c r="K60" i="13"/>
  <c r="L60" i="13"/>
  <c r="M60" i="13"/>
  <c r="N60" i="13"/>
  <c r="K61" i="13"/>
  <c r="L61" i="13"/>
  <c r="M61" i="13"/>
  <c r="N61" i="13"/>
  <c r="K62" i="13"/>
  <c r="L62" i="13"/>
  <c r="R62" i="13" s="1"/>
  <c r="M62" i="13"/>
  <c r="N62" i="13"/>
  <c r="K63" i="13"/>
  <c r="L63" i="13"/>
  <c r="M63" i="13"/>
  <c r="N63" i="13"/>
  <c r="K64" i="13"/>
  <c r="L64" i="13"/>
  <c r="M64" i="13"/>
  <c r="N64" i="13"/>
  <c r="K65" i="13"/>
  <c r="L65" i="13"/>
  <c r="R65" i="13" s="1"/>
  <c r="M65" i="13"/>
  <c r="N65" i="13"/>
  <c r="K66" i="13"/>
  <c r="L66" i="13"/>
  <c r="R66" i="13" s="1"/>
  <c r="M66" i="13"/>
  <c r="N66" i="13"/>
  <c r="K67" i="13"/>
  <c r="L67" i="13"/>
  <c r="R67" i="13" s="1"/>
  <c r="M67" i="13"/>
  <c r="N67" i="13"/>
  <c r="K68" i="13"/>
  <c r="L68" i="13"/>
  <c r="M68" i="13"/>
  <c r="N68" i="13"/>
  <c r="K69" i="13"/>
  <c r="L69" i="13"/>
  <c r="R69" i="13" s="1"/>
  <c r="M69" i="13"/>
  <c r="N69" i="13"/>
  <c r="K70" i="13"/>
  <c r="L70" i="13"/>
  <c r="M70" i="13"/>
  <c r="N70" i="13"/>
  <c r="K71" i="13"/>
  <c r="L71" i="13"/>
  <c r="R71" i="13" s="1"/>
  <c r="M71" i="13"/>
  <c r="N71" i="13"/>
  <c r="K72" i="13"/>
  <c r="L72" i="13"/>
  <c r="R72" i="13" s="1"/>
  <c r="M72" i="13"/>
  <c r="N72" i="13"/>
  <c r="K73" i="13"/>
  <c r="L73" i="13"/>
  <c r="R73" i="13" s="1"/>
  <c r="M73" i="13"/>
  <c r="N73" i="13"/>
  <c r="K74" i="13"/>
  <c r="L74" i="13"/>
  <c r="M74" i="13"/>
  <c r="N74" i="13"/>
  <c r="K75" i="13"/>
  <c r="L75" i="13"/>
  <c r="R75" i="13" s="1"/>
  <c r="M75" i="13"/>
  <c r="N75" i="13"/>
  <c r="K76" i="13"/>
  <c r="L76" i="13"/>
  <c r="M76" i="13"/>
  <c r="N76" i="13"/>
  <c r="K77" i="13"/>
  <c r="L77" i="13"/>
  <c r="R77" i="13" s="1"/>
  <c r="M77" i="13"/>
  <c r="N77" i="13"/>
  <c r="R34" i="13"/>
  <c r="R38" i="13"/>
  <c r="R41" i="13"/>
  <c r="R44" i="13"/>
  <c r="R52" i="13"/>
  <c r="R53" i="13"/>
  <c r="R55" i="13"/>
  <c r="R56" i="13"/>
  <c r="R60" i="13"/>
  <c r="R61" i="13"/>
  <c r="R63" i="13"/>
  <c r="R64" i="13"/>
  <c r="R68" i="13"/>
  <c r="R70" i="13"/>
  <c r="R76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N33" i="13"/>
  <c r="M33" i="13"/>
  <c r="L33" i="13"/>
  <c r="K33" i="13"/>
  <c r="H33" i="13"/>
  <c r="R28" i="13"/>
  <c r="R29" i="13"/>
  <c r="R30" i="13"/>
  <c r="R31" i="13"/>
  <c r="R32" i="13"/>
  <c r="R39" i="13"/>
  <c r="R42" i="13"/>
  <c r="R43" i="13"/>
  <c r="R50" i="13"/>
  <c r="R27" i="13"/>
  <c r="K28" i="13"/>
  <c r="K29" i="13"/>
  <c r="L29" i="13" s="1"/>
  <c r="K30" i="13"/>
  <c r="K31" i="13"/>
  <c r="L31" i="13" s="1"/>
  <c r="K32" i="13"/>
  <c r="R33" i="13"/>
  <c r="L32" i="13"/>
  <c r="G28" i="13"/>
  <c r="H28" i="13" s="1"/>
  <c r="J28" i="13"/>
  <c r="L28" i="13"/>
  <c r="G29" i="13"/>
  <c r="H29" i="13" s="1"/>
  <c r="J29" i="13"/>
  <c r="G30" i="13"/>
  <c r="H30" i="13" s="1"/>
  <c r="J30" i="13"/>
  <c r="L30" i="13"/>
  <c r="G31" i="13"/>
  <c r="H31" i="13"/>
  <c r="M31" i="13" s="1"/>
  <c r="J31" i="13"/>
  <c r="G32" i="13"/>
  <c r="I28" i="13" s="1"/>
  <c r="B84" i="7" s="1"/>
  <c r="H32" i="13"/>
  <c r="J32" i="13"/>
  <c r="M32" i="13"/>
  <c r="N32" i="13"/>
  <c r="G33" i="13"/>
  <c r="J33" i="13"/>
  <c r="G34" i="13"/>
  <c r="J34" i="13"/>
  <c r="G35" i="13"/>
  <c r="J35" i="13"/>
  <c r="G36" i="13"/>
  <c r="J36" i="13"/>
  <c r="G37" i="13"/>
  <c r="J37" i="13"/>
  <c r="G38" i="13"/>
  <c r="J38" i="13"/>
  <c r="G39" i="13"/>
  <c r="J39" i="13"/>
  <c r="G40" i="13"/>
  <c r="J40" i="13"/>
  <c r="G41" i="13"/>
  <c r="J41" i="13"/>
  <c r="G42" i="13"/>
  <c r="J42" i="13"/>
  <c r="G43" i="13"/>
  <c r="J43" i="13"/>
  <c r="G44" i="13"/>
  <c r="J44" i="13"/>
  <c r="G45" i="13"/>
  <c r="J45" i="13"/>
  <c r="G46" i="13"/>
  <c r="J46" i="13"/>
  <c r="G47" i="13"/>
  <c r="J47" i="13"/>
  <c r="G48" i="13"/>
  <c r="J48" i="13"/>
  <c r="G49" i="13"/>
  <c r="J49" i="13"/>
  <c r="G50" i="13"/>
  <c r="J50" i="13"/>
  <c r="G51" i="13"/>
  <c r="J51" i="13"/>
  <c r="G52" i="13"/>
  <c r="J52" i="13"/>
  <c r="G53" i="13"/>
  <c r="J53" i="13"/>
  <c r="G54" i="13"/>
  <c r="J54" i="13"/>
  <c r="G55" i="13"/>
  <c r="J55" i="13"/>
  <c r="G56" i="13"/>
  <c r="J56" i="13"/>
  <c r="G57" i="13"/>
  <c r="J57" i="13"/>
  <c r="G58" i="13"/>
  <c r="J58" i="13"/>
  <c r="G59" i="13"/>
  <c r="J59" i="13"/>
  <c r="G60" i="13"/>
  <c r="J60" i="13"/>
  <c r="G61" i="13"/>
  <c r="J61" i="13"/>
  <c r="G62" i="13"/>
  <c r="J62" i="13"/>
  <c r="G63" i="13"/>
  <c r="J63" i="13"/>
  <c r="G64" i="13"/>
  <c r="J64" i="13"/>
  <c r="G65" i="13"/>
  <c r="J65" i="13"/>
  <c r="G66" i="13"/>
  <c r="J66" i="13"/>
  <c r="G67" i="13"/>
  <c r="J67" i="13"/>
  <c r="G68" i="13"/>
  <c r="J68" i="13"/>
  <c r="G69" i="13"/>
  <c r="J69" i="13"/>
  <c r="G70" i="13"/>
  <c r="J70" i="13"/>
  <c r="G71" i="13"/>
  <c r="J71" i="13"/>
  <c r="G72" i="13"/>
  <c r="J72" i="13"/>
  <c r="G73" i="13"/>
  <c r="J73" i="13"/>
  <c r="G74" i="13"/>
  <c r="J74" i="13"/>
  <c r="G75" i="13"/>
  <c r="J75" i="13"/>
  <c r="G76" i="13"/>
  <c r="J76" i="13"/>
  <c r="G77" i="13"/>
  <c r="J77" i="13"/>
  <c r="I8" i="13"/>
  <c r="I13" i="13"/>
  <c r="I18" i="13"/>
  <c r="I23" i="13"/>
  <c r="I3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3" i="13"/>
  <c r="H4" i="13"/>
  <c r="H5" i="13"/>
  <c r="H6" i="13"/>
  <c r="H7" i="13"/>
  <c r="H8" i="13"/>
  <c r="H9" i="13"/>
  <c r="H10" i="13"/>
  <c r="H11" i="13"/>
  <c r="H12" i="13"/>
  <c r="AD37" i="15" l="1"/>
  <c r="AE37" i="15" s="1"/>
  <c r="AD43" i="15"/>
  <c r="AE43" i="15" s="1"/>
  <c r="AD48" i="15"/>
  <c r="AE48" i="15" s="1"/>
  <c r="AD13" i="15"/>
  <c r="AE13" i="15" s="1"/>
  <c r="AD39" i="15"/>
  <c r="AE39" i="15" s="1"/>
  <c r="S53" i="15"/>
  <c r="AD12" i="15"/>
  <c r="AE12" i="15" s="1"/>
  <c r="AD38" i="15"/>
  <c r="AE38" i="15" s="1"/>
  <c r="T6" i="15"/>
  <c r="T7" i="15"/>
  <c r="T3" i="15"/>
  <c r="T4" i="15"/>
  <c r="T5" i="15"/>
  <c r="AD28" i="15"/>
  <c r="AE28" i="15" s="1"/>
  <c r="AD49" i="15"/>
  <c r="AE49" i="15" s="1"/>
  <c r="AD47" i="15"/>
  <c r="AE47" i="15" s="1"/>
  <c r="AD30" i="15"/>
  <c r="AE30" i="15" s="1"/>
  <c r="AD19" i="15"/>
  <c r="AE19" i="15" s="1"/>
  <c r="AC5" i="15"/>
  <c r="AC8" i="15"/>
  <c r="AC9" i="15"/>
  <c r="AC6" i="15"/>
  <c r="D11" i="15"/>
  <c r="E11" i="15" s="1"/>
  <c r="F11" i="15" s="1"/>
  <c r="AC7" i="15"/>
  <c r="AC3" i="15"/>
  <c r="AC10" i="15"/>
  <c r="AC4" i="15"/>
  <c r="AD32" i="15"/>
  <c r="AE32" i="15" s="1"/>
  <c r="AD34" i="15"/>
  <c r="AE34" i="15" s="1"/>
  <c r="AD24" i="15"/>
  <c r="AE24" i="15" s="1"/>
  <c r="AD33" i="15"/>
  <c r="AE33" i="15" s="1"/>
  <c r="AD42" i="15"/>
  <c r="AE42" i="15" s="1"/>
  <c r="AD11" i="15"/>
  <c r="AE11" i="15" s="1"/>
  <c r="AD29" i="15"/>
  <c r="AE29" i="15" s="1"/>
  <c r="AD26" i="15"/>
  <c r="AE26" i="15" s="1"/>
  <c r="F27" i="15"/>
  <c r="AK22" i="15" s="1"/>
  <c r="AK21" i="15"/>
  <c r="AL21" i="15" s="1"/>
  <c r="AD21" i="15"/>
  <c r="AE21" i="15" s="1"/>
  <c r="I33" i="13"/>
  <c r="I38" i="13" s="1"/>
  <c r="B86" i="7" s="1"/>
  <c r="F36" i="13"/>
  <c r="E37" i="13" s="1"/>
  <c r="B85" i="7"/>
  <c r="R74" i="13"/>
  <c r="R48" i="13"/>
  <c r="R40" i="13"/>
  <c r="M28" i="13"/>
  <c r="N28" i="13"/>
  <c r="M30" i="13"/>
  <c r="N30" i="13"/>
  <c r="M29" i="13"/>
  <c r="N29" i="13"/>
  <c r="N31" i="13"/>
  <c r="T53" i="15" l="1"/>
  <c r="D9" i="15"/>
  <c r="E9" i="15" s="1"/>
  <c r="F9" i="15" s="1"/>
  <c r="AD9" i="15"/>
  <c r="AE9" i="15" s="1"/>
  <c r="D8" i="15"/>
  <c r="E8" i="15" s="1"/>
  <c r="F8" i="15" s="1"/>
  <c r="AD8" i="15"/>
  <c r="AE8" i="15" s="1"/>
  <c r="D10" i="15"/>
  <c r="E10" i="15" s="1"/>
  <c r="F10" i="15" s="1"/>
  <c r="AD10" i="15"/>
  <c r="AE10" i="15" s="1"/>
  <c r="D6" i="15"/>
  <c r="E6" i="15" s="1"/>
  <c r="AD6" i="15"/>
  <c r="D5" i="15"/>
  <c r="E5" i="15" s="1"/>
  <c r="AD5" i="15"/>
  <c r="D3" i="15"/>
  <c r="AD3" i="15"/>
  <c r="D7" i="15"/>
  <c r="E7" i="15" s="1"/>
  <c r="AD7" i="15"/>
  <c r="D4" i="15"/>
  <c r="E4" i="15" s="1"/>
  <c r="AD4" i="15"/>
  <c r="I43" i="13"/>
  <c r="I48" i="13"/>
  <c r="B87" i="7"/>
  <c r="D53" i="15" l="1"/>
  <c r="E53" i="15" s="1"/>
  <c r="F53" i="15" s="1"/>
  <c r="G53" i="15" s="1"/>
  <c r="H53" i="15" s="1"/>
  <c r="H3" i="15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E3" i="15"/>
  <c r="I53" i="13"/>
  <c r="B88" i="7"/>
  <c r="I58" i="13" l="1"/>
  <c r="B89" i="7"/>
  <c r="I63" i="13" l="1"/>
  <c r="B90" i="7"/>
  <c r="I68" i="13" l="1"/>
  <c r="B91" i="7"/>
  <c r="I73" i="13" l="1"/>
  <c r="B93" i="7" s="1"/>
  <c r="B92" i="7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2" i="11"/>
  <c r="B79" i="7" l="1"/>
  <c r="J4" i="13"/>
  <c r="J5" i="13"/>
  <c r="J6" i="13"/>
  <c r="J7" i="13"/>
  <c r="J8" i="13"/>
  <c r="J9" i="13"/>
  <c r="J10" i="13"/>
  <c r="K10" i="13" s="1"/>
  <c r="J11" i="13"/>
  <c r="K11" i="13" s="1"/>
  <c r="J12" i="13"/>
  <c r="K12" i="13" s="1"/>
  <c r="J13" i="13"/>
  <c r="K13" i="13" s="1"/>
  <c r="J14" i="13"/>
  <c r="K14" i="13" s="1"/>
  <c r="J15" i="13"/>
  <c r="K15" i="13" s="1"/>
  <c r="J16" i="13"/>
  <c r="K16" i="13" s="1"/>
  <c r="J17" i="13"/>
  <c r="K17" i="13" s="1"/>
  <c r="J18" i="13"/>
  <c r="K18" i="13" s="1"/>
  <c r="J19" i="13"/>
  <c r="K19" i="13" s="1"/>
  <c r="J20" i="13"/>
  <c r="K20" i="13" s="1"/>
  <c r="J21" i="13"/>
  <c r="K21" i="13" s="1"/>
  <c r="J22" i="13"/>
  <c r="K22" i="13" s="1"/>
  <c r="J23" i="13"/>
  <c r="K23" i="13" s="1"/>
  <c r="J24" i="13"/>
  <c r="K24" i="13" s="1"/>
  <c r="J25" i="13"/>
  <c r="K25" i="13" s="1"/>
  <c r="J26" i="13"/>
  <c r="K26" i="13" s="1"/>
  <c r="J27" i="13"/>
  <c r="K27" i="13" s="1"/>
  <c r="J3" i="13"/>
  <c r="M5" i="14"/>
  <c r="M6" i="14"/>
  <c r="M7" i="14"/>
  <c r="M8" i="14"/>
  <c r="M4" i="14"/>
  <c r="H5" i="14"/>
  <c r="H6" i="14"/>
  <c r="H7" i="14"/>
  <c r="H8" i="14"/>
  <c r="H4" i="14"/>
  <c r="AG21" i="10" l="1"/>
  <c r="AH21" i="10" s="1"/>
  <c r="AG19" i="10"/>
  <c r="AI13" i="10"/>
  <c r="AH13" i="10"/>
  <c r="AM26" i="10"/>
  <c r="AM25" i="10"/>
  <c r="AM24" i="10"/>
  <c r="AM23" i="10"/>
  <c r="AM22" i="10"/>
  <c r="AK26" i="10"/>
  <c r="AK28" i="10"/>
  <c r="B52" i="10" l="1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AR32" i="10" s="1"/>
  <c r="B31" i="10"/>
  <c r="A31" i="10"/>
  <c r="AR31" i="10" s="1"/>
  <c r="B30" i="10"/>
  <c r="A30" i="10"/>
  <c r="AR30" i="10" s="1"/>
  <c r="B29" i="10"/>
  <c r="A29" i="10"/>
  <c r="AR29" i="10" s="1"/>
  <c r="B28" i="10"/>
  <c r="A28" i="10"/>
  <c r="AR28" i="10" s="1"/>
  <c r="B27" i="10"/>
  <c r="A27" i="10"/>
  <c r="AR27" i="10" s="1"/>
  <c r="B26" i="10"/>
  <c r="A26" i="10"/>
  <c r="AR26" i="10" s="1"/>
  <c r="B25" i="10"/>
  <c r="A25" i="10"/>
  <c r="AR25" i="10" s="1"/>
  <c r="B24" i="10"/>
  <c r="A24" i="10"/>
  <c r="AR24" i="10" s="1"/>
  <c r="B23" i="10"/>
  <c r="A23" i="10"/>
  <c r="AR23" i="10" s="1"/>
  <c r="B22" i="10"/>
  <c r="A22" i="10"/>
  <c r="AR22" i="10" s="1"/>
  <c r="B21" i="10"/>
  <c r="A21" i="10"/>
  <c r="AR21" i="10" s="1"/>
  <c r="B20" i="10"/>
  <c r="A20" i="10"/>
  <c r="AR20" i="10" s="1"/>
  <c r="B19" i="10"/>
  <c r="A19" i="10"/>
  <c r="AR19" i="10" s="1"/>
  <c r="B18" i="10"/>
  <c r="A18" i="10"/>
  <c r="AR18" i="10" s="1"/>
  <c r="B17" i="10"/>
  <c r="A17" i="10"/>
  <c r="AR17" i="10" s="1"/>
  <c r="B16" i="10"/>
  <c r="A16" i="10"/>
  <c r="AR16" i="10" s="1"/>
  <c r="B15" i="10"/>
  <c r="A15" i="10"/>
  <c r="AR15" i="10" s="1"/>
  <c r="B14" i="10"/>
  <c r="A14" i="10"/>
  <c r="AR14" i="10" s="1"/>
  <c r="B13" i="10"/>
  <c r="A13" i="10"/>
  <c r="AR13" i="10" s="1"/>
  <c r="B12" i="10"/>
  <c r="A12" i="10"/>
  <c r="AR12" i="10" s="1"/>
  <c r="B11" i="10"/>
  <c r="A11" i="10"/>
  <c r="AR11" i="10" s="1"/>
  <c r="B10" i="10"/>
  <c r="A10" i="10"/>
  <c r="AR10" i="10" s="1"/>
  <c r="B9" i="10"/>
  <c r="A9" i="10"/>
  <c r="AR9" i="10" s="1"/>
  <c r="B8" i="10"/>
  <c r="A8" i="10"/>
  <c r="AR8" i="10" s="1"/>
  <c r="B7" i="10"/>
  <c r="A7" i="10"/>
  <c r="AR7" i="10" s="1"/>
  <c r="B6" i="10"/>
  <c r="A6" i="10"/>
  <c r="AR6" i="10" s="1"/>
  <c r="B5" i="10"/>
  <c r="A5" i="10"/>
  <c r="AR5" i="10" s="1"/>
  <c r="B4" i="10"/>
  <c r="A4" i="10"/>
  <c r="AR4" i="10" s="1"/>
  <c r="B3" i="10"/>
  <c r="A3" i="10"/>
  <c r="AR3" i="10" s="1"/>
  <c r="B2" i="10"/>
  <c r="A2" i="10"/>
  <c r="AN21" i="10" l="1"/>
  <c r="AP21" i="10" s="1"/>
  <c r="AO21" i="10"/>
  <c r="AQ21" i="10" s="1"/>
  <c r="AN37" i="10"/>
  <c r="AP37" i="10" s="1"/>
  <c r="AO37" i="10"/>
  <c r="AQ37" i="10" s="1"/>
  <c r="AO41" i="10"/>
  <c r="AQ41" i="10" s="1"/>
  <c r="AN41" i="10"/>
  <c r="AP41" i="10" s="1"/>
  <c r="AN6" i="10"/>
  <c r="AP6" i="10" s="1"/>
  <c r="AO6" i="10"/>
  <c r="AQ6" i="10" s="1"/>
  <c r="AN10" i="10"/>
  <c r="AP10" i="10" s="1"/>
  <c r="AO10" i="10"/>
  <c r="AQ10" i="10" s="1"/>
  <c r="AN14" i="10"/>
  <c r="AP14" i="10" s="1"/>
  <c r="AO14" i="10"/>
  <c r="AQ14" i="10" s="1"/>
  <c r="AO18" i="10"/>
  <c r="AQ18" i="10" s="1"/>
  <c r="AN18" i="10"/>
  <c r="AP18" i="10" s="1"/>
  <c r="AN22" i="10"/>
  <c r="AP22" i="10" s="1"/>
  <c r="AO22" i="10"/>
  <c r="AQ22" i="10" s="1"/>
  <c r="AN26" i="10"/>
  <c r="AP26" i="10" s="1"/>
  <c r="AO26" i="10"/>
  <c r="AQ26" i="10" s="1"/>
  <c r="AN30" i="10"/>
  <c r="AP30" i="10" s="1"/>
  <c r="AO30" i="10"/>
  <c r="AQ30" i="10" s="1"/>
  <c r="AO34" i="10"/>
  <c r="AQ34" i="10" s="1"/>
  <c r="AN34" i="10"/>
  <c r="AP34" i="10" s="1"/>
  <c r="AN38" i="10"/>
  <c r="AP38" i="10" s="1"/>
  <c r="AO38" i="10"/>
  <c r="AQ38" i="10" s="1"/>
  <c r="AN42" i="10"/>
  <c r="AP42" i="10" s="1"/>
  <c r="AO42" i="10"/>
  <c r="AQ42" i="10" s="1"/>
  <c r="AN46" i="10"/>
  <c r="AP46" i="10" s="1"/>
  <c r="AO46" i="10"/>
  <c r="AQ46" i="10" s="1"/>
  <c r="AO50" i="10"/>
  <c r="AQ50" i="10" s="1"/>
  <c r="AN50" i="10"/>
  <c r="AP50" i="10" s="1"/>
  <c r="AN5" i="10"/>
  <c r="AP5" i="10" s="1"/>
  <c r="AO5" i="10"/>
  <c r="AQ5" i="10" s="1"/>
  <c r="AO17" i="10"/>
  <c r="AQ17" i="10" s="1"/>
  <c r="AN17" i="10"/>
  <c r="AP17" i="10" s="1"/>
  <c r="AO33" i="10"/>
  <c r="AQ33" i="10" s="1"/>
  <c r="AN33" i="10"/>
  <c r="AP33" i="10" s="1"/>
  <c r="AN45" i="10"/>
  <c r="AP45" i="10" s="1"/>
  <c r="AO45" i="10"/>
  <c r="AQ45" i="10" s="1"/>
  <c r="AO3" i="10"/>
  <c r="AQ3" i="10" s="1"/>
  <c r="AN3" i="10"/>
  <c r="AP3" i="10" s="1"/>
  <c r="AN7" i="10"/>
  <c r="AP7" i="10" s="1"/>
  <c r="AO7" i="10"/>
  <c r="AQ7" i="10" s="1"/>
  <c r="AO11" i="10"/>
  <c r="AQ11" i="10" s="1"/>
  <c r="AN11" i="10"/>
  <c r="AP11" i="10" s="1"/>
  <c r="AN15" i="10"/>
  <c r="AP15" i="10" s="1"/>
  <c r="AO15" i="10"/>
  <c r="AQ15" i="10" s="1"/>
  <c r="AO19" i="10"/>
  <c r="AQ19" i="10" s="1"/>
  <c r="AN19" i="10"/>
  <c r="AP19" i="10" s="1"/>
  <c r="AN23" i="10"/>
  <c r="AP23" i="10" s="1"/>
  <c r="AO23" i="10"/>
  <c r="AQ23" i="10" s="1"/>
  <c r="AO27" i="10"/>
  <c r="AQ27" i="10" s="1"/>
  <c r="AN27" i="10"/>
  <c r="AP27" i="10" s="1"/>
  <c r="AN31" i="10"/>
  <c r="AP31" i="10" s="1"/>
  <c r="AO31" i="10"/>
  <c r="AQ31" i="10" s="1"/>
  <c r="AO35" i="10"/>
  <c r="AQ35" i="10" s="1"/>
  <c r="AN35" i="10"/>
  <c r="AP35" i="10" s="1"/>
  <c r="AN39" i="10"/>
  <c r="AP39" i="10" s="1"/>
  <c r="AO39" i="10"/>
  <c r="AQ39" i="10" s="1"/>
  <c r="AO43" i="10"/>
  <c r="AQ43" i="10" s="1"/>
  <c r="AN43" i="10"/>
  <c r="AP43" i="10" s="1"/>
  <c r="AN47" i="10"/>
  <c r="AP47" i="10" s="1"/>
  <c r="AO47" i="10"/>
  <c r="AQ47" i="10" s="1"/>
  <c r="AO51" i="10"/>
  <c r="AQ51" i="10" s="1"/>
  <c r="AN51" i="10"/>
  <c r="AP51" i="10" s="1"/>
  <c r="AN13" i="10"/>
  <c r="AP13" i="10" s="1"/>
  <c r="AO13" i="10"/>
  <c r="AQ13" i="10" s="1"/>
  <c r="AO25" i="10"/>
  <c r="AQ25" i="10" s="1"/>
  <c r="AN25" i="10"/>
  <c r="AP25" i="10" s="1"/>
  <c r="AO4" i="10"/>
  <c r="AQ4" i="10" s="1"/>
  <c r="AN4" i="10"/>
  <c r="AP4" i="10" s="1"/>
  <c r="AO8" i="10"/>
  <c r="AQ8" i="10" s="1"/>
  <c r="AN8" i="10"/>
  <c r="AP8" i="10" s="1"/>
  <c r="AO12" i="10"/>
  <c r="AQ12" i="10" s="1"/>
  <c r="AN12" i="10"/>
  <c r="AP12" i="10" s="1"/>
  <c r="AO16" i="10"/>
  <c r="AQ16" i="10" s="1"/>
  <c r="AN16" i="10"/>
  <c r="AP16" i="10" s="1"/>
  <c r="AO20" i="10"/>
  <c r="AQ20" i="10" s="1"/>
  <c r="AN20" i="10"/>
  <c r="AP20" i="10" s="1"/>
  <c r="AO24" i="10"/>
  <c r="AQ24" i="10" s="1"/>
  <c r="AN24" i="10"/>
  <c r="AP24" i="10" s="1"/>
  <c r="AN28" i="10"/>
  <c r="AP28" i="10" s="1"/>
  <c r="AO28" i="10"/>
  <c r="AQ28" i="10" s="1"/>
  <c r="AO32" i="10"/>
  <c r="AQ32" i="10" s="1"/>
  <c r="AN32" i="10"/>
  <c r="AP32" i="10" s="1"/>
  <c r="AO36" i="10"/>
  <c r="AQ36" i="10" s="1"/>
  <c r="AN36" i="10"/>
  <c r="AP36" i="10" s="1"/>
  <c r="AO40" i="10"/>
  <c r="AQ40" i="10" s="1"/>
  <c r="AN40" i="10"/>
  <c r="AP40" i="10" s="1"/>
  <c r="AO44" i="10"/>
  <c r="AQ44" i="10" s="1"/>
  <c r="AN44" i="10"/>
  <c r="AP44" i="10" s="1"/>
  <c r="AO48" i="10"/>
  <c r="AQ48" i="10" s="1"/>
  <c r="AN48" i="10"/>
  <c r="AP48" i="10" s="1"/>
  <c r="AN52" i="10"/>
  <c r="AP52" i="10" s="1"/>
  <c r="AO52" i="10"/>
  <c r="AQ52" i="10" s="1"/>
  <c r="AO9" i="10"/>
  <c r="AQ9" i="10" s="1"/>
  <c r="AN9" i="10"/>
  <c r="AP9" i="10" s="1"/>
  <c r="AN29" i="10"/>
  <c r="AP29" i="10" s="1"/>
  <c r="AO29" i="10"/>
  <c r="AQ29" i="10" s="1"/>
  <c r="AO49" i="10"/>
  <c r="AQ49" i="10" s="1"/>
  <c r="AN49" i="10"/>
  <c r="AP49" i="10" s="1"/>
  <c r="B7" i="5"/>
  <c r="B8" i="5"/>
  <c r="B9" i="5"/>
  <c r="B10" i="5"/>
  <c r="B11" i="5"/>
  <c r="B12" i="5"/>
  <c r="B13" i="5"/>
  <c r="B14" i="5"/>
  <c r="B15" i="5"/>
  <c r="B16" i="5"/>
  <c r="A4" i="5" l="1"/>
  <c r="A2" i="5"/>
  <c r="E2" i="7" l="1"/>
  <c r="F2" i="7"/>
  <c r="G2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C12" i="7"/>
  <c r="D12" i="7"/>
  <c r="F12" i="7"/>
  <c r="G12" i="7"/>
  <c r="C13" i="7"/>
  <c r="D13" i="7"/>
  <c r="F13" i="7"/>
  <c r="G13" i="7"/>
  <c r="C14" i="7"/>
  <c r="D14" i="7"/>
  <c r="F14" i="7"/>
  <c r="G14" i="7"/>
  <c r="C15" i="7"/>
  <c r="D15" i="7"/>
  <c r="F15" i="7"/>
  <c r="G15" i="7"/>
  <c r="C16" i="7"/>
  <c r="D16" i="7"/>
  <c r="F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A26" i="7"/>
  <c r="A22" i="7"/>
  <c r="A23" i="7"/>
  <c r="A24" i="7"/>
  <c r="A25" i="7"/>
  <c r="A19" i="7"/>
  <c r="A20" i="7"/>
  <c r="A2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G4" i="13"/>
  <c r="G5" i="13"/>
  <c r="G6" i="13"/>
  <c r="G7" i="13"/>
  <c r="B80" i="7" s="1"/>
  <c r="G8" i="13"/>
  <c r="G9" i="13"/>
  <c r="G10" i="13"/>
  <c r="G11" i="13"/>
  <c r="G12" i="13"/>
  <c r="B81" i="7" s="1"/>
  <c r="G13" i="13"/>
  <c r="G14" i="13"/>
  <c r="G15" i="13"/>
  <c r="O15" i="13" s="1"/>
  <c r="E14" i="7" s="1"/>
  <c r="G16" i="13"/>
  <c r="O16" i="13" s="1"/>
  <c r="E15" i="7" s="1"/>
  <c r="G17" i="13"/>
  <c r="G18" i="13"/>
  <c r="P18" i="13" s="1"/>
  <c r="G19" i="13"/>
  <c r="G20" i="13"/>
  <c r="G21" i="13"/>
  <c r="G22" i="13"/>
  <c r="B83" i="7" s="1"/>
  <c r="G23" i="13"/>
  <c r="Q23" i="13" s="1"/>
  <c r="G24" i="13"/>
  <c r="Q24" i="13" s="1"/>
  <c r="G23" i="7" s="1"/>
  <c r="G25" i="13"/>
  <c r="Q25" i="13" s="1"/>
  <c r="G24" i="7" s="1"/>
  <c r="G26" i="13"/>
  <c r="Q26" i="13" s="1"/>
  <c r="G25" i="7" s="1"/>
  <c r="G27" i="13"/>
  <c r="G3" i="13"/>
  <c r="B4" i="13"/>
  <c r="E4" i="13" s="1"/>
  <c r="B5" i="13"/>
  <c r="B6" i="13"/>
  <c r="E6" i="13" s="1"/>
  <c r="B7" i="13"/>
  <c r="B8" i="13"/>
  <c r="F8" i="13" s="1"/>
  <c r="B9" i="13"/>
  <c r="B10" i="13"/>
  <c r="B11" i="13"/>
  <c r="B12" i="13"/>
  <c r="E12" i="13" s="1"/>
  <c r="B13" i="13"/>
  <c r="F13" i="13" s="1"/>
  <c r="B14" i="13"/>
  <c r="B15" i="13"/>
  <c r="E15" i="13" s="1"/>
  <c r="B16" i="13"/>
  <c r="E16" i="13" s="1"/>
  <c r="B17" i="13"/>
  <c r="E17" i="13" s="1"/>
  <c r="B18" i="13"/>
  <c r="B19" i="13"/>
  <c r="E19" i="13" s="1"/>
  <c r="B20" i="13"/>
  <c r="E20" i="13" s="1"/>
  <c r="B21" i="13"/>
  <c r="E21" i="13" s="1"/>
  <c r="B22" i="13"/>
  <c r="B23" i="13"/>
  <c r="F23" i="13" s="1"/>
  <c r="B24" i="13"/>
  <c r="E24" i="13" s="1"/>
  <c r="B25" i="13"/>
  <c r="B26" i="13"/>
  <c r="E26" i="13" s="1"/>
  <c r="B27" i="13"/>
  <c r="E27" i="13" s="1"/>
  <c r="B3" i="13"/>
  <c r="F3" i="13" s="1"/>
  <c r="E9" i="13"/>
  <c r="E10" i="13"/>
  <c r="E8" i="13" l="1"/>
  <c r="O17" i="13"/>
  <c r="E16" i="7" s="1"/>
  <c r="B82" i="7"/>
  <c r="B12" i="7"/>
  <c r="L13" i="13"/>
  <c r="B20" i="7"/>
  <c r="L21" i="13"/>
  <c r="B19" i="7"/>
  <c r="L20" i="13"/>
  <c r="B11" i="7"/>
  <c r="L12" i="13"/>
  <c r="B18" i="7"/>
  <c r="L19" i="13"/>
  <c r="B9" i="7"/>
  <c r="L10" i="13"/>
  <c r="K8" i="13"/>
  <c r="L8" i="13" s="1"/>
  <c r="K3" i="13"/>
  <c r="K9" i="13"/>
  <c r="L9" i="13" s="1"/>
  <c r="K4" i="13"/>
  <c r="L4" i="13" s="1"/>
  <c r="K6" i="13"/>
  <c r="L6" i="13" s="1"/>
  <c r="K7" i="13"/>
  <c r="L7" i="13" s="1"/>
  <c r="K5" i="13"/>
  <c r="B21" i="7"/>
  <c r="L22" i="13"/>
  <c r="B13" i="7"/>
  <c r="L14" i="13"/>
  <c r="B26" i="7"/>
  <c r="L27" i="13"/>
  <c r="B10" i="7"/>
  <c r="L11" i="13"/>
  <c r="F17" i="7"/>
  <c r="G22" i="7"/>
  <c r="P22" i="13"/>
  <c r="F21" i="7" s="1"/>
  <c r="O14" i="13"/>
  <c r="E13" i="7" s="1"/>
  <c r="P21" i="13"/>
  <c r="F20" i="7" s="1"/>
  <c r="O13" i="13"/>
  <c r="P20" i="13"/>
  <c r="F19" i="7" s="1"/>
  <c r="Q27" i="13"/>
  <c r="G26" i="7" s="1"/>
  <c r="P19" i="13"/>
  <c r="F18" i="7" s="1"/>
  <c r="E23" i="13"/>
  <c r="E7" i="13"/>
  <c r="E11" i="13"/>
  <c r="E22" i="13"/>
  <c r="E18" i="13"/>
  <c r="E14" i="13"/>
  <c r="F18" i="13"/>
  <c r="E3" i="13"/>
  <c r="E25" i="13"/>
  <c r="E13" i="13"/>
  <c r="E5" i="13"/>
  <c r="B3" i="3"/>
  <c r="D3" i="3" s="1"/>
  <c r="F3" i="3" s="1"/>
  <c r="B4" i="3"/>
  <c r="D4" i="3" s="1"/>
  <c r="F4" i="3" s="1"/>
  <c r="B5" i="3"/>
  <c r="D5" i="3" s="1"/>
  <c r="F5" i="3" s="1"/>
  <c r="B6" i="3"/>
  <c r="D6" i="3" s="1"/>
  <c r="F6" i="3" s="1"/>
  <c r="B7" i="3"/>
  <c r="D7" i="3" s="1"/>
  <c r="F7" i="3" s="1"/>
  <c r="B8" i="3"/>
  <c r="D8" i="3" s="1"/>
  <c r="F8" i="3" s="1"/>
  <c r="B9" i="3"/>
  <c r="D9" i="3" s="1"/>
  <c r="F9" i="3" s="1"/>
  <c r="B10" i="3"/>
  <c r="D10" i="3" s="1"/>
  <c r="F10" i="3" s="1"/>
  <c r="B11" i="3"/>
  <c r="D11" i="3" s="1"/>
  <c r="F11" i="3" s="1"/>
  <c r="B12" i="3"/>
  <c r="D12" i="3" s="1"/>
  <c r="F12" i="3" s="1"/>
  <c r="B13" i="3"/>
  <c r="D13" i="3" s="1"/>
  <c r="F13" i="3" s="1"/>
  <c r="B14" i="3"/>
  <c r="D14" i="3" s="1"/>
  <c r="F14" i="3" s="1"/>
  <c r="B15" i="3"/>
  <c r="D15" i="3" s="1"/>
  <c r="F15" i="3" s="1"/>
  <c r="B16" i="3"/>
  <c r="D16" i="3" s="1"/>
  <c r="F16" i="3" s="1"/>
  <c r="B17" i="3"/>
  <c r="D17" i="3" s="1"/>
  <c r="F17" i="3" s="1"/>
  <c r="B2" i="3"/>
  <c r="D2" i="3" s="1"/>
  <c r="F2" i="3" s="1"/>
  <c r="B16" i="7" l="1"/>
  <c r="L17" i="13"/>
  <c r="B24" i="7"/>
  <c r="L25" i="13"/>
  <c r="L3" i="13"/>
  <c r="B2" i="7"/>
  <c r="B22" i="7"/>
  <c r="L23" i="13"/>
  <c r="B14" i="7"/>
  <c r="L15" i="13"/>
  <c r="B23" i="7"/>
  <c r="L24" i="13"/>
  <c r="L5" i="13"/>
  <c r="B4" i="7"/>
  <c r="B17" i="7"/>
  <c r="L18" i="13"/>
  <c r="B15" i="7"/>
  <c r="L16" i="13"/>
  <c r="B3" i="7"/>
  <c r="B25" i="7"/>
  <c r="L26" i="13"/>
  <c r="N5" i="13"/>
  <c r="E28" i="13"/>
  <c r="M12" i="13"/>
  <c r="C11" i="7" s="1"/>
  <c r="N12" i="13"/>
  <c r="D11" i="7" s="1"/>
  <c r="E12" i="7"/>
  <c r="B5" i="7"/>
  <c r="M5" i="13"/>
  <c r="F28" i="13"/>
  <c r="A14" i="5"/>
  <c r="A15" i="5"/>
  <c r="A16" i="5"/>
  <c r="A7" i="5"/>
  <c r="A8" i="5"/>
  <c r="A9" i="5"/>
  <c r="A10" i="5"/>
  <c r="A11" i="5"/>
  <c r="A12" i="5"/>
  <c r="A13" i="5"/>
  <c r="B11" i="12"/>
  <c r="D11" i="12" s="1"/>
  <c r="B10" i="12"/>
  <c r="D10" i="12" s="1"/>
  <c r="B9" i="12"/>
  <c r="D9" i="12" s="1"/>
  <c r="B8" i="12"/>
  <c r="D8" i="12" s="1"/>
  <c r="B7" i="12"/>
  <c r="D7" i="12" s="1"/>
  <c r="B6" i="12"/>
  <c r="D6" i="12" s="1"/>
  <c r="B5" i="12"/>
  <c r="D5" i="12" s="1"/>
  <c r="B4" i="12"/>
  <c r="D4" i="12" s="1"/>
  <c r="F4" i="12" s="1"/>
  <c r="G4" i="12" s="1"/>
  <c r="H4" i="12" s="1"/>
  <c r="I4" i="12" s="1"/>
  <c r="B3" i="12"/>
  <c r="D3" i="12" s="1"/>
  <c r="B2" i="12"/>
  <c r="D2" i="12" s="1"/>
  <c r="M8" i="10"/>
  <c r="V8" i="10"/>
  <c r="W8" i="10"/>
  <c r="M9" i="10"/>
  <c r="V9" i="10"/>
  <c r="W9" i="10"/>
  <c r="M10" i="10"/>
  <c r="V10" i="10"/>
  <c r="W10" i="10"/>
  <c r="M11" i="10"/>
  <c r="V11" i="10"/>
  <c r="W11" i="10"/>
  <c r="M12" i="10"/>
  <c r="V12" i="10"/>
  <c r="W12" i="10"/>
  <c r="M13" i="10"/>
  <c r="V13" i="10"/>
  <c r="W13" i="10"/>
  <c r="M14" i="10"/>
  <c r="V14" i="10"/>
  <c r="W14" i="10"/>
  <c r="M15" i="10"/>
  <c r="V15" i="10"/>
  <c r="W15" i="10"/>
  <c r="M16" i="10"/>
  <c r="V16" i="10"/>
  <c r="W16" i="10"/>
  <c r="M17" i="10"/>
  <c r="V17" i="10"/>
  <c r="W17" i="10"/>
  <c r="M18" i="10"/>
  <c r="V18" i="10"/>
  <c r="W18" i="10"/>
  <c r="M19" i="10"/>
  <c r="V19" i="10"/>
  <c r="W19" i="10"/>
  <c r="M20" i="10"/>
  <c r="V20" i="10"/>
  <c r="W20" i="10"/>
  <c r="M21" i="10"/>
  <c r="V21" i="10"/>
  <c r="W21" i="10"/>
  <c r="M22" i="10"/>
  <c r="V22" i="10"/>
  <c r="W22" i="10"/>
  <c r="M23" i="10"/>
  <c r="V23" i="10"/>
  <c r="W23" i="10"/>
  <c r="M24" i="10"/>
  <c r="V24" i="10"/>
  <c r="W24" i="10"/>
  <c r="M25" i="10"/>
  <c r="V25" i="10"/>
  <c r="W25" i="10"/>
  <c r="M26" i="10"/>
  <c r="V26" i="10"/>
  <c r="W26" i="10"/>
  <c r="M27" i="10"/>
  <c r="V27" i="10"/>
  <c r="W27" i="10"/>
  <c r="M28" i="10"/>
  <c r="V28" i="10"/>
  <c r="W28" i="10"/>
  <c r="M29" i="10"/>
  <c r="V29" i="10"/>
  <c r="W29" i="10"/>
  <c r="M30" i="10"/>
  <c r="V30" i="10"/>
  <c r="W30" i="10"/>
  <c r="M31" i="10"/>
  <c r="V31" i="10"/>
  <c r="W31" i="10"/>
  <c r="M32" i="10"/>
  <c r="V32" i="10"/>
  <c r="W32" i="10"/>
  <c r="M33" i="10"/>
  <c r="V33" i="10"/>
  <c r="W33" i="10"/>
  <c r="M34" i="10"/>
  <c r="V34" i="10"/>
  <c r="W34" i="10"/>
  <c r="M35" i="10"/>
  <c r="V35" i="10"/>
  <c r="W35" i="10"/>
  <c r="M36" i="10"/>
  <c r="V36" i="10"/>
  <c r="W36" i="10"/>
  <c r="M37" i="10"/>
  <c r="V37" i="10"/>
  <c r="W37" i="10"/>
  <c r="M38" i="10"/>
  <c r="V38" i="10"/>
  <c r="W38" i="10"/>
  <c r="M39" i="10"/>
  <c r="V39" i="10"/>
  <c r="W39" i="10"/>
  <c r="M40" i="10"/>
  <c r="V40" i="10"/>
  <c r="W40" i="10"/>
  <c r="M41" i="10"/>
  <c r="V41" i="10"/>
  <c r="W41" i="10"/>
  <c r="M42" i="10"/>
  <c r="V42" i="10"/>
  <c r="W42" i="10"/>
  <c r="M43" i="10"/>
  <c r="V43" i="10"/>
  <c r="W43" i="10"/>
  <c r="M44" i="10"/>
  <c r="V44" i="10"/>
  <c r="W44" i="10"/>
  <c r="M45" i="10"/>
  <c r="V45" i="10"/>
  <c r="W45" i="10"/>
  <c r="M46" i="10"/>
  <c r="V46" i="10"/>
  <c r="W46" i="10"/>
  <c r="M47" i="10"/>
  <c r="V47" i="10"/>
  <c r="W47" i="10"/>
  <c r="M48" i="10"/>
  <c r="V48" i="10"/>
  <c r="W48" i="10"/>
  <c r="M49" i="10"/>
  <c r="V49" i="10"/>
  <c r="W49" i="10"/>
  <c r="M50" i="10"/>
  <c r="V50" i="10"/>
  <c r="W50" i="10"/>
  <c r="M51" i="10"/>
  <c r="V51" i="10"/>
  <c r="W51" i="10"/>
  <c r="E52" i="10"/>
  <c r="M52" i="10"/>
  <c r="V52" i="10"/>
  <c r="W52" i="10"/>
  <c r="Y1" i="10"/>
  <c r="M4" i="10"/>
  <c r="M5" i="10"/>
  <c r="M6" i="10"/>
  <c r="M7" i="10"/>
  <c r="M3" i="10"/>
  <c r="M4" i="13" l="1"/>
  <c r="C3" i="7" s="1"/>
  <c r="N4" i="13"/>
  <c r="D3" i="7" s="1"/>
  <c r="N3" i="13"/>
  <c r="D2" i="7" s="1"/>
  <c r="M3" i="13"/>
  <c r="C2" i="7" s="1"/>
  <c r="E29" i="13"/>
  <c r="E31" i="13" s="1"/>
  <c r="C13" i="5"/>
  <c r="F8" i="12"/>
  <c r="G8" i="12" s="1"/>
  <c r="H8" i="12" s="1"/>
  <c r="I8" i="12" s="1"/>
  <c r="F2" i="12"/>
  <c r="C7" i="5"/>
  <c r="F10" i="12"/>
  <c r="G10" i="12" s="1"/>
  <c r="H10" i="12" s="1"/>
  <c r="I10" i="12" s="1"/>
  <c r="C15" i="5"/>
  <c r="C14" i="5"/>
  <c r="F9" i="12"/>
  <c r="G9" i="12" s="1"/>
  <c r="H9" i="12" s="1"/>
  <c r="I9" i="12" s="1"/>
  <c r="F3" i="12"/>
  <c r="G3" i="12" s="1"/>
  <c r="H3" i="12" s="1"/>
  <c r="I3" i="12" s="1"/>
  <c r="C8" i="5"/>
  <c r="E11" i="12"/>
  <c r="F11" i="12"/>
  <c r="G11" i="12" s="1"/>
  <c r="H11" i="12" s="1"/>
  <c r="I11" i="12" s="1"/>
  <c r="C16" i="5"/>
  <c r="E5" i="12"/>
  <c r="C10" i="5"/>
  <c r="F5" i="12"/>
  <c r="G5" i="12" s="1"/>
  <c r="H5" i="12" s="1"/>
  <c r="I5" i="12" s="1"/>
  <c r="C11" i="5"/>
  <c r="F6" i="12"/>
  <c r="G6" i="12" s="1"/>
  <c r="H6" i="12" s="1"/>
  <c r="I6" i="12" s="1"/>
  <c r="C12" i="5"/>
  <c r="F7" i="12"/>
  <c r="G7" i="12" s="1"/>
  <c r="H7" i="12" s="1"/>
  <c r="I7" i="12" s="1"/>
  <c r="C4" i="7"/>
  <c r="M6" i="13"/>
  <c r="C5" i="7" s="1"/>
  <c r="N6" i="13"/>
  <c r="D5" i="7" s="1"/>
  <c r="B6" i="7"/>
  <c r="C9" i="5"/>
  <c r="D4" i="7"/>
  <c r="F30" i="13"/>
  <c r="E30" i="13"/>
  <c r="D12" i="12"/>
  <c r="D13" i="12" s="1"/>
  <c r="E10" i="12"/>
  <c r="E6" i="12"/>
  <c r="E9" i="12"/>
  <c r="G2" i="12"/>
  <c r="H2" i="12" s="1"/>
  <c r="I2" i="12" s="1"/>
  <c r="E4" i="12"/>
  <c r="E8" i="12"/>
  <c r="E3" i="12"/>
  <c r="E7" i="12"/>
  <c r="E2" i="12"/>
  <c r="Y25" i="10"/>
  <c r="AB25" i="10" s="1"/>
  <c r="Y47" i="10"/>
  <c r="Y33" i="10"/>
  <c r="AB33" i="10" s="1"/>
  <c r="Y36" i="10"/>
  <c r="Y18" i="10"/>
  <c r="Y44" i="10"/>
  <c r="Y48" i="10"/>
  <c r="Y39" i="10"/>
  <c r="Y30" i="10"/>
  <c r="AB30" i="10" s="1"/>
  <c r="Y10" i="10"/>
  <c r="Y43" i="10"/>
  <c r="Y42" i="10"/>
  <c r="Y37" i="10"/>
  <c r="Y28" i="10"/>
  <c r="AB28" i="10" s="1"/>
  <c r="Y15" i="10"/>
  <c r="Y13" i="10"/>
  <c r="Y45" i="10"/>
  <c r="Y49" i="10"/>
  <c r="Y46" i="10"/>
  <c r="Y34" i="10"/>
  <c r="AB34" i="10" s="1"/>
  <c r="Y9" i="10"/>
  <c r="Y50" i="10"/>
  <c r="Y38" i="10"/>
  <c r="Y35" i="10"/>
  <c r="Y32" i="10"/>
  <c r="AB32" i="10" s="1"/>
  <c r="Y41" i="10"/>
  <c r="Y40" i="10"/>
  <c r="Y22" i="10"/>
  <c r="Y21" i="10"/>
  <c r="Y14" i="10"/>
  <c r="Y52" i="10"/>
  <c r="Y51" i="10"/>
  <c r="Y26" i="10"/>
  <c r="AB26" i="10" s="1"/>
  <c r="Y24" i="10"/>
  <c r="AB24" i="10" s="1"/>
  <c r="Y29" i="10"/>
  <c r="AB29" i="10" s="1"/>
  <c r="Y27" i="10"/>
  <c r="AB27" i="10" s="1"/>
  <c r="Y19" i="10"/>
  <c r="Y11" i="10"/>
  <c r="Y23" i="10"/>
  <c r="AB23" i="10" s="1"/>
  <c r="Y16" i="10"/>
  <c r="Y12" i="10"/>
  <c r="Y20" i="10"/>
  <c r="Y31" i="10"/>
  <c r="AB31" i="10" s="1"/>
  <c r="Y17" i="10"/>
  <c r="Y8" i="10"/>
  <c r="F31" i="13" l="1"/>
  <c r="AA10" i="10"/>
  <c r="AA32" i="10"/>
  <c r="AA28" i="10"/>
  <c r="AA18" i="10"/>
  <c r="B8" i="7"/>
  <c r="B7" i="7"/>
  <c r="F12" i="12"/>
  <c r="M7" i="13"/>
  <c r="C6" i="7" s="1"/>
  <c r="N7" i="13"/>
  <c r="D6" i="7" s="1"/>
  <c r="E12" i="12"/>
  <c r="E13" i="12" s="1"/>
  <c r="AA46" i="10"/>
  <c r="AA15" i="10"/>
  <c r="AA43" i="10"/>
  <c r="AA39" i="10"/>
  <c r="AA44" i="10"/>
  <c r="AA33" i="10"/>
  <c r="AA25" i="10"/>
  <c r="AA14" i="10"/>
  <c r="AA40" i="10"/>
  <c r="AA50" i="10"/>
  <c r="AA49" i="10"/>
  <c r="AA41" i="10"/>
  <c r="AA35" i="10"/>
  <c r="AA9" i="10"/>
  <c r="AA45" i="10"/>
  <c r="AA37" i="10"/>
  <c r="AA48" i="10"/>
  <c r="AA21" i="10"/>
  <c r="AA38" i="10"/>
  <c r="AA34" i="10"/>
  <c r="AA13" i="10"/>
  <c r="AA42" i="10"/>
  <c r="AA30" i="10"/>
  <c r="AA36" i="10"/>
  <c r="AA47" i="10"/>
  <c r="AA22" i="10"/>
  <c r="AA29" i="10"/>
  <c r="AA26" i="10"/>
  <c r="AA23" i="10"/>
  <c r="AA19" i="10"/>
  <c r="AA24" i="10"/>
  <c r="AA52" i="10"/>
  <c r="AD52" i="10"/>
  <c r="AE52" i="10" s="1"/>
  <c r="AA31" i="10"/>
  <c r="AA20" i="10"/>
  <c r="AA8" i="10"/>
  <c r="AA17" i="10"/>
  <c r="AA12" i="10"/>
  <c r="AA16" i="10"/>
  <c r="AA11" i="10"/>
  <c r="AA27" i="10"/>
  <c r="AA51" i="10"/>
  <c r="M8" i="13" l="1"/>
  <c r="C7" i="7" s="1"/>
  <c r="N8" i="13"/>
  <c r="D7" i="7" s="1"/>
  <c r="G12" i="12"/>
  <c r="F13" i="12"/>
  <c r="V5" i="10"/>
  <c r="W5" i="10"/>
  <c r="V6" i="10"/>
  <c r="W6" i="10"/>
  <c r="V7" i="10"/>
  <c r="W7" i="10"/>
  <c r="V3" i="10"/>
  <c r="W4" i="10"/>
  <c r="W3" i="10"/>
  <c r="V4" i="10"/>
  <c r="H12" i="12" l="1"/>
  <c r="G13" i="12"/>
  <c r="M9" i="13"/>
  <c r="N9" i="13"/>
  <c r="C8" i="7" l="1"/>
  <c r="M10" i="13"/>
  <c r="C9" i="7" s="1"/>
  <c r="N10" i="13"/>
  <c r="D9" i="7" s="1"/>
  <c r="I12" i="12"/>
  <c r="I13" i="12" s="1"/>
  <c r="H13" i="12"/>
  <c r="D8" i="7"/>
  <c r="B53" i="10"/>
  <c r="Y3" i="10"/>
  <c r="Y5" i="10"/>
  <c r="Y7" i="10"/>
  <c r="Y4" i="10"/>
  <c r="Y6" i="10"/>
  <c r="AA4" i="10" l="1"/>
  <c r="M11" i="13"/>
  <c r="N11" i="13"/>
  <c r="Y53" i="10"/>
  <c r="Z3" i="10"/>
  <c r="AA5" i="10"/>
  <c r="AA7" i="10"/>
  <c r="AA3" i="10"/>
  <c r="AA6" i="10"/>
  <c r="D10" i="7" l="1"/>
  <c r="C10" i="7"/>
  <c r="Z4" i="10"/>
  <c r="Z5" i="10" l="1"/>
  <c r="Z6" i="10" s="1"/>
  <c r="Z7" i="10" l="1"/>
  <c r="Z8" i="10" l="1"/>
  <c r="Z9" i="10" l="1"/>
  <c r="Z10" i="10" l="1"/>
  <c r="Z11" i="10" l="1"/>
  <c r="Z12" i="10" l="1"/>
  <c r="Z13" i="10" l="1"/>
  <c r="Z14" i="10" l="1"/>
  <c r="Z15" i="10" l="1"/>
  <c r="E2" i="3"/>
  <c r="E3" i="3" l="1"/>
  <c r="Z16" i="10"/>
  <c r="E4" i="3" l="1"/>
  <c r="Z17" i="10"/>
  <c r="E5" i="3" l="1"/>
  <c r="Z18" i="10"/>
  <c r="E6" i="3" l="1"/>
  <c r="Z19" i="10"/>
  <c r="E7" i="3" l="1"/>
  <c r="G7" i="3"/>
  <c r="Z20" i="10"/>
  <c r="Y25" i="3"/>
  <c r="Y29" i="3" s="1"/>
  <c r="Z29" i="3" s="1"/>
  <c r="E8" i="3" l="1"/>
  <c r="G8" i="3"/>
  <c r="Z21" i="10"/>
  <c r="Y28" i="3"/>
  <c r="Z28" i="3" s="1"/>
  <c r="Y27" i="3"/>
  <c r="Z27" i="3" s="1"/>
  <c r="Y30" i="3"/>
  <c r="Z30" i="3" s="1"/>
  <c r="V24" i="3"/>
  <c r="V29" i="3" s="1"/>
  <c r="Z21" i="3"/>
  <c r="Z20" i="3"/>
  <c r="Z19" i="3"/>
  <c r="E9" i="3" l="1"/>
  <c r="G9" i="3"/>
  <c r="Z22" i="10"/>
  <c r="V27" i="3"/>
  <c r="V30" i="3"/>
  <c r="V28" i="3"/>
  <c r="E10" i="3" l="1"/>
  <c r="G10" i="3"/>
  <c r="Z23" i="10"/>
  <c r="E11" i="3" l="1"/>
  <c r="G11" i="3"/>
  <c r="Z24" i="10"/>
  <c r="E12" i="3" l="1"/>
  <c r="G12" i="3"/>
  <c r="Z25" i="10"/>
  <c r="E13" i="3" l="1"/>
  <c r="G13" i="3"/>
  <c r="Z26" i="10"/>
  <c r="E14" i="3" l="1"/>
  <c r="G14" i="3"/>
  <c r="Z27" i="10"/>
  <c r="E15" i="3" l="1"/>
  <c r="G15" i="3"/>
  <c r="Z28" i="10"/>
  <c r="E16" i="3" l="1"/>
  <c r="G16" i="3"/>
  <c r="Z29" i="10"/>
  <c r="E17" i="3" l="1"/>
  <c r="E18" i="3" s="1"/>
  <c r="D18" i="3"/>
  <c r="Z30" i="10"/>
  <c r="B52" i="1"/>
  <c r="G17" i="3" l="1"/>
  <c r="F18" i="3"/>
  <c r="Z31" i="10"/>
  <c r="G24" i="1"/>
  <c r="H24" i="1" s="1"/>
  <c r="I24" i="1" s="1"/>
  <c r="J24" i="1" s="1"/>
  <c r="K24" i="1" s="1"/>
  <c r="Z32" i="10" l="1"/>
  <c r="M31" i="1"/>
  <c r="M24" i="1"/>
  <c r="C16" i="1"/>
  <c r="B17" i="1"/>
  <c r="B18" i="1" s="1"/>
  <c r="B19" i="1" s="1"/>
  <c r="B20" i="1" s="1"/>
  <c r="Z33" i="10" l="1"/>
  <c r="Z34" i="10" l="1"/>
  <c r="H26" i="1"/>
  <c r="I26" i="1" s="1"/>
  <c r="Z35" i="10" l="1"/>
  <c r="J26" i="1"/>
  <c r="Z36" i="10" l="1"/>
  <c r="K26" i="1"/>
  <c r="M26" i="1"/>
  <c r="Z37" i="10" l="1"/>
  <c r="Z38" i="10" l="1"/>
  <c r="E51" i="1"/>
  <c r="E50" i="1"/>
  <c r="Z39" i="10" l="1"/>
  <c r="C17" i="1"/>
  <c r="C18" i="1" s="1"/>
  <c r="C19" i="1" s="1"/>
  <c r="C20" i="1" s="1"/>
  <c r="E7" i="1"/>
  <c r="F7" i="1"/>
  <c r="F8" i="1" s="1"/>
  <c r="F9" i="1" s="1"/>
  <c r="F10" i="1" s="1"/>
  <c r="E8" i="1"/>
  <c r="E9" i="1" s="1"/>
  <c r="E10" i="1" s="1"/>
  <c r="D7" i="1"/>
  <c r="D8" i="1" s="1"/>
  <c r="D9" i="1" s="1"/>
  <c r="D10" i="1" s="1"/>
  <c r="C7" i="1"/>
  <c r="C8" i="1" s="1"/>
  <c r="C9" i="1" s="1"/>
  <c r="C10" i="1" s="1"/>
  <c r="B7" i="1"/>
  <c r="G4" i="1"/>
  <c r="E4" i="1"/>
  <c r="E3" i="1" s="1"/>
  <c r="F4" i="1"/>
  <c r="F3" i="1" s="1"/>
  <c r="C4" i="1"/>
  <c r="D4" i="1"/>
  <c r="Z40" i="10" l="1"/>
  <c r="G3" i="1"/>
  <c r="D16" i="1"/>
  <c r="H4" i="1"/>
  <c r="I4" i="1"/>
  <c r="C24" i="1"/>
  <c r="Z41" i="10" l="1"/>
  <c r="H3" i="1"/>
  <c r="I3" i="1"/>
  <c r="D17" i="1"/>
  <c r="D18" i="1" s="1"/>
  <c r="D19" i="1" s="1"/>
  <c r="D20" i="1" s="1"/>
  <c r="E16" i="1"/>
  <c r="J4" i="1"/>
  <c r="D24" i="1"/>
  <c r="Z42" i="10" l="1"/>
  <c r="J3" i="1"/>
  <c r="J2" i="1" s="1"/>
  <c r="F16" i="1"/>
  <c r="F17" i="1" s="1"/>
  <c r="F18" i="1" s="1"/>
  <c r="F19" i="1" s="1"/>
  <c r="F20" i="1" s="1"/>
  <c r="E17" i="1"/>
  <c r="E18" i="1" s="1"/>
  <c r="E19" i="1" s="1"/>
  <c r="E20" i="1" s="1"/>
  <c r="K4" i="1"/>
  <c r="E24" i="1"/>
  <c r="Z43" i="10" l="1"/>
  <c r="K3" i="1"/>
  <c r="K2" i="1" s="1"/>
  <c r="L4" i="1"/>
  <c r="F24" i="1"/>
  <c r="B25" i="1" s="1"/>
  <c r="C25" i="1" l="1"/>
  <c r="D25" i="1" s="1"/>
  <c r="G25" i="1"/>
  <c r="L24" i="1"/>
  <c r="N24" i="1" s="1"/>
  <c r="Z44" i="10"/>
  <c r="L3" i="1"/>
  <c r="L2" i="1" s="1"/>
  <c r="M4" i="1"/>
  <c r="H25" i="1" l="1"/>
  <c r="I25" i="1" s="1"/>
  <c r="J25" i="1" s="1"/>
  <c r="K25" i="1" s="1"/>
  <c r="E25" i="1"/>
  <c r="F25" i="1" s="1"/>
  <c r="B26" i="1"/>
  <c r="Z45" i="10"/>
  <c r="M3" i="1"/>
  <c r="M2" i="1" s="1"/>
  <c r="M12" i="1"/>
  <c r="N12" i="1" s="1"/>
  <c r="O12" i="1" s="1"/>
  <c r="P12" i="1" s="1"/>
  <c r="N4" i="1"/>
  <c r="M25" i="1" l="1"/>
  <c r="B31" i="1"/>
  <c r="B27" i="1"/>
  <c r="C26" i="1"/>
  <c r="D26" i="1" s="1"/>
  <c r="E26" i="1" s="1"/>
  <c r="L25" i="1"/>
  <c r="N25" i="1" s="1"/>
  <c r="Z46" i="10"/>
  <c r="G33" i="1"/>
  <c r="H28" i="1"/>
  <c r="G32" i="1"/>
  <c r="H27" i="1"/>
  <c r="N3" i="1"/>
  <c r="N2" i="1" s="1"/>
  <c r="O4" i="1"/>
  <c r="C27" i="1" l="1"/>
  <c r="D27" i="1" s="1"/>
  <c r="B32" i="1"/>
  <c r="B28" i="1"/>
  <c r="C31" i="1"/>
  <c r="D31" i="1" s="1"/>
  <c r="E31" i="1" s="1"/>
  <c r="F31" i="1" s="1"/>
  <c r="Z47" i="10"/>
  <c r="I28" i="1"/>
  <c r="G34" i="1"/>
  <c r="H33" i="1"/>
  <c r="H32" i="1"/>
  <c r="G53" i="1"/>
  <c r="I27" i="1"/>
  <c r="O3" i="1"/>
  <c r="O2" i="1" s="1"/>
  <c r="E27" i="1"/>
  <c r="F26" i="1"/>
  <c r="P4" i="1"/>
  <c r="L31" i="1" l="1"/>
  <c r="N31" i="1" s="1"/>
  <c r="C28" i="1"/>
  <c r="D28" i="1" s="1"/>
  <c r="B33" i="1"/>
  <c r="G52" i="1"/>
  <c r="C32" i="1"/>
  <c r="D32" i="1" s="1"/>
  <c r="E32" i="1" s="1"/>
  <c r="Z48" i="10"/>
  <c r="I32" i="1"/>
  <c r="J27" i="1"/>
  <c r="I33" i="1"/>
  <c r="H34" i="1"/>
  <c r="G35" i="1"/>
  <c r="J28" i="1"/>
  <c r="P3" i="1"/>
  <c r="P2" i="1" s="1"/>
  <c r="E28" i="1"/>
  <c r="F27" i="1"/>
  <c r="L26" i="1"/>
  <c r="N26" i="1" s="1"/>
  <c r="C33" i="1" l="1"/>
  <c r="D33" i="1" s="1"/>
  <c r="E33" i="1" s="1"/>
  <c r="F33" i="1" s="1"/>
  <c r="B34" i="1"/>
  <c r="Z49" i="10"/>
  <c r="F32" i="1"/>
  <c r="L32" i="1" s="1"/>
  <c r="G38" i="1"/>
  <c r="H35" i="1"/>
  <c r="K27" i="1"/>
  <c r="I34" i="1"/>
  <c r="K28" i="1"/>
  <c r="J32" i="1"/>
  <c r="J33" i="1"/>
  <c r="L27" i="1"/>
  <c r="F28" i="1"/>
  <c r="B35" i="1" l="1"/>
  <c r="C34" i="1"/>
  <c r="D34" i="1" s="1"/>
  <c r="E34" i="1" s="1"/>
  <c r="F34" i="1" s="1"/>
  <c r="Z50" i="10"/>
  <c r="M28" i="1"/>
  <c r="K32" i="1"/>
  <c r="I35" i="1"/>
  <c r="H38" i="1"/>
  <c r="G39" i="1"/>
  <c r="J34" i="1"/>
  <c r="K33" i="1"/>
  <c r="M27" i="1"/>
  <c r="N27" i="1" s="1"/>
  <c r="L28" i="1"/>
  <c r="N28" i="1" s="1"/>
  <c r="B38" i="1" l="1"/>
  <c r="C35" i="1"/>
  <c r="D35" i="1" s="1"/>
  <c r="E35" i="1" s="1"/>
  <c r="F35" i="1" s="1"/>
  <c r="Z51" i="10"/>
  <c r="G40" i="1"/>
  <c r="M33" i="1"/>
  <c r="I38" i="1"/>
  <c r="H39" i="1"/>
  <c r="M32" i="1"/>
  <c r="N32" i="1" s="1"/>
  <c r="J35" i="1"/>
  <c r="K34" i="1"/>
  <c r="L33" i="1"/>
  <c r="C38" i="1" l="1"/>
  <c r="B39" i="1"/>
  <c r="B40" i="1" s="1"/>
  <c r="B41" i="1" s="1"/>
  <c r="Z52" i="10"/>
  <c r="N33" i="1"/>
  <c r="J38" i="1"/>
  <c r="I39" i="1"/>
  <c r="K35" i="1"/>
  <c r="H40" i="1"/>
  <c r="G41" i="1"/>
  <c r="M34" i="1"/>
  <c r="C39" i="1" l="1"/>
  <c r="C40" i="1" s="1"/>
  <c r="D38" i="1"/>
  <c r="G42" i="1"/>
  <c r="I40" i="1"/>
  <c r="C41" i="1"/>
  <c r="K38" i="1"/>
  <c r="J39" i="1"/>
  <c r="B42" i="1"/>
  <c r="H41" i="1"/>
  <c r="M35" i="1"/>
  <c r="E38" i="1" l="1"/>
  <c r="D39" i="1"/>
  <c r="D40" i="1" s="1"/>
  <c r="D41" i="1" s="1"/>
  <c r="C42" i="1"/>
  <c r="I41" i="1"/>
  <c r="K39" i="1"/>
  <c r="M38" i="1"/>
  <c r="H42" i="1"/>
  <c r="J40" i="1"/>
  <c r="F38" i="1" l="1"/>
  <c r="E39" i="1"/>
  <c r="E40" i="1" s="1"/>
  <c r="E41" i="1" s="1"/>
  <c r="M39" i="1"/>
  <c r="K40" i="1"/>
  <c r="I42" i="1"/>
  <c r="D42" i="1"/>
  <c r="J41" i="1"/>
  <c r="F39" i="1" l="1"/>
  <c r="L38" i="1"/>
  <c r="N38" i="1" s="1"/>
  <c r="M40" i="1"/>
  <c r="K41" i="1"/>
  <c r="J42" i="1"/>
  <c r="E42" i="1"/>
  <c r="L34" i="1"/>
  <c r="N34" i="1" s="1"/>
  <c r="L39" i="1" l="1"/>
  <c r="N39" i="1" s="1"/>
  <c r="F40" i="1"/>
  <c r="M41" i="1"/>
  <c r="K42" i="1"/>
  <c r="L40" i="1" l="1"/>
  <c r="N40" i="1" s="1"/>
  <c r="F41" i="1"/>
  <c r="M42" i="1"/>
  <c r="F42" i="1" l="1"/>
  <c r="L42" i="1" s="1"/>
  <c r="N42" i="1" s="1"/>
  <c r="L41" i="1"/>
  <c r="N41" i="1" s="1"/>
  <c r="L35" i="1"/>
  <c r="N35" i="1" s="1"/>
  <c r="N10" i="10" l="1"/>
  <c r="P10" i="10" s="1"/>
  <c r="N9" i="10"/>
  <c r="P9" i="10" s="1"/>
  <c r="H10" i="14" l="1"/>
  <c r="M10" i="14" s="1"/>
  <c r="Q9" i="10"/>
  <c r="R9" i="10"/>
  <c r="S9" i="10"/>
  <c r="H11" i="14"/>
  <c r="M11" i="14" s="1"/>
  <c r="R10" i="10"/>
  <c r="Q10" i="10"/>
  <c r="S10" i="10"/>
  <c r="N8" i="10"/>
  <c r="N11" i="10"/>
  <c r="P11" i="10" s="1"/>
  <c r="N12" i="10"/>
  <c r="P12" i="10" s="1"/>
  <c r="H12" i="14" l="1"/>
  <c r="M12" i="14" s="1"/>
  <c r="S11" i="10"/>
  <c r="R11" i="10"/>
  <c r="Q11" i="10"/>
  <c r="T10" i="10"/>
  <c r="S5" i="10"/>
  <c r="T9" i="10"/>
  <c r="S4" i="10"/>
  <c r="O8" i="10"/>
  <c r="P8" i="10"/>
  <c r="H13" i="14"/>
  <c r="M13" i="14" s="1"/>
  <c r="S12" i="10"/>
  <c r="Q12" i="10"/>
  <c r="R12" i="10"/>
  <c r="N13" i="10"/>
  <c r="P13" i="10" s="1"/>
  <c r="AB10" i="15" l="1"/>
  <c r="AB9" i="15"/>
  <c r="T12" i="10"/>
  <c r="S7" i="10"/>
  <c r="H14" i="14"/>
  <c r="M14" i="14" s="1"/>
  <c r="Q13" i="10"/>
  <c r="R13" i="10"/>
  <c r="S13" i="10"/>
  <c r="T13" i="10" s="1"/>
  <c r="H9" i="14"/>
  <c r="R8" i="10"/>
  <c r="S8" i="10"/>
  <c r="Q8" i="10"/>
  <c r="T11" i="10"/>
  <c r="S6" i="10"/>
  <c r="N14" i="10"/>
  <c r="P14" i="10" s="1"/>
  <c r="C9" i="15" l="1"/>
  <c r="AF9" i="15"/>
  <c r="C10" i="15"/>
  <c r="AF10" i="15"/>
  <c r="AB12" i="15"/>
  <c r="AB13" i="15"/>
  <c r="M9" i="14"/>
  <c r="H15" i="14"/>
  <c r="M15" i="14" s="1"/>
  <c r="R14" i="10"/>
  <c r="Q14" i="10"/>
  <c r="S14" i="10"/>
  <c r="T14" i="10" s="1"/>
  <c r="D11" i="10"/>
  <c r="E11" i="10" s="1"/>
  <c r="F11" i="10" s="1"/>
  <c r="AD11" i="10"/>
  <c r="AE11" i="10" s="1"/>
  <c r="AD13" i="10"/>
  <c r="AE13" i="10" s="1"/>
  <c r="D13" i="10"/>
  <c r="F13" i="10" s="1"/>
  <c r="T8" i="10"/>
  <c r="S3" i="10"/>
  <c r="AD12" i="10"/>
  <c r="AE12" i="10" s="1"/>
  <c r="D12" i="10"/>
  <c r="E12" i="10" s="1"/>
  <c r="F12" i="10" s="1"/>
  <c r="N15" i="10"/>
  <c r="P15" i="10" s="1"/>
  <c r="AB11" i="15" l="1"/>
  <c r="AB14" i="15"/>
  <c r="C13" i="15"/>
  <c r="AF13" i="15"/>
  <c r="C12" i="15"/>
  <c r="AF12" i="15"/>
  <c r="T4" i="10"/>
  <c r="T3" i="10"/>
  <c r="T5" i="10"/>
  <c r="T6" i="10"/>
  <c r="T7" i="10"/>
  <c r="AD5" i="10"/>
  <c r="D5" i="10"/>
  <c r="E5" i="10" s="1"/>
  <c r="H16" i="14"/>
  <c r="M16" i="14" s="1"/>
  <c r="S15" i="10"/>
  <c r="T15" i="10" s="1"/>
  <c r="Q15" i="10"/>
  <c r="R15" i="10"/>
  <c r="D10" i="10"/>
  <c r="E10" i="10" s="1"/>
  <c r="F10" i="10" s="1"/>
  <c r="AD10" i="10"/>
  <c r="AE10" i="10" s="1"/>
  <c r="D3" i="10"/>
  <c r="AD3" i="10"/>
  <c r="D6" i="10"/>
  <c r="E6" i="10" s="1"/>
  <c r="AD6" i="10"/>
  <c r="AD4" i="10"/>
  <c r="D4" i="10"/>
  <c r="E4" i="10" s="1"/>
  <c r="D14" i="10"/>
  <c r="E14" i="10" s="1"/>
  <c r="F14" i="10" s="1"/>
  <c r="AD14" i="10"/>
  <c r="AE14" i="10" s="1"/>
  <c r="D9" i="10"/>
  <c r="E9" i="10" s="1"/>
  <c r="F9" i="10" s="1"/>
  <c r="AD9" i="10"/>
  <c r="AE9" i="10" s="1"/>
  <c r="D7" i="10"/>
  <c r="E7" i="10" s="1"/>
  <c r="AD7" i="10"/>
  <c r="D8" i="10"/>
  <c r="E8" i="10" s="1"/>
  <c r="F8" i="10" s="1"/>
  <c r="AD8" i="10"/>
  <c r="AE8" i="10" s="1"/>
  <c r="N16" i="10"/>
  <c r="P16" i="10" s="1"/>
  <c r="AB15" i="15" l="1"/>
  <c r="C14" i="15"/>
  <c r="AF14" i="15"/>
  <c r="AB8" i="15"/>
  <c r="C11" i="15"/>
  <c r="AF11" i="15"/>
  <c r="H17" i="14"/>
  <c r="M17" i="14" s="1"/>
  <c r="R16" i="10"/>
  <c r="S16" i="10"/>
  <c r="Q16" i="10"/>
  <c r="AD15" i="10"/>
  <c r="AE15" i="10" s="1"/>
  <c r="D15" i="10"/>
  <c r="E15" i="10" s="1"/>
  <c r="F15" i="10" s="1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E3" i="10"/>
  <c r="N17" i="10"/>
  <c r="P17" i="10" s="1"/>
  <c r="AF8" i="15" l="1"/>
  <c r="AB6" i="15"/>
  <c r="AB7" i="15"/>
  <c r="AB3" i="15"/>
  <c r="AH7" i="15"/>
  <c r="AI7" i="15" s="1"/>
  <c r="AB4" i="15"/>
  <c r="C8" i="15"/>
  <c r="AB5" i="15"/>
  <c r="C15" i="15"/>
  <c r="AF15" i="15"/>
  <c r="C4" i="10"/>
  <c r="T16" i="10"/>
  <c r="H18" i="14"/>
  <c r="R17" i="10"/>
  <c r="Q17" i="10"/>
  <c r="S17" i="10"/>
  <c r="T17" i="10" s="1"/>
  <c r="N18" i="10"/>
  <c r="P18" i="10" s="1"/>
  <c r="C4" i="15" l="1"/>
  <c r="AF4" i="15"/>
  <c r="C3" i="15"/>
  <c r="AF3" i="15"/>
  <c r="C7" i="15"/>
  <c r="AF7" i="15"/>
  <c r="C5" i="15"/>
  <c r="AF5" i="15"/>
  <c r="C6" i="15"/>
  <c r="AF6" i="15"/>
  <c r="M18" i="14"/>
  <c r="H19" i="14"/>
  <c r="M19" i="14" s="1"/>
  <c r="S18" i="10"/>
  <c r="Q18" i="10"/>
  <c r="R18" i="10"/>
  <c r="AD17" i="10"/>
  <c r="AE17" i="10" s="1"/>
  <c r="D17" i="10"/>
  <c r="E17" i="10" s="1"/>
  <c r="F17" i="10" s="1"/>
  <c r="N19" i="10"/>
  <c r="P19" i="10" s="1"/>
  <c r="AB17" i="15" l="1"/>
  <c r="AB16" i="15"/>
  <c r="AD16" i="10"/>
  <c r="AE16" i="10" s="1"/>
  <c r="D16" i="10"/>
  <c r="T18" i="10"/>
  <c r="H20" i="14"/>
  <c r="M20" i="14" s="1"/>
  <c r="R19" i="10"/>
  <c r="S19" i="10"/>
  <c r="T19" i="10" s="1"/>
  <c r="Q19" i="10"/>
  <c r="N20" i="10"/>
  <c r="P20" i="10" s="1"/>
  <c r="C16" i="15" l="1"/>
  <c r="AF16" i="15"/>
  <c r="C17" i="15"/>
  <c r="AF17" i="15"/>
  <c r="D19" i="10"/>
  <c r="E19" i="10" s="1"/>
  <c r="F19" i="10" s="1"/>
  <c r="AD19" i="10"/>
  <c r="AE19" i="10" s="1"/>
  <c r="H21" i="14"/>
  <c r="M21" i="14" s="1"/>
  <c r="R20" i="10"/>
  <c r="Q20" i="10"/>
  <c r="S20" i="10"/>
  <c r="T20" i="10" s="1"/>
  <c r="E16" i="10"/>
  <c r="F16" i="10" s="1"/>
  <c r="H16" i="10"/>
  <c r="H17" i="10" s="1"/>
  <c r="N21" i="10"/>
  <c r="P21" i="10" s="1"/>
  <c r="AB18" i="15" l="1"/>
  <c r="AB20" i="15"/>
  <c r="AB19" i="15"/>
  <c r="D20" i="10"/>
  <c r="E20" i="10" s="1"/>
  <c r="F20" i="10" s="1"/>
  <c r="AD20" i="10"/>
  <c r="AE20" i="10" s="1"/>
  <c r="D18" i="10"/>
  <c r="H18" i="10" s="1"/>
  <c r="H19" i="10" s="1"/>
  <c r="AD18" i="10"/>
  <c r="AE18" i="10" s="1"/>
  <c r="H22" i="14"/>
  <c r="M22" i="14" s="1"/>
  <c r="Q21" i="10"/>
  <c r="S21" i="10"/>
  <c r="T21" i="10" s="1"/>
  <c r="R21" i="10"/>
  <c r="N22" i="10"/>
  <c r="P22" i="10" s="1"/>
  <c r="C19" i="15" l="1"/>
  <c r="AF19" i="15"/>
  <c r="AB21" i="15"/>
  <c r="C18" i="15"/>
  <c r="AF18" i="15"/>
  <c r="C20" i="15"/>
  <c r="AF20" i="15"/>
  <c r="H20" i="10"/>
  <c r="AD21" i="10"/>
  <c r="AE21" i="10" s="1"/>
  <c r="D21" i="10"/>
  <c r="E21" i="10" s="1"/>
  <c r="F21" i="10" s="1"/>
  <c r="H23" i="14"/>
  <c r="M23" i="14" s="1"/>
  <c r="S22" i="10"/>
  <c r="T22" i="10" s="1"/>
  <c r="R22" i="10"/>
  <c r="Q22" i="10"/>
  <c r="F18" i="10"/>
  <c r="N23" i="10"/>
  <c r="P23" i="10" s="1"/>
  <c r="C21" i="15" l="1"/>
  <c r="AF21" i="15"/>
  <c r="AD22" i="10"/>
  <c r="AE22" i="10" s="1"/>
  <c r="D22" i="10"/>
  <c r="E22" i="10" s="1"/>
  <c r="F22" i="10" s="1"/>
  <c r="H24" i="14"/>
  <c r="M24" i="14" s="1"/>
  <c r="Q23" i="10"/>
  <c r="R23" i="10"/>
  <c r="S23" i="10"/>
  <c r="T23" i="10" s="1"/>
  <c r="H21" i="10"/>
  <c r="N24" i="10"/>
  <c r="P24" i="10" s="1"/>
  <c r="H22" i="10" l="1"/>
  <c r="AB23" i="15"/>
  <c r="H25" i="14"/>
  <c r="M25" i="14" s="1"/>
  <c r="Q24" i="10"/>
  <c r="R24" i="10"/>
  <c r="S24" i="10"/>
  <c r="T24" i="10" s="1"/>
  <c r="AD23" i="10"/>
  <c r="AE23" i="10" s="1"/>
  <c r="D23" i="10"/>
  <c r="E23" i="10" s="1"/>
  <c r="F23" i="10" s="1"/>
  <c r="N25" i="10"/>
  <c r="P25" i="10" s="1"/>
  <c r="AB22" i="15" l="1"/>
  <c r="AB24" i="15"/>
  <c r="C23" i="15"/>
  <c r="AF23" i="15"/>
  <c r="H23" i="10"/>
  <c r="D24" i="10"/>
  <c r="E24" i="10" s="1"/>
  <c r="F24" i="10" s="1"/>
  <c r="AD24" i="10"/>
  <c r="AE24" i="10" s="1"/>
  <c r="H26" i="14"/>
  <c r="M26" i="14" s="1"/>
  <c r="S25" i="10"/>
  <c r="T25" i="10" s="1"/>
  <c r="R25" i="10"/>
  <c r="Q25" i="10"/>
  <c r="N26" i="10"/>
  <c r="P26" i="10" s="1"/>
  <c r="C24" i="15" l="1"/>
  <c r="AF24" i="15"/>
  <c r="C22" i="15"/>
  <c r="AF22" i="15"/>
  <c r="AB25" i="15"/>
  <c r="D25" i="10"/>
  <c r="E25" i="10" s="1"/>
  <c r="F25" i="10" s="1"/>
  <c r="AD25" i="10"/>
  <c r="AE25" i="10" s="1"/>
  <c r="H27" i="14"/>
  <c r="M27" i="14" s="1"/>
  <c r="S26" i="10"/>
  <c r="T26" i="10" s="1"/>
  <c r="R26" i="10"/>
  <c r="Q26" i="10"/>
  <c r="H24" i="10"/>
  <c r="N27" i="10"/>
  <c r="P27" i="10" s="1"/>
  <c r="C25" i="15" l="1"/>
  <c r="AF25" i="15"/>
  <c r="H25" i="10"/>
  <c r="D26" i="10"/>
  <c r="E26" i="10" s="1"/>
  <c r="F26" i="10" s="1"/>
  <c r="AD26" i="10"/>
  <c r="AE26" i="10" s="1"/>
  <c r="H28" i="14"/>
  <c r="M28" i="14" s="1"/>
  <c r="S27" i="10"/>
  <c r="T27" i="10" s="1"/>
  <c r="Q27" i="10"/>
  <c r="R27" i="10"/>
  <c r="N28" i="10"/>
  <c r="P28" i="10" s="1"/>
  <c r="AB26" i="15" l="1"/>
  <c r="H26" i="10"/>
  <c r="D27" i="10"/>
  <c r="E27" i="10" s="1"/>
  <c r="AD27" i="10"/>
  <c r="AE27" i="10" s="1"/>
  <c r="H29" i="14"/>
  <c r="M29" i="14" s="1"/>
  <c r="Q28" i="10"/>
  <c r="S28" i="10"/>
  <c r="T28" i="10" s="1"/>
  <c r="R28" i="10"/>
  <c r="N29" i="10"/>
  <c r="P29" i="10" s="1"/>
  <c r="AB28" i="15" l="1"/>
  <c r="C26" i="15"/>
  <c r="AF26" i="15"/>
  <c r="D28" i="10"/>
  <c r="E28" i="10" s="1"/>
  <c r="F28" i="10" s="1"/>
  <c r="AD28" i="10"/>
  <c r="AE28" i="10" s="1"/>
  <c r="F27" i="10"/>
  <c r="AK22" i="10" s="1"/>
  <c r="AK21" i="10"/>
  <c r="AL21" i="10" s="1"/>
  <c r="H30" i="14"/>
  <c r="M30" i="14" s="1"/>
  <c r="S29" i="10"/>
  <c r="T29" i="10" s="1"/>
  <c r="Q29" i="10"/>
  <c r="R29" i="10"/>
  <c r="H27" i="10"/>
  <c r="H28" i="10" s="1"/>
  <c r="N30" i="10"/>
  <c r="P30" i="10" s="1"/>
  <c r="AK27" i="15" l="1"/>
  <c r="AB27" i="15"/>
  <c r="C28" i="15"/>
  <c r="AF28" i="15"/>
  <c r="D29" i="10"/>
  <c r="E29" i="10" s="1"/>
  <c r="F29" i="10" s="1"/>
  <c r="AD29" i="10"/>
  <c r="AE29" i="10" s="1"/>
  <c r="H31" i="14"/>
  <c r="M31" i="14" s="1"/>
  <c r="R30" i="10"/>
  <c r="Q30" i="10"/>
  <c r="S30" i="10"/>
  <c r="T30" i="10" s="1"/>
  <c r="N31" i="10"/>
  <c r="P31" i="10" s="1"/>
  <c r="AB29" i="15" l="1"/>
  <c r="C27" i="15"/>
  <c r="AF27" i="15"/>
  <c r="H29" i="10"/>
  <c r="D30" i="10"/>
  <c r="E30" i="10" s="1"/>
  <c r="F30" i="10" s="1"/>
  <c r="AD30" i="10"/>
  <c r="AE30" i="10" s="1"/>
  <c r="H32" i="14"/>
  <c r="M32" i="14" s="1"/>
  <c r="R31" i="10"/>
  <c r="S31" i="10"/>
  <c r="T31" i="10" s="1"/>
  <c r="Q31" i="10"/>
  <c r="N32" i="10"/>
  <c r="P32" i="10" s="1"/>
  <c r="AB30" i="15" l="1"/>
  <c r="AB31" i="15"/>
  <c r="C29" i="15"/>
  <c r="AF29" i="15"/>
  <c r="AD31" i="10"/>
  <c r="AE31" i="10" s="1"/>
  <c r="D31" i="10"/>
  <c r="E31" i="10" s="1"/>
  <c r="F31" i="10" s="1"/>
  <c r="H33" i="14"/>
  <c r="M33" i="14" s="1"/>
  <c r="Q32" i="10"/>
  <c r="R32" i="10"/>
  <c r="S32" i="10"/>
  <c r="T32" i="10" s="1"/>
  <c r="H30" i="10"/>
  <c r="N33" i="10"/>
  <c r="P33" i="10" s="1"/>
  <c r="AB32" i="15" l="1"/>
  <c r="H31" i="10"/>
  <c r="C31" i="15"/>
  <c r="AF31" i="15"/>
  <c r="C30" i="15"/>
  <c r="AF30" i="15"/>
  <c r="AD32" i="10"/>
  <c r="AE32" i="10" s="1"/>
  <c r="D32" i="10"/>
  <c r="E32" i="10" s="1"/>
  <c r="F32" i="10" s="1"/>
  <c r="H34" i="14"/>
  <c r="M34" i="14" s="1"/>
  <c r="S33" i="10"/>
  <c r="T33" i="10" s="1"/>
  <c r="R33" i="10"/>
  <c r="Q33" i="10"/>
  <c r="N34" i="10"/>
  <c r="P34" i="10" s="1"/>
  <c r="C32" i="15" l="1"/>
  <c r="AF32" i="15"/>
  <c r="AD33" i="10"/>
  <c r="AE33" i="10" s="1"/>
  <c r="D33" i="10"/>
  <c r="E33" i="10" s="1"/>
  <c r="F33" i="10" s="1"/>
  <c r="H35" i="14"/>
  <c r="M35" i="14" s="1"/>
  <c r="Q34" i="10"/>
  <c r="R34" i="10"/>
  <c r="S34" i="10"/>
  <c r="T34" i="10" s="1"/>
  <c r="H32" i="10"/>
  <c r="N35" i="10"/>
  <c r="P35" i="10" s="1"/>
  <c r="AB33" i="15" l="1"/>
  <c r="AB34" i="15"/>
  <c r="H33" i="10"/>
  <c r="H36" i="14"/>
  <c r="M36" i="14" s="1"/>
  <c r="Q35" i="10"/>
  <c r="R35" i="10"/>
  <c r="S35" i="10"/>
  <c r="T35" i="10" s="1"/>
  <c r="AD34" i="10"/>
  <c r="AE34" i="10" s="1"/>
  <c r="D34" i="10"/>
  <c r="E34" i="10" s="1"/>
  <c r="F34" i="10" s="1"/>
  <c r="G34" i="10" s="1"/>
  <c r="N36" i="10"/>
  <c r="P36" i="10" s="1"/>
  <c r="C34" i="15" l="1"/>
  <c r="AF34" i="15"/>
  <c r="C33" i="15"/>
  <c r="AF33" i="15"/>
  <c r="AB35" i="15"/>
  <c r="H37" i="14"/>
  <c r="M37" i="14" s="1"/>
  <c r="Q36" i="10"/>
  <c r="S36" i="10"/>
  <c r="T36" i="10" s="1"/>
  <c r="R36" i="10"/>
  <c r="AD35" i="10"/>
  <c r="AE35" i="10" s="1"/>
  <c r="D35" i="10"/>
  <c r="E35" i="10" s="1"/>
  <c r="F35" i="10" s="1"/>
  <c r="G35" i="10" s="1"/>
  <c r="H34" i="10"/>
  <c r="N37" i="10"/>
  <c r="P37" i="10" s="1"/>
  <c r="C35" i="15" l="1"/>
  <c r="AF35" i="15"/>
  <c r="AB36" i="15"/>
  <c r="H35" i="10"/>
  <c r="D36" i="10"/>
  <c r="E36" i="10" s="1"/>
  <c r="F36" i="10" s="1"/>
  <c r="G36" i="10" s="1"/>
  <c r="AD36" i="10"/>
  <c r="AE36" i="10" s="1"/>
  <c r="H38" i="14"/>
  <c r="M38" i="14" s="1"/>
  <c r="Q37" i="10"/>
  <c r="S37" i="10"/>
  <c r="T37" i="10" s="1"/>
  <c r="R37" i="10"/>
  <c r="N38" i="10"/>
  <c r="P38" i="10" s="1"/>
  <c r="AB37" i="15" l="1"/>
  <c r="C36" i="15"/>
  <c r="AF36" i="15"/>
  <c r="D37" i="10"/>
  <c r="E37" i="10" s="1"/>
  <c r="F37" i="10" s="1"/>
  <c r="G37" i="10" s="1"/>
  <c r="AD37" i="10"/>
  <c r="AE37" i="10" s="1"/>
  <c r="H39" i="14"/>
  <c r="M39" i="14" s="1"/>
  <c r="R38" i="10"/>
  <c r="Q38" i="10"/>
  <c r="S38" i="10"/>
  <c r="T38" i="10" s="1"/>
  <c r="AC38" i="10" s="1"/>
  <c r="H36" i="10"/>
  <c r="H37" i="10" s="1"/>
  <c r="N39" i="10"/>
  <c r="P39" i="10" s="1"/>
  <c r="C37" i="15" l="1"/>
  <c r="AF37" i="15"/>
  <c r="AB38" i="15"/>
  <c r="D38" i="10"/>
  <c r="E38" i="10" s="1"/>
  <c r="F38" i="10" s="1"/>
  <c r="G38" i="10" s="1"/>
  <c r="AD38" i="10"/>
  <c r="AE38" i="10" s="1"/>
  <c r="H40" i="14"/>
  <c r="M40" i="14" s="1"/>
  <c r="S39" i="10"/>
  <c r="T39" i="10" s="1"/>
  <c r="AC39" i="10" s="1"/>
  <c r="Q39" i="10"/>
  <c r="R39" i="10"/>
  <c r="N40" i="10"/>
  <c r="P40" i="10" s="1"/>
  <c r="AB39" i="15" l="1"/>
  <c r="C38" i="15"/>
  <c r="AF38" i="15"/>
  <c r="AD39" i="10"/>
  <c r="AE39" i="10" s="1"/>
  <c r="D39" i="10"/>
  <c r="E39" i="10" s="1"/>
  <c r="F39" i="10" s="1"/>
  <c r="G39" i="10" s="1"/>
  <c r="H41" i="14"/>
  <c r="M41" i="14" s="1"/>
  <c r="S40" i="10"/>
  <c r="T40" i="10" s="1"/>
  <c r="AC40" i="10" s="1"/>
  <c r="Q40" i="10"/>
  <c r="R40" i="10"/>
  <c r="H38" i="10"/>
  <c r="N41" i="10"/>
  <c r="P41" i="10" s="1"/>
  <c r="AB40" i="15" l="1"/>
  <c r="C39" i="15"/>
  <c r="AF39" i="15"/>
  <c r="H39" i="10"/>
  <c r="AD40" i="10"/>
  <c r="AE40" i="10" s="1"/>
  <c r="D40" i="10"/>
  <c r="E40" i="10" s="1"/>
  <c r="F40" i="10" s="1"/>
  <c r="G40" i="10" s="1"/>
  <c r="H42" i="14"/>
  <c r="M42" i="14" s="1"/>
  <c r="Q41" i="10"/>
  <c r="R41" i="10"/>
  <c r="S41" i="10"/>
  <c r="T41" i="10" s="1"/>
  <c r="AC41" i="10" s="1"/>
  <c r="N42" i="10"/>
  <c r="P42" i="10" s="1"/>
  <c r="AB41" i="15" l="1"/>
  <c r="C40" i="15"/>
  <c r="AF40" i="15"/>
  <c r="AD41" i="10"/>
  <c r="AE41" i="10" s="1"/>
  <c r="D41" i="10"/>
  <c r="E41" i="10" s="1"/>
  <c r="F41" i="10" s="1"/>
  <c r="G41" i="10" s="1"/>
  <c r="H43" i="14"/>
  <c r="M43" i="14" s="1"/>
  <c r="R42" i="10"/>
  <c r="Q42" i="10"/>
  <c r="S42" i="10"/>
  <c r="T42" i="10" s="1"/>
  <c r="AC42" i="10" s="1"/>
  <c r="H40" i="10"/>
  <c r="N43" i="10"/>
  <c r="P43" i="10" s="1"/>
  <c r="C41" i="15" l="1"/>
  <c r="AF41" i="15"/>
  <c r="AB42" i="15"/>
  <c r="H41" i="10"/>
  <c r="H44" i="14"/>
  <c r="M44" i="14" s="1"/>
  <c r="Q43" i="10"/>
  <c r="S43" i="10"/>
  <c r="T43" i="10" s="1"/>
  <c r="AC43" i="10" s="1"/>
  <c r="R43" i="10"/>
  <c r="D42" i="10"/>
  <c r="E42" i="10" s="1"/>
  <c r="F42" i="10" s="1"/>
  <c r="G42" i="10" s="1"/>
  <c r="AD42" i="10"/>
  <c r="AE42" i="10" s="1"/>
  <c r="N44" i="10"/>
  <c r="P44" i="10" s="1"/>
  <c r="C42" i="15" l="1"/>
  <c r="AF42" i="15"/>
  <c r="AB43" i="15"/>
  <c r="AD43" i="10"/>
  <c r="AE43" i="10" s="1"/>
  <c r="D43" i="10"/>
  <c r="E43" i="10" s="1"/>
  <c r="F43" i="10" s="1"/>
  <c r="G43" i="10" s="1"/>
  <c r="H42" i="10"/>
  <c r="H45" i="14"/>
  <c r="M45" i="14" s="1"/>
  <c r="R44" i="10"/>
  <c r="S44" i="10"/>
  <c r="T44" i="10" s="1"/>
  <c r="AC44" i="10" s="1"/>
  <c r="Q44" i="10"/>
  <c r="N45" i="10"/>
  <c r="P45" i="10" s="1"/>
  <c r="C43" i="15" l="1"/>
  <c r="AF43" i="15"/>
  <c r="AB44" i="15"/>
  <c r="H43" i="10"/>
  <c r="D44" i="10"/>
  <c r="E44" i="10" s="1"/>
  <c r="F44" i="10" s="1"/>
  <c r="G44" i="10" s="1"/>
  <c r="AD44" i="10"/>
  <c r="AE44" i="10" s="1"/>
  <c r="H46" i="14"/>
  <c r="M46" i="14" s="1"/>
  <c r="Q45" i="10"/>
  <c r="R45" i="10"/>
  <c r="S45" i="10"/>
  <c r="T45" i="10" s="1"/>
  <c r="AC45" i="10" s="1"/>
  <c r="N46" i="10"/>
  <c r="P46" i="10" s="1"/>
  <c r="C44" i="15" l="1"/>
  <c r="AF44" i="15"/>
  <c r="AB45" i="15"/>
  <c r="H44" i="10"/>
  <c r="H47" i="14"/>
  <c r="M47" i="14" s="1"/>
  <c r="R46" i="10"/>
  <c r="Q46" i="10"/>
  <c r="S46" i="10"/>
  <c r="T46" i="10" s="1"/>
  <c r="AC46" i="10" s="1"/>
  <c r="AD45" i="10"/>
  <c r="AE45" i="10" s="1"/>
  <c r="D45" i="10"/>
  <c r="E45" i="10" s="1"/>
  <c r="F45" i="10" s="1"/>
  <c r="G45" i="10" s="1"/>
  <c r="N47" i="10"/>
  <c r="P47" i="10" s="1"/>
  <c r="C45" i="15" l="1"/>
  <c r="AF45" i="15"/>
  <c r="H45" i="10"/>
  <c r="D46" i="10"/>
  <c r="E46" i="10" s="1"/>
  <c r="F46" i="10" s="1"/>
  <c r="G46" i="10" s="1"/>
  <c r="AD46" i="10"/>
  <c r="AE46" i="10" s="1"/>
  <c r="H48" i="14"/>
  <c r="M48" i="14" s="1"/>
  <c r="R47" i="10"/>
  <c r="Q47" i="10"/>
  <c r="S47" i="10"/>
  <c r="T47" i="10" s="1"/>
  <c r="AC47" i="10" s="1"/>
  <c r="N48" i="10"/>
  <c r="P48" i="10" s="1"/>
  <c r="AB46" i="15" l="1"/>
  <c r="H49" i="14"/>
  <c r="M49" i="14" s="1"/>
  <c r="S48" i="10"/>
  <c r="T48" i="10" s="1"/>
  <c r="AC48" i="10" s="1"/>
  <c r="R48" i="10"/>
  <c r="Q48" i="10"/>
  <c r="AD47" i="10"/>
  <c r="AE47" i="10" s="1"/>
  <c r="D47" i="10"/>
  <c r="E47" i="10" s="1"/>
  <c r="F47" i="10" s="1"/>
  <c r="G47" i="10" s="1"/>
  <c r="H46" i="10"/>
  <c r="N49" i="10"/>
  <c r="P49" i="10" s="1"/>
  <c r="AB48" i="15" l="1"/>
  <c r="C46" i="15"/>
  <c r="AF46" i="15"/>
  <c r="AB47" i="15"/>
  <c r="H47" i="10"/>
  <c r="H50" i="14"/>
  <c r="M50" i="14" s="1"/>
  <c r="S49" i="10"/>
  <c r="T49" i="10" s="1"/>
  <c r="AC49" i="10" s="1"/>
  <c r="Q49" i="10"/>
  <c r="R49" i="10"/>
  <c r="D48" i="10"/>
  <c r="E48" i="10" s="1"/>
  <c r="F48" i="10" s="1"/>
  <c r="G48" i="10" s="1"/>
  <c r="AD48" i="10"/>
  <c r="AE48" i="10" s="1"/>
  <c r="N50" i="10"/>
  <c r="P50" i="10" s="1"/>
  <c r="C48" i="15" l="1"/>
  <c r="AF48" i="15"/>
  <c r="C47" i="15"/>
  <c r="AF47" i="15"/>
  <c r="AD49" i="10"/>
  <c r="AE49" i="10" s="1"/>
  <c r="D49" i="10"/>
  <c r="E49" i="10" s="1"/>
  <c r="F49" i="10" s="1"/>
  <c r="G49" i="10" s="1"/>
  <c r="H51" i="14"/>
  <c r="M51" i="14" s="1"/>
  <c r="S50" i="10"/>
  <c r="T50" i="10" s="1"/>
  <c r="AC50" i="10" s="1"/>
  <c r="Q50" i="10"/>
  <c r="R50" i="10"/>
  <c r="H48" i="10"/>
  <c r="N51" i="10"/>
  <c r="P51" i="10" s="1"/>
  <c r="H49" i="10" l="1"/>
  <c r="AB50" i="15"/>
  <c r="AB49" i="15"/>
  <c r="AD50" i="10"/>
  <c r="AE50" i="10" s="1"/>
  <c r="D50" i="10"/>
  <c r="E50" i="10" s="1"/>
  <c r="F50" i="10" s="1"/>
  <c r="G50" i="10" s="1"/>
  <c r="H52" i="14"/>
  <c r="M52" i="14" s="1"/>
  <c r="Q51" i="10"/>
  <c r="S51" i="10"/>
  <c r="T51" i="10" s="1"/>
  <c r="AC51" i="10" s="1"/>
  <c r="R51" i="10"/>
  <c r="N52" i="10"/>
  <c r="P52" i="10" s="1"/>
  <c r="C50" i="15" l="1"/>
  <c r="AF50" i="15"/>
  <c r="C49" i="15"/>
  <c r="AF49" i="15"/>
  <c r="AB51" i="15"/>
  <c r="AD51" i="10"/>
  <c r="AE51" i="10" s="1"/>
  <c r="D51" i="10"/>
  <c r="H53" i="14"/>
  <c r="R52" i="10"/>
  <c r="R53" i="10" s="1"/>
  <c r="S52" i="10"/>
  <c r="Q52" i="10"/>
  <c r="P53" i="10"/>
  <c r="H50" i="10"/>
  <c r="H51" i="10" l="1"/>
  <c r="H52" i="10" s="1"/>
  <c r="Q53" i="10"/>
  <c r="C51" i="15"/>
  <c r="C53" i="15" s="1"/>
  <c r="AF51" i="15"/>
  <c r="T52" i="10"/>
  <c r="T53" i="10" s="1"/>
  <c r="S53" i="10"/>
  <c r="M53" i="14"/>
  <c r="M54" i="14" s="1"/>
  <c r="N54" i="14" s="1"/>
  <c r="N55" i="14" s="1"/>
  <c r="H54" i="14"/>
  <c r="H55" i="14" s="1"/>
  <c r="R54" i="10"/>
  <c r="E33" i="13"/>
  <c r="E34" i="13" s="1"/>
  <c r="E51" i="10"/>
  <c r="F51" i="10" s="1"/>
  <c r="G51" i="10" s="1"/>
  <c r="D53" i="10"/>
  <c r="E53" i="10" s="1"/>
  <c r="F53" i="10" s="1"/>
  <c r="G53" i="10" s="1"/>
  <c r="H53" i="10" s="1"/>
  <c r="AF52" i="10" l="1"/>
  <c r="C52" i="10"/>
  <c r="AB49" i="10" l="1"/>
  <c r="AB47" i="10"/>
  <c r="AF26" i="10" l="1"/>
  <c r="C26" i="10"/>
  <c r="AF47" i="10"/>
  <c r="C47" i="10"/>
  <c r="C33" i="10"/>
  <c r="AF33" i="10"/>
  <c r="AF22" i="10"/>
  <c r="C22" i="10"/>
  <c r="AK27" i="10"/>
  <c r="C19" i="10"/>
  <c r="AF19" i="10"/>
  <c r="AF11" i="10"/>
  <c r="C11" i="10"/>
  <c r="AF18" i="10"/>
  <c r="C18" i="10"/>
  <c r="AF29" i="10"/>
  <c r="C29" i="10"/>
  <c r="AF17" i="10"/>
  <c r="C17" i="10"/>
  <c r="AF16" i="10"/>
  <c r="C16" i="10"/>
  <c r="C49" i="10"/>
  <c r="AF49" i="10"/>
  <c r="AF30" i="10"/>
  <c r="C30" i="10"/>
  <c r="AB46" i="10"/>
  <c r="AB45" i="10"/>
  <c r="AB43" i="10"/>
  <c r="AB38" i="10"/>
  <c r="AB44" i="10"/>
  <c r="AB48" i="10"/>
  <c r="AB41" i="10"/>
  <c r="AB42" i="10"/>
  <c r="AB37" i="10"/>
  <c r="AB35" i="10"/>
  <c r="AB50" i="10"/>
  <c r="AB36" i="10"/>
  <c r="AB51" i="10"/>
  <c r="AB39" i="10"/>
  <c r="AB40" i="10"/>
  <c r="C50" i="10" l="1"/>
  <c r="AF50" i="10"/>
  <c r="C8" i="10"/>
  <c r="AH7" i="10"/>
  <c r="AI7" i="10" s="1"/>
  <c r="AF8" i="10"/>
  <c r="AF14" i="10"/>
  <c r="C14" i="10"/>
  <c r="AF23" i="10"/>
  <c r="C23" i="10"/>
  <c r="C9" i="10"/>
  <c r="AF9" i="10"/>
  <c r="AF37" i="10"/>
  <c r="C37" i="10"/>
  <c r="AF41" i="10"/>
  <c r="C41" i="10"/>
  <c r="C10" i="10"/>
  <c r="AF10" i="10"/>
  <c r="C46" i="10"/>
  <c r="AF46" i="10"/>
  <c r="AF34" i="10"/>
  <c r="C34" i="10"/>
  <c r="AF20" i="10"/>
  <c r="C20" i="10"/>
  <c r="C48" i="10"/>
  <c r="AF48" i="10"/>
  <c r="AF15" i="10"/>
  <c r="C15" i="10"/>
  <c r="AF13" i="10"/>
  <c r="C13" i="10"/>
  <c r="AF32" i="10"/>
  <c r="C32" i="10"/>
  <c r="C40" i="10"/>
  <c r="AF40" i="10"/>
  <c r="AF51" i="10"/>
  <c r="C51" i="10"/>
  <c r="C31" i="10"/>
  <c r="AF31" i="10"/>
  <c r="C35" i="10"/>
  <c r="AF35" i="10"/>
  <c r="C39" i="10"/>
  <c r="AF39" i="10"/>
  <c r="AF42" i="10"/>
  <c r="C42" i="10"/>
  <c r="C21" i="10"/>
  <c r="AF21" i="10"/>
  <c r="AF44" i="10"/>
  <c r="C44" i="10"/>
  <c r="AF36" i="10"/>
  <c r="C36" i="10"/>
  <c r="AF25" i="10"/>
  <c r="C25" i="10"/>
  <c r="AF43" i="10"/>
  <c r="C43" i="10"/>
  <c r="AF28" i="10"/>
  <c r="C28" i="10"/>
  <c r="AF45" i="10"/>
  <c r="C45" i="10"/>
  <c r="AF12" i="10"/>
  <c r="C12" i="10"/>
  <c r="C24" i="10"/>
  <c r="AF24" i="10"/>
  <c r="C38" i="10"/>
  <c r="AF38" i="10"/>
  <c r="AF27" i="10"/>
  <c r="C27" i="10"/>
  <c r="C3" i="10" l="1"/>
  <c r="AF3" i="10"/>
  <c r="AF7" i="10"/>
  <c r="C7" i="10"/>
  <c r="C6" i="10"/>
  <c r="AF6" i="10"/>
  <c r="AF5" i="10"/>
  <c r="C5" i="10"/>
  <c r="AF4" i="10"/>
  <c r="C53" i="10" l="1"/>
</calcChain>
</file>

<file path=xl/comments1.xml><?xml version="1.0" encoding="utf-8"?>
<comments xmlns="http://schemas.openxmlformats.org/spreadsheetml/2006/main">
  <authors>
    <author>만든 이</author>
  </authors>
  <commentList>
    <comment ref="B31" authorId="0" shapeId="0">
      <text>
        <r>
          <rPr>
            <b/>
            <sz val="9"/>
            <color indexed="81"/>
            <rFont val="돋움"/>
            <family val="3"/>
            <charset val="129"/>
          </rPr>
          <t>중형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나왔으므로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낮춰줌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Y1" authorId="0" shapeId="0">
      <text>
        <r>
          <rPr>
            <sz val="9"/>
            <color indexed="81"/>
            <rFont val="돋움"/>
            <family val="3"/>
            <charset val="129"/>
          </rPr>
          <t>스킬은 10레벨이므로
계정렙5개마다 1씩 오른다. 따라서 계정렙1에서는 0.2가 오른다.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9"/>
            <color indexed="81"/>
            <rFont val="돋움"/>
            <family val="3"/>
            <charset val="129"/>
          </rPr>
          <t>해당 레벨을 가득채우는 경험치를 얻기위한 총 훈련시간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" authorId="0" shapeId="0">
      <text>
        <r>
          <rPr>
            <sz val="9"/>
            <color indexed="81"/>
            <rFont val="돋움"/>
            <family val="3"/>
            <charset val="129"/>
          </rPr>
          <t>계정레벨과 영웅레벨의 최대가 같아서
영웅레벨용 지수로 사용함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>
      <text>
        <r>
          <rPr>
            <sz val="9"/>
            <color indexed="81"/>
            <rFont val="돋움"/>
            <family val="3"/>
            <charset val="129"/>
          </rPr>
          <t>ap/리젠을 고려한 레벨별 시간당 획득가능한 경험치양.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0" shapeId="0">
      <text>
        <r>
          <rPr>
            <sz val="9"/>
            <color indexed="81"/>
            <rFont val="돋움"/>
            <family val="3"/>
            <charset val="129"/>
          </rPr>
          <t xml:space="preserve">전투로 얻을수 있는 평균 초당획득경험치
ap부족과 성리젠시간을 반영한것임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" authorId="0" shapeId="0">
      <text>
        <r>
          <rPr>
            <sz val="9"/>
            <color indexed="81"/>
            <rFont val="돋움"/>
            <family val="3"/>
            <charset val="129"/>
          </rPr>
          <t xml:space="preserve">각 레벨당 플레이시간
전투만 계속했을때를 가정
ap/리젠의 제한을 받음을 고려
</t>
        </r>
      </text>
    </comment>
    <comment ref="S2" authorId="0" shapeId="0">
      <text>
        <r>
          <rPr>
            <sz val="9"/>
            <color indexed="81"/>
            <rFont val="돋움"/>
            <family val="3"/>
            <charset val="129"/>
          </rPr>
          <t>1계정레벨올리는 시간을 AP
스킬은 계정렙5레벨마다 1씩 증가해야 하므로
1계정렙에선 1/5의 스킬경험치가 올라야 한다.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계정렙5레벨 올리는 시간을 0.2/0.3/0.5의 비율로 쪼개야 하므로
계정렙5올리는시간 T5 =&gt; 
T5*0.2=렙훈련시간(lt) (렙+5)
T5*0.3=스킬훈련시간(st)(스킬렙+1)
T5*0.5=부대훈련시간(at)(부대렙+1.6) 5렙씩오르는걸 10번 하므로 16렙/10함.
계정렙1단위로 바꾸면
T1 * 0.2 = lt  (렙+1)
T1 * 0.3 = st (스킬렙+0.2)
T1 * 0.5 = at (부대렙+0.32)
6렙에서 962초를 투자하면 스킬렙0.2가 올라야 한다.
계정1렙에서 스킬경험치의 목표 획득량은 1스킬렙경험치/5 여야 한다
</t>
        </r>
      </text>
    </comment>
    <comment ref="T2" authorId="0" shapeId="0">
      <text>
        <r>
          <rPr>
            <sz val="9"/>
            <color indexed="81"/>
            <rFont val="돋움"/>
            <family val="3"/>
            <charset val="129"/>
          </rPr>
          <t>계정레벨당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계정레벨달성의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총시간과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업글이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종있으므로</t>
        </r>
        <r>
          <rPr>
            <sz val="9"/>
            <color indexed="81"/>
            <rFont val="Tahoma"/>
            <family val="2"/>
          </rPr>
          <t xml:space="preserve"> /3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업글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개당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환산함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" authorId="0" shapeId="0">
      <text>
        <r>
          <rPr>
            <sz val="9"/>
            <color indexed="81"/>
            <rFont val="돋움"/>
            <family val="3"/>
            <charset val="129"/>
          </rPr>
          <t>해당레벨의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영웅경험치
보유한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모든영웅들이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나눠갖는다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목표경험치획득량</t>
        </r>
        <r>
          <rPr>
            <sz val="9"/>
            <color indexed="81"/>
            <rFont val="Tahoma"/>
            <family val="2"/>
          </rPr>
          <t xml:space="preserve"> 1500
</t>
        </r>
        <r>
          <rPr>
            <sz val="9"/>
            <color indexed="81"/>
            <rFont val="돋움"/>
            <family val="3"/>
            <charset val="129"/>
          </rPr>
          <t>잉여경험치</t>
        </r>
        <r>
          <rPr>
            <sz val="9"/>
            <color indexed="81"/>
            <rFont val="Tahoma"/>
            <family val="2"/>
          </rPr>
          <t xml:space="preserve"> 500 </t>
        </r>
        <r>
          <rPr>
            <sz val="9"/>
            <color indexed="81"/>
            <rFont val="돋움"/>
            <family val="3"/>
            <charset val="129"/>
          </rPr>
          <t>일때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
또다른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채울수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영웅경험치는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지수곡선이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>)</t>
        </r>
      </text>
    </comment>
    <comment ref="AB2" authorId="0" shapeId="0">
      <text>
        <r>
          <rPr>
            <sz val="9"/>
            <color indexed="81"/>
            <rFont val="돋움"/>
            <family val="3"/>
            <charset val="129"/>
          </rPr>
          <t xml:space="preserve">목표경험치를 모두 먹는데 필요한 금화량은
계정레벨별 업글1종에 투자할수 있는 최대 액수(a) =
(계정레벨당 총수익 * 지출비율(0.9)) * (업글3종 비율 / 3)
목표경험치를 먹는데 필요한 총금화(b) == a
경험치당 금화 = 렙업글총투자액 / 목표경험치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>
      <text>
        <r>
          <rPr>
            <sz val="9"/>
            <color indexed="81"/>
            <rFont val="돋움"/>
            <family val="3"/>
            <charset val="129"/>
          </rPr>
          <t xml:space="preserve">이것은 계정레벨별이 아닌 영웅레벨별 경험치1당 훈련시간을 뜻한다. 
따라서 계정렙과 관계없이 영웅렙이 증가할수록 훈련시간도 늘어난다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3" authorId="0" shapeId="0">
      <text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P53" authorId="0" shapeId="0">
      <text>
        <r>
          <rPr>
            <sz val="9"/>
            <color indexed="81"/>
            <rFont val="돋움"/>
            <family val="3"/>
            <charset val="129"/>
          </rPr>
          <t>계정만렙까지 하루16시간 기준 6개월을 기준으로 함.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M2" authorId="0" shapeId="0">
      <text>
        <r>
          <rPr>
            <sz val="9"/>
            <color indexed="81"/>
            <rFont val="돋움"/>
            <family val="3"/>
            <charset val="129"/>
          </rPr>
          <t>업글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있으므로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계정렙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곧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연구시간이다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M3" authorId="0" shapeId="0">
      <text>
        <r>
          <rPr>
            <sz val="9"/>
            <color indexed="81"/>
            <rFont val="돋움"/>
            <family val="3"/>
            <charset val="129"/>
          </rPr>
          <t>레벨당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특성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유닛당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M54" authorId="0" shapeId="0">
      <text>
        <r>
          <rPr>
            <sz val="9"/>
            <color indexed="81"/>
            <rFont val="돋움"/>
            <family val="3"/>
            <charset val="129"/>
          </rPr>
          <t>특성</t>
        </r>
        <r>
          <rPr>
            <sz val="9"/>
            <color indexed="81"/>
            <rFont val="Tahoma"/>
            <family val="2"/>
          </rPr>
          <t xml:space="preserve"> 25*9</t>
        </r>
        <r>
          <rPr>
            <sz val="9"/>
            <color indexed="81"/>
            <rFont val="돋움"/>
            <family val="3"/>
            <charset val="129"/>
          </rPr>
          <t>찍는데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E1" authorId="0" shapeId="0">
      <text>
        <r>
          <rPr>
            <sz val="9"/>
            <color indexed="81"/>
            <rFont val="돋움"/>
            <family val="3"/>
            <charset val="129"/>
          </rPr>
          <t>레벨업글에 들어가는돈보다 조금 적게 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E29" authorId="0" shapeId="0">
      <text>
        <r>
          <rPr>
            <sz val="9"/>
            <color indexed="81"/>
            <rFont val="돋움"/>
            <family val="3"/>
            <charset val="129"/>
          </rPr>
          <t>이값은 만렙까지 들어가는 총 연구비용/9 값과 비슷해야 한다.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" authorId="0" shapeId="0">
      <text>
        <r>
          <rPr>
            <sz val="9"/>
            <color indexed="81"/>
            <rFont val="돋움"/>
            <family val="3"/>
            <charset val="129"/>
          </rPr>
          <t>이하부터는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고정시킴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연구시간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E34" authorId="0" shapeId="0">
      <text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환산
</t>
        </r>
      </text>
    </comment>
    <comment ref="E37" authorId="0" shapeId="0">
      <text>
        <r>
          <rPr>
            <sz val="9"/>
            <color indexed="81"/>
            <rFont val="돋움"/>
            <family val="3"/>
            <charset val="129"/>
          </rPr>
          <t>이값은 만렙까지 들어가는 총 연구비용/9 값과 비슷해야 한다.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Y1" authorId="0" shapeId="0">
      <text>
        <r>
          <rPr>
            <sz val="9"/>
            <color indexed="81"/>
            <rFont val="돋움"/>
            <family val="3"/>
            <charset val="129"/>
          </rPr>
          <t>스킬은 10레벨이므로
계정렙5개마다 1씩 오른다. 따라서 계정렙1에서는 0.2가 오른다.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9"/>
            <color indexed="81"/>
            <rFont val="돋움"/>
            <family val="3"/>
            <charset val="129"/>
          </rPr>
          <t>해당 레벨을 가득채우는 경험치를 얻기위한 총 훈련시간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" authorId="0" shapeId="0">
      <text>
        <r>
          <rPr>
            <sz val="9"/>
            <color indexed="81"/>
            <rFont val="돋움"/>
            <family val="3"/>
            <charset val="129"/>
          </rPr>
          <t>계정레벨과 영웅레벨의 최대가 같아서
영웅레벨용 지수로 사용함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>
      <text>
        <r>
          <rPr>
            <sz val="9"/>
            <color indexed="81"/>
            <rFont val="돋움"/>
            <family val="3"/>
            <charset val="129"/>
          </rPr>
          <t>ap/리젠을 고려한 레벨별 시간당 획득가능한 경험치양.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0" shapeId="0">
      <text>
        <r>
          <rPr>
            <sz val="9"/>
            <color indexed="81"/>
            <rFont val="돋움"/>
            <family val="3"/>
            <charset val="129"/>
          </rPr>
          <t xml:space="preserve">전투로 얻을수 있는 평균 초당획득경험치
ap부족과 성리젠시간을 반영한것임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" authorId="0" shapeId="0">
      <text>
        <r>
          <rPr>
            <sz val="9"/>
            <color indexed="81"/>
            <rFont val="돋움"/>
            <family val="3"/>
            <charset val="129"/>
          </rPr>
          <t xml:space="preserve">각 레벨당 플레이시간
전투만 계속했을때를 가정
ap/리젠의 제한을 받음을 고려
</t>
        </r>
      </text>
    </comment>
    <comment ref="S2" authorId="0" shapeId="0">
      <text>
        <r>
          <rPr>
            <sz val="9"/>
            <color indexed="81"/>
            <rFont val="돋움"/>
            <family val="3"/>
            <charset val="129"/>
          </rPr>
          <t>1계정레벨올리는 시간을 AP
스킬은 계정렙5레벨마다 1씩 증가해야 하므로
1계정렙에선 1/5의 스킬경험치가 올라야 한다.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계정렙5레벨 올리는 시간을 0.2/0.3/0.5의 비율로 쪼개야 하므로
계정렙5올리는시간 T5 =&gt; 
T5*0.2=렙훈련시간(lt) (렙+5)
T5*0.3=스킬훈련시간(st)(스킬렙+1)
T5*0.5=부대훈련시간(at)(부대렙+1.6) 5렙씩오르는걸 10번 하므로 16렙/10함.
계정렙1단위로 바꾸면
T1 * 0.2 = lt  (렙+1)
T1 * 0.3 = st (스킬렙+0.2)
T1 * 0.5 = at (부대렙+0.32)
6렙에서 962초를 투자하면 스킬렙0.2가 올라야 한다.
계정1렙에서 스킬경험치의 목표 획득량은 1스킬렙경험치/5 여야 한다
</t>
        </r>
      </text>
    </comment>
    <comment ref="T2" authorId="0" shapeId="0">
      <text>
        <r>
          <rPr>
            <sz val="9"/>
            <color indexed="81"/>
            <rFont val="돋움"/>
            <family val="3"/>
            <charset val="129"/>
          </rPr>
          <t>계정레벨당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계정레벨달성의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총시간과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업글이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종있으므로</t>
        </r>
        <r>
          <rPr>
            <sz val="9"/>
            <color indexed="81"/>
            <rFont val="Tahoma"/>
            <family val="2"/>
          </rPr>
          <t xml:space="preserve"> /3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업글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개당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환산함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" authorId="0" shapeId="0">
      <text>
        <r>
          <rPr>
            <sz val="9"/>
            <color indexed="81"/>
            <rFont val="돋움"/>
            <family val="3"/>
            <charset val="129"/>
          </rPr>
          <t>해당레벨의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영웅경험치
보유한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모든영웅들이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나눠갖는다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목표경험치획득량</t>
        </r>
        <r>
          <rPr>
            <sz val="9"/>
            <color indexed="81"/>
            <rFont val="Tahoma"/>
            <family val="2"/>
          </rPr>
          <t xml:space="preserve"> 1500
</t>
        </r>
        <r>
          <rPr>
            <sz val="9"/>
            <color indexed="81"/>
            <rFont val="돋움"/>
            <family val="3"/>
            <charset val="129"/>
          </rPr>
          <t>잉여경험치</t>
        </r>
        <r>
          <rPr>
            <sz val="9"/>
            <color indexed="81"/>
            <rFont val="Tahoma"/>
            <family val="2"/>
          </rPr>
          <t xml:space="preserve"> 500 </t>
        </r>
        <r>
          <rPr>
            <sz val="9"/>
            <color indexed="81"/>
            <rFont val="돋움"/>
            <family val="3"/>
            <charset val="129"/>
          </rPr>
          <t>일때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
또다른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채울수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영웅경험치는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지수곡선이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>)</t>
        </r>
      </text>
    </comment>
    <comment ref="AB2" authorId="0" shapeId="0">
      <text>
        <r>
          <rPr>
            <sz val="9"/>
            <color indexed="81"/>
            <rFont val="돋움"/>
            <family val="3"/>
            <charset val="129"/>
          </rPr>
          <t xml:space="preserve">목표경험치를 모두 먹는데 필요한 금화량은
계정레벨별 업글1종에 투자할수 있는 최대 액수(a) =
(계정레벨당 총수익 * 지출비율(0.9)) * (업글3종 비율 / 3)
목표경험치를 먹는데 필요한 총금화(b) == a
경험치당 금화 = 렙업글총투자액 / 목표경험치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>
      <text>
        <r>
          <rPr>
            <sz val="9"/>
            <color indexed="81"/>
            <rFont val="돋움"/>
            <family val="3"/>
            <charset val="129"/>
          </rPr>
          <t xml:space="preserve">이것은 계정레벨별이 아닌 영웅레벨별 경험치1당 훈련시간을 뜻한다. 
따라서 계정렙과 관계없이 영웅렙이 증가할수록 훈련시간도 늘어난다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3" authorId="0" shapeId="0">
      <text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P53" authorId="0" shapeId="0">
      <text>
        <r>
          <rPr>
            <sz val="9"/>
            <color indexed="81"/>
            <rFont val="돋움"/>
            <family val="3"/>
            <charset val="129"/>
          </rPr>
          <t>계정만렙까지 하루16시간 기준 6개월을 기준으로 함.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<sst xmlns="http://schemas.openxmlformats.org/spreadsheetml/2006/main" count="301" uniqueCount="196">
  <si>
    <t>//</t>
    <phoneticPr fontId="2" type="noConversion"/>
  </si>
  <si>
    <t>// 소형</t>
    <phoneticPr fontId="2" type="noConversion"/>
  </si>
  <si>
    <t>// 중형</t>
    <phoneticPr fontId="2" type="noConversion"/>
  </si>
  <si>
    <t>// 대형</t>
    <phoneticPr fontId="2" type="noConversion"/>
  </si>
  <si>
    <t>연구시간(초)</t>
    <phoneticPr fontId="2" type="noConversion"/>
  </si>
  <si>
    <t>//</t>
    <phoneticPr fontId="2" type="noConversion"/>
  </si>
  <si>
    <t xml:space="preserve">// </t>
    <phoneticPr fontId="2" type="noConversion"/>
  </si>
  <si>
    <t>오픈레벨</t>
    <phoneticPr fontId="2" type="noConversion"/>
  </si>
  <si>
    <t>// 특성포인트</t>
    <phoneticPr fontId="2" type="noConversion"/>
  </si>
  <si>
    <t>//</t>
    <phoneticPr fontId="2" type="noConversion"/>
  </si>
  <si>
    <t>필요금화</t>
    <phoneticPr fontId="2" type="noConversion"/>
  </si>
  <si>
    <t>//소형</t>
    <phoneticPr fontId="3" type="noConversion"/>
  </si>
  <si>
    <t>//중형</t>
    <phoneticPr fontId="3" type="noConversion"/>
  </si>
  <si>
    <t>//대형</t>
    <phoneticPr fontId="3" type="noConversion"/>
  </si>
  <si>
    <t>// 필요 자원</t>
    <phoneticPr fontId="2" type="noConversion"/>
  </si>
  <si>
    <t>시간</t>
    <phoneticPr fontId="2" type="noConversion"/>
  </si>
  <si>
    <t>분</t>
    <phoneticPr fontId="2" type="noConversion"/>
  </si>
  <si>
    <t>일</t>
    <phoneticPr fontId="2" type="noConversion"/>
  </si>
  <si>
    <t>초</t>
    <phoneticPr fontId="2" type="noConversion"/>
  </si>
  <si>
    <t>분</t>
    <phoneticPr fontId="2" type="noConversion"/>
  </si>
  <si>
    <t>일</t>
    <phoneticPr fontId="2" type="noConversion"/>
  </si>
  <si>
    <t>//</t>
    <phoneticPr fontId="2" type="noConversion"/>
  </si>
  <si>
    <t>//스킬레벨업</t>
    <phoneticPr fontId="2" type="noConversion"/>
  </si>
  <si>
    <t>보석1</t>
    <phoneticPr fontId="2" type="noConversion"/>
  </si>
  <si>
    <t>금화2</t>
    <phoneticPr fontId="2" type="noConversion"/>
  </si>
  <si>
    <t>유황1</t>
    <phoneticPr fontId="2" type="noConversion"/>
  </si>
  <si>
    <t>금화3</t>
    <phoneticPr fontId="2" type="noConversion"/>
  </si>
  <si>
    <t>// tier</t>
    <phoneticPr fontId="2" type="noConversion"/>
  </si>
  <si>
    <t>// tier</t>
    <phoneticPr fontId="2" type="noConversion"/>
  </si>
  <si>
    <t>tier1:목재/철</t>
    <phoneticPr fontId="2" type="noConversion"/>
  </si>
  <si>
    <t>tier2:목재/철</t>
    <phoneticPr fontId="2" type="noConversion"/>
  </si>
  <si>
    <t>tier3:보석</t>
    <phoneticPr fontId="2" type="noConversion"/>
  </si>
  <si>
    <t>tier4:유황</t>
    <phoneticPr fontId="2" type="noConversion"/>
  </si>
  <si>
    <t>tier5:만드레이크</t>
    <phoneticPr fontId="2" type="noConversion"/>
  </si>
  <si>
    <t>전투당 경험치</t>
    <phoneticPr fontId="2" type="noConversion"/>
  </si>
  <si>
    <t>영웅 레벨 제한</t>
  </si>
  <si>
    <t>1-14</t>
    <phoneticPr fontId="2" type="noConversion"/>
  </si>
  <si>
    <t>15-19</t>
    <phoneticPr fontId="2" type="noConversion"/>
  </si>
  <si>
    <t>20-29</t>
    <phoneticPr fontId="2" type="noConversion"/>
  </si>
  <si>
    <t>30-39</t>
    <phoneticPr fontId="2" type="noConversion"/>
  </si>
  <si>
    <t>10회 전투</t>
    <phoneticPr fontId="2" type="noConversion"/>
  </si>
  <si>
    <t>1회전투</t>
    <phoneticPr fontId="2" type="noConversion"/>
  </si>
  <si>
    <t>1분</t>
    <phoneticPr fontId="2" type="noConversion"/>
  </si>
  <si>
    <t>7회에서 메달</t>
    <phoneticPr fontId="2" type="noConversion"/>
  </si>
  <si>
    <t>3회에서 보옥</t>
    <phoneticPr fontId="2" type="noConversion"/>
  </si>
  <si>
    <t>7회동안 근접메달</t>
    <phoneticPr fontId="2" type="noConversion"/>
  </si>
  <si>
    <t>10분동안 2.33개 꼴로 메달종류한개를 얻음</t>
    <phoneticPr fontId="2" type="noConversion"/>
  </si>
  <si>
    <t>분 동안 1개꼴로 얻음</t>
    <phoneticPr fontId="2" type="noConversion"/>
  </si>
  <si>
    <t>등급</t>
    <phoneticPr fontId="2" type="noConversion"/>
  </si>
  <si>
    <t>보옥한개당 얻는시간</t>
    <phoneticPr fontId="2" type="noConversion"/>
  </si>
  <si>
    <t>7회동안 원거리메달</t>
    <phoneticPr fontId="2" type="noConversion"/>
  </si>
  <si>
    <t>7회동안 기사메달</t>
    <phoneticPr fontId="2" type="noConversion"/>
  </si>
  <si>
    <t>등급별확률</t>
    <phoneticPr fontId="2" type="noConversion"/>
  </si>
  <si>
    <t>등급별 얻는시간</t>
    <phoneticPr fontId="2" type="noConversion"/>
  </si>
  <si>
    <t>초</t>
    <phoneticPr fontId="2" type="noConversion"/>
  </si>
  <si>
    <t>금화</t>
    <phoneticPr fontId="2" type="noConversion"/>
  </si>
  <si>
    <t>전제조건</t>
    <phoneticPr fontId="2" type="noConversion"/>
  </si>
  <si>
    <t>* 영웅레벨은 계정레벨보다 커질수 없다</t>
    <phoneticPr fontId="2" type="noConversion"/>
  </si>
  <si>
    <t>*적당한 훈련시간은?</t>
    <phoneticPr fontId="2" type="noConversion"/>
  </si>
  <si>
    <t>최소치/최대치</t>
    <phoneticPr fontId="2" type="noConversion"/>
  </si>
  <si>
    <t>영웅 경험치 테이블</t>
    <phoneticPr fontId="2" type="noConversion"/>
  </si>
  <si>
    <t>경험치</t>
    <phoneticPr fontId="2" type="noConversion"/>
  </si>
  <si>
    <t>금화</t>
    <phoneticPr fontId="2" type="noConversion"/>
  </si>
  <si>
    <t>필요금화</t>
    <phoneticPr fontId="2" type="noConversion"/>
  </si>
  <si>
    <t>훈련시간</t>
    <phoneticPr fontId="2" type="noConversion"/>
  </si>
  <si>
    <t xml:space="preserve"> 분</t>
    <phoneticPr fontId="2" type="noConversion"/>
  </si>
  <si>
    <t>필요경험치</t>
    <phoneticPr fontId="2" type="noConversion"/>
  </si>
  <si>
    <t>경험치당 금화와 훈련시간</t>
    <phoneticPr fontId="2" type="noConversion"/>
  </si>
  <si>
    <t>경험치</t>
    <phoneticPr fontId="2" type="noConversion"/>
  </si>
  <si>
    <t>훈련시간</t>
    <phoneticPr fontId="2" type="noConversion"/>
  </si>
  <si>
    <t>총 훈련시간</t>
    <phoneticPr fontId="2" type="noConversion"/>
  </si>
  <si>
    <t>지나치게 훈련시간을 많이 잡을필요는 없다. 어차피 영웅레벨에 의해 제한이 되기때문</t>
    <phoneticPr fontId="2" type="noConversion"/>
  </si>
  <si>
    <t>금화만 많이 필요하게한다.</t>
    <phoneticPr fontId="2" type="noConversion"/>
  </si>
  <si>
    <t>캐쉬를 쓰게 하려면 금화가 넉넉하고 훈련시간이 짧은편이 좋지 않나?</t>
    <phoneticPr fontId="2" type="noConversion"/>
  </si>
  <si>
    <t>금화를 캐쉬로 살수 있지 않나?</t>
    <phoneticPr fontId="2" type="noConversion"/>
  </si>
  <si>
    <t>비과금유저&lt;-&gt;과금유저간의 격차 고려</t>
    <phoneticPr fontId="2" type="noConversion"/>
  </si>
  <si>
    <t>과금유저&lt;-&gt;과금유저간의 격차 고려</t>
    <phoneticPr fontId="2" type="noConversion"/>
  </si>
  <si>
    <t>총 금화</t>
    <phoneticPr fontId="2" type="noConversion"/>
  </si>
  <si>
    <t>총 훈련시간</t>
    <phoneticPr fontId="2" type="noConversion"/>
  </si>
  <si>
    <t>분</t>
    <phoneticPr fontId="2" type="noConversion"/>
  </si>
  <si>
    <t>누적훈련시간</t>
    <phoneticPr fontId="2" type="noConversion"/>
  </si>
  <si>
    <t>계정레벨</t>
    <phoneticPr fontId="2" type="noConversion"/>
  </si>
  <si>
    <t>총부대수</t>
    <phoneticPr fontId="2" type="noConversion"/>
  </si>
  <si>
    <t>풀렙영웅</t>
    <phoneticPr fontId="2" type="noConversion"/>
  </si>
  <si>
    <t>누적경험치</t>
    <phoneticPr fontId="2" type="noConversion"/>
  </si>
  <si>
    <t>전투당 계정경험치</t>
    <phoneticPr fontId="2" type="noConversion"/>
  </si>
  <si>
    <t>//유저레벨</t>
    <phoneticPr fontId="3" type="noConversion"/>
  </si>
  <si>
    <t>필요 경험치</t>
  </si>
  <si>
    <t>잉여경험치</t>
    <phoneticPr fontId="2" type="noConversion"/>
  </si>
  <si>
    <t>배수</t>
    <phoneticPr fontId="2" type="noConversion"/>
  </si>
  <si>
    <t>?</t>
    <phoneticPr fontId="2" type="noConversion"/>
  </si>
  <si>
    <t>시간당 계정경험치(행동력/리젠반영된)</t>
    <phoneticPr fontId="2" type="noConversion"/>
  </si>
  <si>
    <t>일</t>
    <phoneticPr fontId="2" type="noConversion"/>
  </si>
  <si>
    <t>시</t>
    <phoneticPr fontId="2" type="noConversion"/>
  </si>
  <si>
    <t>일</t>
    <phoneticPr fontId="2" type="noConversion"/>
  </si>
  <si>
    <t>계정레벨당</t>
    <phoneticPr fontId="2" type="noConversion"/>
  </si>
  <si>
    <t>목표경험치 
훈련시간</t>
    <phoneticPr fontId="2" type="noConversion"/>
  </si>
  <si>
    <t>분</t>
    <phoneticPr fontId="2" type="noConversion"/>
  </si>
  <si>
    <t>지수</t>
    <phoneticPr fontId="2" type="noConversion"/>
  </si>
  <si>
    <t>영웅렙지수</t>
    <phoneticPr fontId="2" type="noConversion"/>
  </si>
  <si>
    <t>경험치당 금화</t>
    <phoneticPr fontId="2" type="noConversion"/>
  </si>
  <si>
    <t>누적</t>
    <phoneticPr fontId="2" type="noConversion"/>
  </si>
  <si>
    <t>//스킬
레벨</t>
    <phoneticPr fontId="2" type="noConversion"/>
  </si>
  <si>
    <t>렙업</t>
    <phoneticPr fontId="2" type="noConversion"/>
  </si>
  <si>
    <t>레벨당 총 금화</t>
    <phoneticPr fontId="2" type="noConversion"/>
  </si>
  <si>
    <t>최대 렙업
훈련시간(s)</t>
    <phoneticPr fontId="2" type="noConversion"/>
  </si>
  <si>
    <t>최대 훈련시간</t>
    <phoneticPr fontId="2" type="noConversion"/>
  </si>
  <si>
    <t>시</t>
    <phoneticPr fontId="2" type="noConversion"/>
  </si>
  <si>
    <t>일</t>
    <phoneticPr fontId="2" type="noConversion"/>
  </si>
  <si>
    <t>목표 경험치 획득량</t>
    <phoneticPr fontId="2" type="noConversion"/>
  </si>
  <si>
    <t>렙업</t>
    <phoneticPr fontId="2" type="noConversion"/>
  </si>
  <si>
    <t>스킬최대렙</t>
    <phoneticPr fontId="2" type="noConversion"/>
  </si>
  <si>
    <t>부대최대렙</t>
    <phoneticPr fontId="2" type="noConversion"/>
  </si>
  <si>
    <t>영웅최대렙</t>
    <phoneticPr fontId="2" type="noConversion"/>
  </si>
  <si>
    <t>계정최대렙</t>
    <phoneticPr fontId="2" type="noConversion"/>
  </si>
  <si>
    <t>경험치당 훈련시간(s)</t>
    <phoneticPr fontId="2" type="noConversion"/>
  </si>
  <si>
    <t>*경험치1당 금화액수는?</t>
    <phoneticPr fontId="2" type="noConversion"/>
  </si>
  <si>
    <t>경험치</t>
    <phoneticPr fontId="2" type="noConversion"/>
  </si>
  <si>
    <t>전투시간</t>
    <phoneticPr fontId="2" type="noConversion"/>
  </si>
  <si>
    <t>목표 경험치 
달성 금화</t>
    <phoneticPr fontId="2" type="noConversion"/>
  </si>
  <si>
    <t>시간당 계정경험치
(전투)</t>
    <phoneticPr fontId="2" type="noConversion"/>
  </si>
  <si>
    <t>초당 획득
경험치
(전투)</t>
    <phoneticPr fontId="2" type="noConversion"/>
  </si>
  <si>
    <t>초당 획득경험치</t>
    <phoneticPr fontId="2" type="noConversion"/>
  </si>
  <si>
    <t>초당 획득경험치(ap/regen)</t>
    <phoneticPr fontId="2" type="noConversion"/>
  </si>
  <si>
    <t>렙 업글
훈련시간
sec/exp</t>
    <phoneticPr fontId="2" type="noConversion"/>
  </si>
  <si>
    <t>렙 업글
금액
gold/exp</t>
    <phoneticPr fontId="2" type="noConversion"/>
  </si>
  <si>
    <t>계정 레벨당 
플레이 시간
(전투)</t>
    <phoneticPr fontId="2" type="noConversion"/>
  </si>
  <si>
    <t>경험치상수</t>
    <phoneticPr fontId="2" type="noConversion"/>
  </si>
  <si>
    <t>스킬2개</t>
  </si>
  <si>
    <t>스킬2개</t>
    <phoneticPr fontId="2" type="noConversion"/>
  </si>
  <si>
    <t>누적치(스킬1개)</t>
    <phoneticPr fontId="2" type="noConversion"/>
  </si>
  <si>
    <t>누적치</t>
    <phoneticPr fontId="2" type="noConversion"/>
  </si>
  <si>
    <t>부대
레벨</t>
    <phoneticPr fontId="2" type="noConversion"/>
  </si>
  <si>
    <t>지수</t>
    <phoneticPr fontId="2" type="noConversion"/>
  </si>
  <si>
    <t>경험치 상수</t>
    <phoneticPr fontId="2" type="noConversion"/>
  </si>
  <si>
    <t>tier</t>
    <phoneticPr fontId="2" type="noConversion"/>
  </si>
  <si>
    <t>특성레벨</t>
    <phoneticPr fontId="2" type="noConversion"/>
  </si>
  <si>
    <t>1유닛당 
금화</t>
    <phoneticPr fontId="2" type="noConversion"/>
  </si>
  <si>
    <t>지수</t>
    <phoneticPr fontId="2" type="noConversion"/>
  </si>
  <si>
    <t>금화상수</t>
    <phoneticPr fontId="2" type="noConversion"/>
  </si>
  <si>
    <t>지수상수</t>
    <phoneticPr fontId="2" type="noConversion"/>
  </si>
  <si>
    <t>누적치</t>
    <phoneticPr fontId="2" type="noConversion"/>
  </si>
  <si>
    <t>잠금해제</t>
    <phoneticPr fontId="2" type="noConversion"/>
  </si>
  <si>
    <t>잠금상수</t>
    <phoneticPr fontId="2" type="noConversion"/>
  </si>
  <si>
    <t>비율</t>
    <phoneticPr fontId="2" type="noConversion"/>
  </si>
  <si>
    <t>시간상수</t>
    <phoneticPr fontId="2" type="noConversion"/>
  </si>
  <si>
    <t>연구시간</t>
    <phoneticPr fontId="2" type="noConversion"/>
  </si>
  <si>
    <t>목재</t>
    <phoneticPr fontId="2" type="noConversion"/>
  </si>
  <si>
    <t>자원환산</t>
    <phoneticPr fontId="2" type="noConversion"/>
  </si>
  <si>
    <t>철</t>
    <phoneticPr fontId="2" type="noConversion"/>
  </si>
  <si>
    <t>보석</t>
    <phoneticPr fontId="2" type="noConversion"/>
  </si>
  <si>
    <t>유황</t>
    <phoneticPr fontId="2" type="noConversion"/>
  </si>
  <si>
    <t>만드레이크</t>
    <phoneticPr fontId="2" type="noConversion"/>
  </si>
  <si>
    <t>영웅렙제한</t>
    <phoneticPr fontId="2" type="noConversion"/>
  </si>
  <si>
    <t>// 스킬렙</t>
    <phoneticPr fontId="2" type="noConversion"/>
  </si>
  <si>
    <t>영웅렙제한</t>
    <phoneticPr fontId="2" type="noConversion"/>
  </si>
  <si>
    <t>필요경험치</t>
    <phoneticPr fontId="2" type="noConversion"/>
  </si>
  <si>
    <t>// 경험치당 금화</t>
    <phoneticPr fontId="2" type="noConversion"/>
  </si>
  <si>
    <t>// 경험치당 시간(초)</t>
    <phoneticPr fontId="2" type="noConversion"/>
  </si>
  <si>
    <t>목재</t>
    <phoneticPr fontId="2" type="noConversion"/>
  </si>
  <si>
    <t>보석</t>
    <phoneticPr fontId="2" type="noConversion"/>
  </si>
  <si>
    <t>유황</t>
    <phoneticPr fontId="2" type="noConversion"/>
  </si>
  <si>
    <t>// 잠금해제비용</t>
    <phoneticPr fontId="2" type="noConversion"/>
  </si>
  <si>
    <t>금액</t>
    <phoneticPr fontId="2" type="noConversion"/>
  </si>
  <si>
    <t>획득 영웅수</t>
    <phoneticPr fontId="2" type="noConversion"/>
  </si>
  <si>
    <t>0.253gold = 1exp</t>
    <phoneticPr fontId="2" type="noConversion"/>
  </si>
  <si>
    <t>1gold = 3.946exp</t>
    <phoneticPr fontId="2" type="noConversion"/>
  </si>
  <si>
    <t>투자gold</t>
    <phoneticPr fontId="2" type="noConversion"/>
  </si>
  <si>
    <t>115분:36회=60분:?</t>
    <phoneticPr fontId="2" type="noConversion"/>
  </si>
  <si>
    <t>36*60/115=전투횟수</t>
    <phoneticPr fontId="2" type="noConversion"/>
  </si>
  <si>
    <t>117.211gold = 1exp</t>
    <phoneticPr fontId="2" type="noConversion"/>
  </si>
  <si>
    <t>1gold = 0.0085exp</t>
    <phoneticPr fontId="2" type="noConversion"/>
  </si>
  <si>
    <t>0.384sec = 1exp</t>
    <phoneticPr fontId="2" type="noConversion"/>
  </si>
  <si>
    <t>1sec = 2.604exp</t>
    <phoneticPr fontId="2" type="noConversion"/>
  </si>
  <si>
    <t>2.604exp = n gold?</t>
    <phoneticPr fontId="2" type="noConversion"/>
  </si>
  <si>
    <t>1초에 305.21원</t>
    <phoneticPr fontId="2" type="noConversion"/>
  </si>
  <si>
    <t>2.8시간 훈련의 가격</t>
    <phoneticPr fontId="2" type="noConversion"/>
  </si>
  <si>
    <t>1계정렙 플레이시간</t>
    <phoneticPr fontId="2" type="noConversion"/>
  </si>
  <si>
    <t>렙업훈련</t>
    <phoneticPr fontId="2" type="noConversion"/>
  </si>
  <si>
    <t>부대훈련</t>
    <phoneticPr fontId="2" type="noConversion"/>
  </si>
  <si>
    <t>스킬훈련</t>
    <phoneticPr fontId="2" type="noConversion"/>
  </si>
  <si>
    <t>1계정렙 플레이시간</t>
    <phoneticPr fontId="2" type="noConversion"/>
  </si>
  <si>
    <t>연구</t>
    <phoneticPr fontId="2" type="noConversion"/>
  </si>
  <si>
    <t>레벨당 플레이시간</t>
    <phoneticPr fontId="2" type="noConversion"/>
  </si>
  <si>
    <t>계정레벨</t>
    <phoneticPr fontId="2" type="noConversion"/>
  </si>
  <si>
    <t>총훈련시간</t>
    <phoneticPr fontId="2" type="noConversion"/>
  </si>
  <si>
    <t>총 훈련시간(s)</t>
    <phoneticPr fontId="2" type="noConversion"/>
  </si>
  <si>
    <t>분</t>
    <phoneticPr fontId="2" type="noConversion"/>
  </si>
  <si>
    <t>연구시간(s)</t>
    <phoneticPr fontId="2" type="noConversion"/>
  </si>
  <si>
    <t>만렙까지 총연구시간</t>
    <phoneticPr fontId="2" type="noConversion"/>
  </si>
  <si>
    <t>지수상수(시간)</t>
    <phoneticPr fontId="2" type="noConversion"/>
  </si>
  <si>
    <t>지수(시간용)</t>
    <phoneticPr fontId="2" type="noConversion"/>
  </si>
  <si>
    <t>// 포인트개수</t>
    <phoneticPr fontId="2" type="noConversion"/>
  </si>
  <si>
    <t>포인트 개수</t>
    <phoneticPr fontId="2" type="noConversion"/>
  </si>
  <si>
    <t>//97</t>
    <phoneticPr fontId="2" type="noConversion"/>
  </si>
  <si>
    <t>경험치당금화 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</si>
</sst>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43" formatCode="_-* #,##0.00_-;\-* #,##0.00_-;_-* &quot;-&quot;??_-;_-@_-"/>
    <numFmt numFmtId="176" formatCode="0.0_ "/>
    <numFmt numFmtId="177" formatCode="0_);[Red]\(0\)"/>
    <numFmt numFmtId="178" formatCode="#,##0_ "/>
    <numFmt numFmtId="179" formatCode="0.00_ "/>
    <numFmt numFmtId="180" formatCode="#,##0_);[Red]\(#,##0\)"/>
    <numFmt numFmtId="181" formatCode="0_ "/>
    <numFmt numFmtId="182" formatCode="0.00_);[Red]\(0.00\)"/>
    <numFmt numFmtId="183" formatCode="_-* #,##0_-;\-* #,##0_-;_-* &quot;-&quot;??_-;_-@_-"/>
    <numFmt numFmtId="184" formatCode="0.0"/>
    <numFmt numFmtId="185" formatCode="#,##0.0_ "/>
    <numFmt numFmtId="186" formatCode="#,##0.00_);[Red]\(#,##0.00\)"/>
    <numFmt numFmtId="187" formatCode="0.000_ "/>
    <numFmt numFmtId="188" formatCode="0.000_);[Red]\(0.000\)"/>
    <numFmt numFmtId="189" formatCode="#,##0.00_ "/>
    <numFmt numFmtId="190" formatCode="0.0_);[Red]\(0.0\)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6"/>
      <color theme="1"/>
      <name val="맑은 고딕"/>
      <family val="2"/>
      <scheme val="minor"/>
    </font>
    <font>
      <sz val="7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i/>
      <sz val="8"/>
      <color theme="1"/>
      <name val="맑은 고딕"/>
      <family val="3"/>
      <charset val="129"/>
      <scheme val="minor"/>
    </font>
    <font>
      <i/>
      <sz val="6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uble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268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4" fillId="0" borderId="0" xfId="0" applyNumberFormat="1" applyFont="1"/>
    <xf numFmtId="0" fontId="4" fillId="0" borderId="0" xfId="0" applyFont="1" applyAlignment="1">
      <alignment horizontal="right"/>
    </xf>
    <xf numFmtId="177" fontId="4" fillId="0" borderId="0" xfId="0" applyNumberFormat="1" applyFont="1"/>
    <xf numFmtId="178" fontId="4" fillId="0" borderId="0" xfId="0" applyNumberFormat="1" applyFont="1"/>
    <xf numFmtId="181" fontId="4" fillId="0" borderId="0" xfId="0" applyNumberFormat="1" applyFont="1"/>
    <xf numFmtId="41" fontId="4" fillId="0" borderId="0" xfId="2" applyFont="1" applyAlignment="1"/>
    <xf numFmtId="41" fontId="4" fillId="2" borderId="0" xfId="2" applyFont="1" applyFill="1" applyAlignment="1"/>
    <xf numFmtId="41" fontId="5" fillId="2" borderId="1" xfId="2" applyFont="1" applyFill="1" applyBorder="1" applyAlignment="1">
      <alignment horizontal="center" vertical="center"/>
    </xf>
    <xf numFmtId="41" fontId="5" fillId="0" borderId="1" xfId="2" applyFont="1" applyBorder="1" applyAlignment="1">
      <alignment horizontal="center" vertical="center"/>
    </xf>
    <xf numFmtId="182" fontId="4" fillId="0" borderId="0" xfId="0" applyNumberFormat="1" applyFont="1"/>
    <xf numFmtId="41" fontId="4" fillId="0" borderId="0" xfId="0" applyNumberFormat="1" applyFont="1"/>
    <xf numFmtId="43" fontId="4" fillId="0" borderId="0" xfId="0" applyNumberFormat="1" applyFont="1"/>
    <xf numFmtId="183" fontId="4" fillId="0" borderId="0" xfId="2" applyNumberFormat="1" applyFont="1" applyAlignment="1"/>
    <xf numFmtId="0" fontId="4" fillId="0" borderId="10" xfId="0" applyFont="1" applyBorder="1"/>
    <xf numFmtId="2" fontId="4" fillId="0" borderId="0" xfId="0" applyNumberFormat="1" applyFont="1"/>
    <xf numFmtId="184" fontId="4" fillId="0" borderId="0" xfId="0" applyNumberFormat="1" applyFont="1"/>
    <xf numFmtId="1" fontId="4" fillId="0" borderId="0" xfId="0" applyNumberFormat="1" applyFont="1"/>
    <xf numFmtId="0" fontId="4" fillId="2" borderId="0" xfId="0" applyFont="1" applyFill="1"/>
    <xf numFmtId="184" fontId="4" fillId="2" borderId="0" xfId="0" applyNumberFormat="1" applyFont="1" applyFill="1"/>
    <xf numFmtId="1" fontId="4" fillId="2" borderId="0" xfId="0" applyNumberFormat="1" applyFont="1" applyFill="1"/>
    <xf numFmtId="49" fontId="4" fillId="0" borderId="0" xfId="0" applyNumberFormat="1" applyFont="1"/>
    <xf numFmtId="41" fontId="4" fillId="0" borderId="0" xfId="2" applyFont="1" applyFill="1" applyAlignment="1"/>
    <xf numFmtId="0" fontId="11" fillId="0" borderId="0" xfId="0" applyFont="1"/>
    <xf numFmtId="178" fontId="11" fillId="0" borderId="0" xfId="0" applyNumberFormat="1" applyFont="1"/>
    <xf numFmtId="43" fontId="4" fillId="0" borderId="0" xfId="2" applyNumberFormat="1" applyFont="1" applyAlignment="1"/>
    <xf numFmtId="0" fontId="13" fillId="0" borderId="0" xfId="0" applyFont="1"/>
    <xf numFmtId="0" fontId="13" fillId="0" borderId="0" xfId="0" applyFont="1" applyFill="1"/>
    <xf numFmtId="0" fontId="13" fillId="2" borderId="0" xfId="0" applyFont="1" applyFill="1"/>
    <xf numFmtId="180" fontId="13" fillId="0" borderId="0" xfId="0" applyNumberFormat="1" applyFont="1" applyFill="1"/>
    <xf numFmtId="0" fontId="13" fillId="0" borderId="0" xfId="0" applyFont="1" applyBorder="1"/>
    <xf numFmtId="178" fontId="13" fillId="0" borderId="0" xfId="0" applyNumberFormat="1" applyFont="1"/>
    <xf numFmtId="0" fontId="13" fillId="0" borderId="0" xfId="0" applyFont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80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78" fontId="12" fillId="0" borderId="0" xfId="0" applyNumberFormat="1" applyFont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181" fontId="14" fillId="3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13" fillId="0" borderId="0" xfId="0" applyNumberFormat="1" applyFont="1" applyAlignment="1">
      <alignment vertical="center"/>
    </xf>
    <xf numFmtId="176" fontId="13" fillId="0" borderId="0" xfId="0" applyNumberFormat="1" applyFont="1"/>
    <xf numFmtId="176" fontId="12" fillId="0" borderId="0" xfId="0" applyNumberFormat="1" applyFont="1" applyAlignment="1">
      <alignment horizontal="center" vertical="center" wrapText="1"/>
    </xf>
    <xf numFmtId="185" fontId="13" fillId="0" borderId="0" xfId="0" applyNumberFormat="1" applyFont="1"/>
    <xf numFmtId="185" fontId="12" fillId="0" borderId="0" xfId="0" applyNumberFormat="1" applyFont="1" applyAlignment="1">
      <alignment horizontal="center" vertical="center" wrapText="1"/>
    </xf>
    <xf numFmtId="180" fontId="13" fillId="0" borderId="0" xfId="0" applyNumberFormat="1" applyFont="1"/>
    <xf numFmtId="180" fontId="12" fillId="0" borderId="0" xfId="0" applyNumberFormat="1" applyFont="1" applyAlignment="1">
      <alignment horizontal="center" vertical="center" wrapText="1"/>
    </xf>
    <xf numFmtId="179" fontId="13" fillId="2" borderId="0" xfId="0" applyNumberFormat="1" applyFont="1" applyFill="1"/>
    <xf numFmtId="179" fontId="12" fillId="2" borderId="0" xfId="0" applyNumberFormat="1" applyFont="1" applyFill="1" applyAlignment="1">
      <alignment horizontal="center" vertical="center" wrapText="1"/>
    </xf>
    <xf numFmtId="180" fontId="13" fillId="0" borderId="11" xfId="0" applyNumberFormat="1" applyFont="1" applyBorder="1"/>
    <xf numFmtId="180" fontId="13" fillId="0" borderId="0" xfId="0" applyNumberFormat="1" applyFont="1" applyBorder="1"/>
    <xf numFmtId="180" fontId="12" fillId="0" borderId="11" xfId="0" applyNumberFormat="1" applyFont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 wrapText="1"/>
    </xf>
    <xf numFmtId="186" fontId="13" fillId="0" borderId="0" xfId="0" applyNumberFormat="1" applyFont="1"/>
    <xf numFmtId="186" fontId="12" fillId="0" borderId="0" xfId="0" applyNumberFormat="1" applyFont="1" applyAlignment="1">
      <alignment horizontal="center" vertical="center" wrapText="1"/>
    </xf>
    <xf numFmtId="177" fontId="11" fillId="0" borderId="0" xfId="0" applyNumberFormat="1" applyFont="1"/>
    <xf numFmtId="182" fontId="11" fillId="0" borderId="0" xfId="0" applyNumberFormat="1" applyFont="1"/>
    <xf numFmtId="0" fontId="16" fillId="0" borderId="0" xfId="0" applyFont="1" applyAlignment="1">
      <alignment horizontal="center" vertical="center" wrapText="1"/>
    </xf>
    <xf numFmtId="188" fontId="11" fillId="0" borderId="0" xfId="0" applyNumberFormat="1" applyFont="1"/>
    <xf numFmtId="177" fontId="11" fillId="0" borderId="0" xfId="0" applyNumberFormat="1" applyFont="1" applyAlignment="1">
      <alignment horizontal="right"/>
    </xf>
    <xf numFmtId="177" fontId="17" fillId="0" borderId="0" xfId="0" applyNumberFormat="1" applyFont="1" applyAlignment="1">
      <alignment horizontal="right"/>
    </xf>
    <xf numFmtId="180" fontId="11" fillId="0" borderId="0" xfId="0" applyNumberFormat="1" applyFont="1"/>
    <xf numFmtId="178" fontId="16" fillId="0" borderId="0" xfId="0" applyNumberFormat="1" applyFont="1" applyAlignment="1">
      <alignment horizontal="center" vertical="center" wrapText="1"/>
    </xf>
    <xf numFmtId="0" fontId="13" fillId="0" borderId="11" xfId="0" applyFont="1" applyBorder="1"/>
    <xf numFmtId="0" fontId="12" fillId="0" borderId="11" xfId="0" applyFont="1" applyBorder="1" applyAlignment="1">
      <alignment horizontal="center" vertical="center" wrapText="1"/>
    </xf>
    <xf numFmtId="0" fontId="13" fillId="2" borderId="11" xfId="0" applyFont="1" applyFill="1" applyBorder="1"/>
    <xf numFmtId="190" fontId="11" fillId="0" borderId="0" xfId="0" applyNumberFormat="1" applyFont="1"/>
    <xf numFmtId="0" fontId="11" fillId="4" borderId="0" xfId="0" applyFont="1" applyFill="1"/>
    <xf numFmtId="178" fontId="11" fillId="4" borderId="0" xfId="0" applyNumberFormat="1" applyFont="1" applyFill="1"/>
    <xf numFmtId="190" fontId="11" fillId="4" borderId="0" xfId="0" applyNumberFormat="1" applyFont="1" applyFill="1"/>
    <xf numFmtId="0" fontId="13" fillId="0" borderId="0" xfId="0" applyFont="1" applyAlignment="1"/>
    <xf numFmtId="0" fontId="13" fillId="4" borderId="0" xfId="0" applyFont="1" applyFill="1"/>
    <xf numFmtId="178" fontId="13" fillId="4" borderId="0" xfId="0" applyNumberFormat="1" applyFont="1" applyFill="1"/>
    <xf numFmtId="180" fontId="13" fillId="4" borderId="0" xfId="0" applyNumberFormat="1" applyFont="1" applyFill="1"/>
    <xf numFmtId="185" fontId="13" fillId="4" borderId="0" xfId="0" applyNumberFormat="1" applyFont="1" applyFill="1"/>
    <xf numFmtId="0" fontId="13" fillId="4" borderId="11" xfId="0" applyFont="1" applyFill="1" applyBorder="1"/>
    <xf numFmtId="176" fontId="13" fillId="4" borderId="0" xfId="0" applyNumberFormat="1" applyFont="1" applyFill="1"/>
    <xf numFmtId="186" fontId="13" fillId="4" borderId="0" xfId="0" applyNumberFormat="1" applyFont="1" applyFill="1"/>
    <xf numFmtId="0" fontId="13" fillId="0" borderId="0" xfId="0" applyFont="1" applyFill="1" applyBorder="1"/>
    <xf numFmtId="178" fontId="13" fillId="2" borderId="0" xfId="0" applyNumberFormat="1" applyFont="1" applyFill="1" applyBorder="1"/>
    <xf numFmtId="185" fontId="13" fillId="0" borderId="0" xfId="0" applyNumberFormat="1" applyFont="1" applyFill="1" applyBorder="1"/>
    <xf numFmtId="180" fontId="13" fillId="0" borderId="0" xfId="0" applyNumberFormat="1" applyFont="1" applyFill="1" applyBorder="1"/>
    <xf numFmtId="0" fontId="12" fillId="0" borderId="0" xfId="0" applyFont="1" applyBorder="1"/>
    <xf numFmtId="178" fontId="13" fillId="0" borderId="0" xfId="0" applyNumberFormat="1" applyFont="1" applyBorder="1"/>
    <xf numFmtId="185" fontId="13" fillId="0" borderId="0" xfId="0" applyNumberFormat="1" applyFont="1" applyBorder="1"/>
    <xf numFmtId="176" fontId="13" fillId="0" borderId="0" xfId="0" applyNumberFormat="1" applyFont="1" applyBorder="1"/>
    <xf numFmtId="187" fontId="13" fillId="2" borderId="0" xfId="0" applyNumberFormat="1" applyFont="1" applyFill="1" applyBorder="1"/>
    <xf numFmtId="186" fontId="13" fillId="0" borderId="0" xfId="0" applyNumberFormat="1" applyFont="1" applyBorder="1"/>
    <xf numFmtId="0" fontId="13" fillId="0" borderId="13" xfId="0" applyFont="1" applyFill="1" applyBorder="1"/>
    <xf numFmtId="178" fontId="13" fillId="2" borderId="13" xfId="0" applyNumberFormat="1" applyFont="1" applyFill="1" applyBorder="1"/>
    <xf numFmtId="185" fontId="13" fillId="0" borderId="13" xfId="0" applyNumberFormat="1" applyFont="1" applyFill="1" applyBorder="1"/>
    <xf numFmtId="180" fontId="13" fillId="0" borderId="13" xfId="0" applyNumberFormat="1" applyFont="1" applyFill="1" applyBorder="1"/>
    <xf numFmtId="0" fontId="13" fillId="0" borderId="13" xfId="0" applyFont="1" applyBorder="1"/>
    <xf numFmtId="0" fontId="12" fillId="0" borderId="13" xfId="0" applyFont="1" applyBorder="1"/>
    <xf numFmtId="178" fontId="13" fillId="0" borderId="13" xfId="0" applyNumberFormat="1" applyFont="1" applyBorder="1"/>
    <xf numFmtId="185" fontId="13" fillId="0" borderId="13" xfId="0" applyNumberFormat="1" applyFont="1" applyBorder="1"/>
    <xf numFmtId="180" fontId="13" fillId="0" borderId="14" xfId="0" applyNumberFormat="1" applyFont="1" applyBorder="1"/>
    <xf numFmtId="0" fontId="13" fillId="0" borderId="14" xfId="0" applyFont="1" applyBorder="1"/>
    <xf numFmtId="176" fontId="13" fillId="0" borderId="13" xfId="0" applyNumberFormat="1" applyFont="1" applyBorder="1"/>
    <xf numFmtId="187" fontId="13" fillId="2" borderId="13" xfId="0" applyNumberFormat="1" applyFont="1" applyFill="1" applyBorder="1"/>
    <xf numFmtId="186" fontId="13" fillId="0" borderId="13" xfId="0" applyNumberFormat="1" applyFont="1" applyBorder="1"/>
    <xf numFmtId="187" fontId="13" fillId="2" borderId="8" xfId="0" applyNumberFormat="1" applyFont="1" applyFill="1" applyBorder="1"/>
    <xf numFmtId="180" fontId="16" fillId="0" borderId="0" xfId="0" applyNumberFormat="1" applyFont="1" applyAlignment="1">
      <alignment horizontal="center" vertical="center" wrapText="1"/>
    </xf>
    <xf numFmtId="180" fontId="11" fillId="4" borderId="0" xfId="0" applyNumberFormat="1" applyFont="1" applyFill="1"/>
    <xf numFmtId="190" fontId="16" fillId="0" borderId="0" xfId="0" applyNumberFormat="1" applyFont="1" applyAlignment="1">
      <alignment horizontal="center" vertical="center" wrapText="1"/>
    </xf>
    <xf numFmtId="0" fontId="13" fillId="0" borderId="8" xfId="0" applyFont="1" applyFill="1" applyBorder="1"/>
    <xf numFmtId="178" fontId="13" fillId="2" borderId="8" xfId="0" applyNumberFormat="1" applyFont="1" applyFill="1" applyBorder="1"/>
    <xf numFmtId="185" fontId="13" fillId="0" borderId="8" xfId="0" applyNumberFormat="1" applyFont="1" applyFill="1" applyBorder="1"/>
    <xf numFmtId="180" fontId="13" fillId="0" borderId="8" xfId="0" applyNumberFormat="1" applyFont="1" applyFill="1" applyBorder="1"/>
    <xf numFmtId="0" fontId="13" fillId="0" borderId="8" xfId="0" applyFont="1" applyBorder="1"/>
    <xf numFmtId="0" fontId="12" fillId="0" borderId="8" xfId="0" applyFont="1" applyBorder="1"/>
    <xf numFmtId="178" fontId="13" fillId="0" borderId="8" xfId="0" applyNumberFormat="1" applyFont="1" applyBorder="1"/>
    <xf numFmtId="185" fontId="13" fillId="0" borderId="8" xfId="0" applyNumberFormat="1" applyFont="1" applyBorder="1"/>
    <xf numFmtId="180" fontId="13" fillId="0" borderId="7" xfId="0" applyNumberFormat="1" applyFont="1" applyBorder="1"/>
    <xf numFmtId="180" fontId="13" fillId="0" borderId="8" xfId="0" applyNumberFormat="1" applyFont="1" applyBorder="1"/>
    <xf numFmtId="0" fontId="13" fillId="0" borderId="7" xfId="0" applyFont="1" applyBorder="1"/>
    <xf numFmtId="176" fontId="13" fillId="0" borderId="8" xfId="0" applyNumberFormat="1" applyFont="1" applyBorder="1"/>
    <xf numFmtId="186" fontId="13" fillId="0" borderId="8" xfId="0" applyNumberFormat="1" applyFont="1" applyBorder="1"/>
    <xf numFmtId="0" fontId="13" fillId="2" borderId="0" xfId="0" applyFont="1" applyFill="1" applyBorder="1"/>
    <xf numFmtId="189" fontId="13" fillId="0" borderId="0" xfId="0" applyNumberFormat="1" applyFont="1"/>
    <xf numFmtId="189" fontId="12" fillId="0" borderId="0" xfId="0" applyNumberFormat="1" applyFont="1" applyAlignment="1">
      <alignment horizontal="center" vertical="center" wrapText="1"/>
    </xf>
    <xf numFmtId="189" fontId="13" fillId="0" borderId="0" xfId="0" applyNumberFormat="1" applyFont="1" applyBorder="1"/>
    <xf numFmtId="189" fontId="13" fillId="0" borderId="13" xfId="0" applyNumberFormat="1" applyFont="1" applyBorder="1"/>
    <xf numFmtId="189" fontId="13" fillId="0" borderId="8" xfId="0" applyNumberFormat="1" applyFont="1" applyBorder="1"/>
    <xf numFmtId="189" fontId="13" fillId="4" borderId="0" xfId="0" applyNumberFormat="1" applyFont="1" applyFill="1"/>
    <xf numFmtId="187" fontId="13" fillId="5" borderId="0" xfId="0" applyNumberFormat="1" applyFont="1" applyFill="1"/>
    <xf numFmtId="187" fontId="12" fillId="5" borderId="0" xfId="0" applyNumberFormat="1" applyFont="1" applyFill="1" applyAlignment="1">
      <alignment horizontal="center" vertical="center" wrapText="1"/>
    </xf>
    <xf numFmtId="187" fontId="13" fillId="5" borderId="0" xfId="0" applyNumberFormat="1" applyFont="1" applyFill="1" applyBorder="1"/>
    <xf numFmtId="187" fontId="13" fillId="5" borderId="13" xfId="0" applyNumberFormat="1" applyFont="1" applyFill="1" applyBorder="1"/>
    <xf numFmtId="187" fontId="13" fillId="5" borderId="8" xfId="0" applyNumberFormat="1" applyFont="1" applyFill="1" applyBorder="1"/>
    <xf numFmtId="180" fontId="17" fillId="0" borderId="0" xfId="0" applyNumberFormat="1" applyFont="1" applyAlignment="1">
      <alignment horizontal="right"/>
    </xf>
    <xf numFmtId="41" fontId="12" fillId="0" borderId="0" xfId="2" applyFont="1" applyFill="1" applyAlignment="1">
      <alignment horizontal="center" vertical="center" wrapText="1"/>
    </xf>
    <xf numFmtId="41" fontId="12" fillId="0" borderId="0" xfId="2" applyFont="1" applyAlignment="1">
      <alignment horizontal="center" vertical="center" wrapText="1"/>
    </xf>
    <xf numFmtId="41" fontId="12" fillId="2" borderId="0" xfId="2" applyFon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4" fillId="4" borderId="0" xfId="0" applyFont="1" applyFill="1"/>
    <xf numFmtId="178" fontId="4" fillId="4" borderId="0" xfId="0" applyNumberFormat="1" applyFont="1" applyFill="1"/>
    <xf numFmtId="41" fontId="4" fillId="4" borderId="0" xfId="2" applyFont="1" applyFill="1" applyAlignment="1"/>
    <xf numFmtId="49" fontId="4" fillId="4" borderId="0" xfId="0" applyNumberFormat="1" applyFont="1" applyFill="1"/>
    <xf numFmtId="0" fontId="11" fillId="0" borderId="0" xfId="0" applyFont="1" applyAlignment="1">
      <alignment horizontal="center" vertical="center"/>
    </xf>
    <xf numFmtId="0" fontId="11" fillId="0" borderId="0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8" xfId="0" applyFont="1" applyBorder="1"/>
    <xf numFmtId="0" fontId="11" fillId="0" borderId="13" xfId="0" applyFont="1" applyBorder="1"/>
    <xf numFmtId="0" fontId="11" fillId="0" borderId="0" xfId="0" applyFont="1" applyAlignment="1">
      <alignment horizontal="center" vertical="center" wrapText="1"/>
    </xf>
    <xf numFmtId="178" fontId="13" fillId="0" borderId="0" xfId="0" applyNumberFormat="1" applyFont="1" applyAlignment="1">
      <alignment horizontal="center" vertical="center" wrapText="1"/>
    </xf>
    <xf numFmtId="178" fontId="11" fillId="0" borderId="17" xfId="0" applyNumberFormat="1" applyFont="1" applyBorder="1"/>
    <xf numFmtId="178" fontId="11" fillId="0" borderId="0" xfId="0" applyNumberFormat="1" applyFont="1" applyBorder="1"/>
    <xf numFmtId="178" fontId="11" fillId="0" borderId="8" xfId="0" applyNumberFormat="1" applyFont="1" applyBorder="1"/>
    <xf numFmtId="178" fontId="11" fillId="0" borderId="13" xfId="0" applyNumberFormat="1" applyFont="1" applyBorder="1"/>
    <xf numFmtId="178" fontId="11" fillId="0" borderId="16" xfId="0" applyNumberFormat="1" applyFont="1" applyBorder="1"/>
    <xf numFmtId="179" fontId="11" fillId="0" borderId="0" xfId="0" applyNumberFormat="1" applyFont="1"/>
    <xf numFmtId="178" fontId="11" fillId="0" borderId="18" xfId="0" applyNumberFormat="1" applyFont="1" applyBorder="1"/>
    <xf numFmtId="178" fontId="11" fillId="0" borderId="11" xfId="0" applyNumberFormat="1" applyFont="1" applyBorder="1"/>
    <xf numFmtId="178" fontId="11" fillId="0" borderId="7" xfId="0" applyNumberFormat="1" applyFont="1" applyBorder="1"/>
    <xf numFmtId="178" fontId="11" fillId="0" borderId="14" xfId="0" applyNumberFormat="1" applyFont="1" applyBorder="1"/>
    <xf numFmtId="178" fontId="11" fillId="0" borderId="19" xfId="0" applyNumberFormat="1" applyFont="1" applyBorder="1"/>
    <xf numFmtId="178" fontId="16" fillId="0" borderId="17" xfId="0" applyNumberFormat="1" applyFont="1" applyBorder="1"/>
    <xf numFmtId="178" fontId="16" fillId="0" borderId="0" xfId="0" applyNumberFormat="1" applyFont="1" applyBorder="1"/>
    <xf numFmtId="178" fontId="16" fillId="0" borderId="8" xfId="0" applyNumberFormat="1" applyFont="1" applyBorder="1"/>
    <xf numFmtId="178" fontId="16" fillId="0" borderId="13" xfId="0" applyNumberFormat="1" applyFont="1" applyBorder="1"/>
    <xf numFmtId="178" fontId="16" fillId="0" borderId="16" xfId="0" applyNumberFormat="1" applyFont="1" applyBorder="1"/>
    <xf numFmtId="178" fontId="13" fillId="2" borderId="0" xfId="0" applyNumberFormat="1" applyFont="1" applyFill="1" applyBorder="1" applyAlignment="1">
      <alignment horizontal="center" vertical="center" wrapText="1"/>
    </xf>
    <xf numFmtId="178" fontId="11" fillId="2" borderId="0" xfId="0" applyNumberFormat="1" applyFont="1" applyFill="1" applyBorder="1"/>
    <xf numFmtId="178" fontId="11" fillId="2" borderId="13" xfId="0" applyNumberFormat="1" applyFont="1" applyFill="1" applyBorder="1"/>
    <xf numFmtId="178" fontId="11" fillId="2" borderId="8" xfId="0" applyNumberFormat="1" applyFont="1" applyFill="1" applyBorder="1"/>
    <xf numFmtId="178" fontId="11" fillId="2" borderId="16" xfId="0" applyNumberFormat="1" applyFont="1" applyFill="1" applyBorder="1"/>
    <xf numFmtId="178" fontId="11" fillId="2" borderId="0" xfId="0" applyNumberFormat="1" applyFont="1" applyFill="1"/>
    <xf numFmtId="0" fontId="11" fillId="2" borderId="0" xfId="0" applyFont="1" applyFill="1" applyBorder="1"/>
    <xf numFmtId="178" fontId="11" fillId="2" borderId="17" xfId="0" applyNumberFormat="1" applyFont="1" applyFill="1" applyBorder="1"/>
    <xf numFmtId="178" fontId="13" fillId="2" borderId="0" xfId="0" applyNumberFormat="1" applyFont="1" applyFill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/>
    </xf>
    <xf numFmtId="0" fontId="11" fillId="2" borderId="20" xfId="0" applyFont="1" applyFill="1" applyBorder="1"/>
    <xf numFmtId="0" fontId="11" fillId="0" borderId="21" xfId="0" applyFont="1" applyBorder="1" applyAlignment="1">
      <alignment horizontal="center" vertical="center"/>
    </xf>
    <xf numFmtId="178" fontId="16" fillId="0" borderId="22" xfId="0" applyNumberFormat="1" applyFont="1" applyBorder="1"/>
    <xf numFmtId="178" fontId="16" fillId="0" borderId="21" xfId="0" applyNumberFormat="1" applyFont="1" applyBorder="1"/>
    <xf numFmtId="178" fontId="16" fillId="0" borderId="23" xfId="0" applyNumberFormat="1" applyFont="1" applyBorder="1"/>
    <xf numFmtId="178" fontId="16" fillId="0" borderId="24" xfId="0" applyNumberFormat="1" applyFont="1" applyBorder="1"/>
    <xf numFmtId="178" fontId="16" fillId="0" borderId="25" xfId="0" applyNumberFormat="1" applyFont="1" applyBorder="1"/>
    <xf numFmtId="0" fontId="11" fillId="0" borderId="21" xfId="0" applyFont="1" applyBorder="1"/>
    <xf numFmtId="178" fontId="11" fillId="0" borderId="0" xfId="0" applyNumberFormat="1" applyFont="1" applyAlignment="1">
      <alignment horizontal="center" vertical="center"/>
    </xf>
    <xf numFmtId="178" fontId="11" fillId="0" borderId="12" xfId="0" applyNumberFormat="1" applyFont="1" applyBorder="1"/>
    <xf numFmtId="178" fontId="11" fillId="0" borderId="12" xfId="0" applyNumberFormat="1" applyFont="1" applyBorder="1" applyAlignment="1">
      <alignment horizontal="center" vertical="center"/>
    </xf>
    <xf numFmtId="178" fontId="11" fillId="0" borderId="26" xfId="0" applyNumberFormat="1" applyFont="1" applyBorder="1"/>
    <xf numFmtId="178" fontId="11" fillId="0" borderId="9" xfId="0" applyNumberFormat="1" applyFont="1" applyBorder="1"/>
    <xf numFmtId="178" fontId="11" fillId="0" borderId="15" xfId="0" applyNumberFormat="1" applyFont="1" applyBorder="1"/>
    <xf numFmtId="178" fontId="11" fillId="0" borderId="27" xfId="0" applyNumberFormat="1" applyFont="1" applyBorder="1"/>
    <xf numFmtId="178" fontId="11" fillId="0" borderId="11" xfId="0" applyNumberFormat="1" applyFont="1" applyBorder="1" applyAlignment="1">
      <alignment horizontal="center" vertical="center"/>
    </xf>
    <xf numFmtId="181" fontId="18" fillId="0" borderId="0" xfId="0" applyNumberFormat="1" applyFont="1" applyAlignment="1">
      <alignment vertical="center"/>
    </xf>
    <xf numFmtId="178" fontId="11" fillId="0" borderId="17" xfId="0" applyNumberFormat="1" applyFont="1" applyBorder="1" applyAlignment="1">
      <alignment vertical="center"/>
    </xf>
    <xf numFmtId="178" fontId="11" fillId="0" borderId="0" xfId="0" applyNumberFormat="1" applyFont="1" applyBorder="1" applyAlignment="1">
      <alignment vertical="center"/>
    </xf>
    <xf numFmtId="178" fontId="11" fillId="0" borderId="13" xfId="0" applyNumberFormat="1" applyFont="1" applyBorder="1" applyAlignment="1">
      <alignment vertical="center"/>
    </xf>
    <xf numFmtId="178" fontId="11" fillId="0" borderId="8" xfId="0" applyNumberFormat="1" applyFont="1" applyBorder="1" applyAlignment="1">
      <alignment vertical="center"/>
    </xf>
    <xf numFmtId="178" fontId="11" fillId="0" borderId="16" xfId="0" applyNumberFormat="1" applyFont="1" applyBorder="1" applyAlignment="1">
      <alignment vertical="center"/>
    </xf>
    <xf numFmtId="181" fontId="13" fillId="0" borderId="0" xfId="0" applyNumberFormat="1" applyFont="1" applyBorder="1"/>
    <xf numFmtId="0" fontId="13" fillId="0" borderId="0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9" fillId="0" borderId="13" xfId="0" applyFont="1" applyFill="1" applyBorder="1"/>
    <xf numFmtId="178" fontId="19" fillId="2" borderId="13" xfId="0" applyNumberFormat="1" applyFont="1" applyFill="1" applyBorder="1"/>
    <xf numFmtId="185" fontId="19" fillId="0" borderId="13" xfId="0" applyNumberFormat="1" applyFont="1" applyFill="1" applyBorder="1"/>
    <xf numFmtId="180" fontId="19" fillId="0" borderId="13" xfId="0" applyNumberFormat="1" applyFont="1" applyFill="1" applyBorder="1"/>
    <xf numFmtId="0" fontId="19" fillId="0" borderId="13" xfId="0" applyFont="1" applyBorder="1"/>
    <xf numFmtId="0" fontId="20" fillId="0" borderId="13" xfId="0" applyFont="1" applyBorder="1"/>
    <xf numFmtId="178" fontId="19" fillId="0" borderId="13" xfId="0" applyNumberFormat="1" applyFont="1" applyBorder="1"/>
    <xf numFmtId="189" fontId="19" fillId="0" borderId="13" xfId="0" applyNumberFormat="1" applyFont="1" applyBorder="1"/>
    <xf numFmtId="185" fontId="19" fillId="0" borderId="13" xfId="0" applyNumberFormat="1" applyFont="1" applyBorder="1"/>
    <xf numFmtId="185" fontId="19" fillId="0" borderId="8" xfId="0" applyNumberFormat="1" applyFont="1" applyBorder="1"/>
    <xf numFmtId="180" fontId="19" fillId="0" borderId="14" xfId="0" applyNumberFormat="1" applyFont="1" applyBorder="1"/>
    <xf numFmtId="180" fontId="19" fillId="0" borderId="8" xfId="0" applyNumberFormat="1" applyFont="1" applyBorder="1"/>
    <xf numFmtId="0" fontId="19" fillId="0" borderId="14" xfId="0" applyFont="1" applyBorder="1"/>
    <xf numFmtId="176" fontId="19" fillId="0" borderId="13" xfId="0" applyNumberFormat="1" applyFont="1" applyBorder="1"/>
    <xf numFmtId="181" fontId="19" fillId="0" borderId="0" xfId="0" applyNumberFormat="1" applyFont="1" applyBorder="1"/>
    <xf numFmtId="187" fontId="19" fillId="2" borderId="13" xfId="0" applyNumberFormat="1" applyFont="1" applyFill="1" applyBorder="1"/>
    <xf numFmtId="187" fontId="19" fillId="5" borderId="13" xfId="0" applyNumberFormat="1" applyFont="1" applyFill="1" applyBorder="1"/>
    <xf numFmtId="186" fontId="19" fillId="0" borderId="13" xfId="0" applyNumberFormat="1" applyFont="1" applyBorder="1"/>
    <xf numFmtId="180" fontId="19" fillId="0" borderId="0" xfId="0" applyNumberFormat="1" applyFont="1" applyBorder="1"/>
    <xf numFmtId="180" fontId="13" fillId="0" borderId="13" xfId="0" applyNumberFormat="1" applyFont="1" applyBorder="1"/>
    <xf numFmtId="180" fontId="13" fillId="2" borderId="0" xfId="0" applyNumberFormat="1" applyFont="1" applyFill="1" applyBorder="1"/>
    <xf numFmtId="180" fontId="19" fillId="0" borderId="13" xfId="0" applyNumberFormat="1" applyFont="1" applyBorder="1"/>
    <xf numFmtId="0" fontId="13" fillId="2" borderId="13" xfId="0" applyFont="1" applyFill="1" applyBorder="1"/>
    <xf numFmtId="0" fontId="11" fillId="0" borderId="0" xfId="0" applyFont="1" applyAlignment="1"/>
    <xf numFmtId="0" fontId="11" fillId="0" borderId="0" xfId="0" applyFont="1" applyBorder="1" applyAlignment="1"/>
    <xf numFmtId="0" fontId="11" fillId="0" borderId="12" xfId="0" applyFont="1" applyBorder="1" applyAlignment="1"/>
    <xf numFmtId="0" fontId="13" fillId="0" borderId="12" xfId="0" applyFont="1" applyBorder="1"/>
    <xf numFmtId="0" fontId="21" fillId="0" borderId="0" xfId="0" applyFont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189" fontId="21" fillId="0" borderId="0" xfId="0" applyNumberFormat="1" applyFont="1" applyAlignment="1">
      <alignment wrapText="1"/>
    </xf>
    <xf numFmtId="0" fontId="13" fillId="0" borderId="9" xfId="0" applyFont="1" applyBorder="1"/>
    <xf numFmtId="189" fontId="13" fillId="0" borderId="7" xfId="0" applyNumberFormat="1" applyFont="1" applyBorder="1"/>
    <xf numFmtId="0" fontId="11" fillId="0" borderId="21" xfId="0" applyFont="1" applyBorder="1" applyAlignment="1">
      <alignment horizontal="center" vertical="center" wrapText="1"/>
    </xf>
    <xf numFmtId="0" fontId="11" fillId="6" borderId="8" xfId="0" applyFont="1" applyFill="1" applyBorder="1"/>
    <xf numFmtId="0" fontId="11" fillId="6" borderId="0" xfId="0" applyFont="1" applyFill="1"/>
    <xf numFmtId="178" fontId="11" fillId="6" borderId="0" xfId="0" applyNumberFormat="1" applyFont="1" applyFill="1"/>
    <xf numFmtId="178" fontId="16" fillId="6" borderId="23" xfId="0" applyNumberFormat="1" applyFont="1" applyFill="1" applyBorder="1"/>
    <xf numFmtId="178" fontId="11" fillId="6" borderId="8" xfId="0" applyNumberFormat="1" applyFont="1" applyFill="1" applyBorder="1"/>
    <xf numFmtId="178" fontId="11" fillId="2" borderId="2" xfId="0" applyNumberFormat="1" applyFont="1" applyFill="1" applyBorder="1" applyAlignment="1">
      <alignment vertical="center"/>
    </xf>
    <xf numFmtId="178" fontId="11" fillId="2" borderId="20" xfId="0" applyNumberFormat="1" applyFont="1" applyFill="1" applyBorder="1" applyAlignment="1">
      <alignment vertical="center"/>
    </xf>
    <xf numFmtId="178" fontId="11" fillId="2" borderId="6" xfId="0" applyNumberFormat="1" applyFont="1" applyFill="1" applyBorder="1" applyAlignment="1">
      <alignment vertical="center"/>
    </xf>
    <xf numFmtId="178" fontId="11" fillId="2" borderId="28" xfId="0" applyNumberFormat="1" applyFont="1" applyFill="1" applyBorder="1" applyAlignment="1">
      <alignment vertical="center"/>
    </xf>
    <xf numFmtId="178" fontId="11" fillId="2" borderId="29" xfId="0" applyNumberFormat="1" applyFont="1" applyFill="1" applyBorder="1" applyAlignment="1">
      <alignment vertical="center"/>
    </xf>
    <xf numFmtId="178" fontId="11" fillId="2" borderId="31" xfId="0" applyNumberFormat="1" applyFont="1" applyFill="1" applyBorder="1" applyAlignment="1">
      <alignment vertical="center"/>
    </xf>
    <xf numFmtId="178" fontId="11" fillId="2" borderId="30" xfId="0" applyNumberFormat="1" applyFont="1" applyFill="1" applyBorder="1" applyAlignment="1">
      <alignment vertical="center"/>
    </xf>
    <xf numFmtId="178" fontId="11" fillId="2" borderId="32" xfId="0" applyNumberFormat="1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80" fontId="13" fillId="0" borderId="11" xfId="0" applyNumberFormat="1" applyFont="1" applyBorder="1" applyAlignment="1">
      <alignment horizontal="center"/>
    </xf>
    <xf numFmtId="180" fontId="13" fillId="0" borderId="0" xfId="0" applyNumberFormat="1" applyFont="1" applyBorder="1" applyAlignment="1">
      <alignment horizontal="center"/>
    </xf>
    <xf numFmtId="178" fontId="11" fillId="0" borderId="0" xfId="0" applyNumberFormat="1" applyFont="1" applyAlignment="1">
      <alignment horizontal="center"/>
    </xf>
    <xf numFmtId="178" fontId="11" fillId="0" borderId="11" xfId="0" applyNumberFormat="1" applyFont="1" applyBorder="1" applyAlignment="1">
      <alignment horizontal="center"/>
    </xf>
    <xf numFmtId="178" fontId="11" fillId="0" borderId="0" xfId="0" applyNumberFormat="1" applyFont="1" applyBorder="1" applyAlignment="1">
      <alignment horizontal="center"/>
    </xf>
    <xf numFmtId="178" fontId="11" fillId="0" borderId="12" xfId="0" applyNumberFormat="1" applyFont="1" applyBorder="1" applyAlignment="1">
      <alignment horizontal="center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특성연구!$B$6:$P$6</c:f>
              <c:numCache>
                <c:formatCode>_(* #,##0_);_(* \(#,##0\);_(* "-"_);_(@_)</c:formatCode>
                <c:ptCount val="15"/>
                <c:pt idx="0">
                  <c:v>10</c:v>
                </c:pt>
                <c:pt idx="1">
                  <c:v>300</c:v>
                </c:pt>
                <c:pt idx="2">
                  <c:v>1800</c:v>
                </c:pt>
                <c:pt idx="3">
                  <c:v>3600</c:v>
                </c:pt>
                <c:pt idx="4">
                  <c:v>7200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2948640"/>
        <c:axId val="1462946464"/>
      </c:lineChart>
      <c:catAx>
        <c:axId val="14629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2946464"/>
        <c:crosses val="autoZero"/>
        <c:auto val="1"/>
        <c:lblAlgn val="ctr"/>
        <c:lblOffset val="100"/>
        <c:noMultiLvlLbl val="0"/>
      </c:catAx>
      <c:valAx>
        <c:axId val="14629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29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특성연구!$N$24:$N$28</c:f>
              <c:numCache>
                <c:formatCode>_(* #,##0_);_(* \(#,##0\);_(* "-"_);_(@_)</c:formatCode>
                <c:ptCount val="5"/>
                <c:pt idx="0">
                  <c:v>30410</c:v>
                </c:pt>
                <c:pt idx="1">
                  <c:v>440030</c:v>
                </c:pt>
                <c:pt idx="2">
                  <c:v>57270</c:v>
                </c:pt>
                <c:pt idx="3">
                  <c:v>148300</c:v>
                </c:pt>
                <c:pt idx="4">
                  <c:v>273000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162976"/>
        <c:axId val="931161344"/>
      </c:lineChart>
      <c:catAx>
        <c:axId val="9311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161344"/>
        <c:crosses val="autoZero"/>
        <c:auto val="1"/>
        <c:lblAlgn val="ctr"/>
        <c:lblOffset val="100"/>
        <c:noMultiLvlLbl val="0"/>
      </c:catAx>
      <c:valAx>
        <c:axId val="9311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1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특성연구!$N$31:$N$35</c:f>
              <c:numCache>
                <c:formatCode>_(* #,##0_);_(* \(#,##0\);_(* "-"_);_(@_)</c:formatCode>
                <c:ptCount val="5"/>
                <c:pt idx="0">
                  <c:v>12228</c:v>
                </c:pt>
                <c:pt idx="1">
                  <c:v>152260</c:v>
                </c:pt>
                <c:pt idx="2">
                  <c:v>297160</c:v>
                </c:pt>
                <c:pt idx="3">
                  <c:v>375600</c:v>
                </c:pt>
                <c:pt idx="4">
                  <c:v>781200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159712"/>
        <c:axId val="931160256"/>
      </c:lineChart>
      <c:catAx>
        <c:axId val="9311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160256"/>
        <c:crosses val="autoZero"/>
        <c:auto val="1"/>
        <c:lblAlgn val="ctr"/>
        <c:lblOffset val="100"/>
        <c:noMultiLvlLbl val="0"/>
      </c:catAx>
      <c:valAx>
        <c:axId val="9311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15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특성연구!$N$38:$N$42</c:f>
              <c:numCache>
                <c:formatCode>_-* #,##0_-;\-* #,##0_-;_-* "-"??_-;_-@_-</c:formatCode>
                <c:ptCount val="5"/>
                <c:pt idx="0">
                  <c:v>545703.67500000005</c:v>
                </c:pt>
                <c:pt idx="1">
                  <c:v>833100</c:v>
                </c:pt>
                <c:pt idx="2">
                  <c:v>1274100</c:v>
                </c:pt>
                <c:pt idx="3">
                  <c:v>1953000</c:v>
                </c:pt>
                <c:pt idx="4">
                  <c:v>3000900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50304"/>
        <c:axId val="1021047040"/>
      </c:lineChart>
      <c:catAx>
        <c:axId val="10210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047040"/>
        <c:crosses val="autoZero"/>
        <c:auto val="1"/>
        <c:lblAlgn val="ctr"/>
        <c:lblOffset val="100"/>
        <c:noMultiLvlLbl val="0"/>
      </c:catAx>
      <c:valAx>
        <c:axId val="10210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0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'특성연구(Zero)'!$E$3:$E$27</c:f>
              <c:numCache>
                <c:formatCode>#,##0_ </c:formatCode>
                <c:ptCount val="25"/>
                <c:pt idx="0">
                  <c:v>90</c:v>
                </c:pt>
                <c:pt idx="1">
                  <c:v>1210.890837965349</c:v>
                </c:pt>
                <c:pt idx="2">
                  <c:v>5539.2021484001098</c:v>
                </c:pt>
                <c:pt idx="3">
                  <c:v>16291.74023853805</c:v>
                </c:pt>
                <c:pt idx="4">
                  <c:v>37616.642154923728</c:v>
                </c:pt>
                <c:pt idx="5">
                  <c:v>74526.323679285211</c:v>
                </c:pt>
                <c:pt idx="6">
                  <c:v>132849.57197123874</c:v>
                </c:pt>
                <c:pt idx="7">
                  <c:v>219194.65543730147</c:v>
                </c:pt>
                <c:pt idx="8">
                  <c:v>340919.56045378221</c:v>
                </c:pt>
                <c:pt idx="9">
                  <c:v>506107.19267131493</c:v>
                </c:pt>
                <c:pt idx="10">
                  <c:v>723544.22042001563</c:v>
                </c:pt>
                <c:pt idx="11">
                  <c:v>1002702.6947831833</c:v>
                </c:pt>
                <c:pt idx="12">
                  <c:v>1353723.8505592169</c:v>
                </c:pt>
                <c:pt idx="13">
                  <c:v>1787403.6614176799</c:v>
                </c:pt>
                <c:pt idx="14">
                  <c:v>2315179.8337794631</c:v>
                </c:pt>
                <c:pt idx="15">
                  <c:v>2949119.9999999986</c:v>
                </c:pt>
                <c:pt idx="16">
                  <c:v>3701910.9251228278</c:v>
                </c:pt>
                <c:pt idx="17">
                  <c:v>4586848.5804073187</c:v>
                </c:pt>
                <c:pt idx="18">
                  <c:v>5617828.9657288818</c:v>
                </c:pt>
                <c:pt idx="19">
                  <c:v>6809339.5848228633</c:v>
                </c:pt>
                <c:pt idx="20">
                  <c:v>8176451.4941902291</c:v>
                </c:pt>
                <c:pt idx="21">
                  <c:v>9734811.8596597705</c:v>
                </c:pt>
                <c:pt idx="22">
                  <c:v>11500636.965047169</c:v>
                </c:pt>
                <c:pt idx="23">
                  <c:v>13490705.625734691</c:v>
                </c:pt>
                <c:pt idx="24">
                  <c:v>15722352.966795392</c:v>
                </c:pt>
              </c:numCache>
            </c:numRef>
          </c:val>
          <c:smooth val="0"/>
        </c:ser>
        <c:ser>
          <c:idx val="1"/>
          <c:order val="1"/>
          <c:tx>
            <c:v>계열2</c:v>
          </c:tx>
          <c:val>
            <c:numRef>
              <c:f>'특성연구(Zero)'!$H$3:$H$27</c:f>
              <c:numCache>
                <c:formatCode>#,##0_ </c:formatCode>
                <c:ptCount val="25"/>
                <c:pt idx="0">
                  <c:v>560</c:v>
                </c:pt>
                <c:pt idx="1">
                  <c:v>1460</c:v>
                </c:pt>
                <c:pt idx="2">
                  <c:v>5360</c:v>
                </c:pt>
                <c:pt idx="3">
                  <c:v>15860</c:v>
                </c:pt>
                <c:pt idx="4">
                  <c:v>38000</c:v>
                </c:pt>
                <c:pt idx="5">
                  <c:v>78260</c:v>
                </c:pt>
                <c:pt idx="6">
                  <c:v>144560</c:v>
                </c:pt>
                <c:pt idx="7">
                  <c:v>246260</c:v>
                </c:pt>
                <c:pt idx="8">
                  <c:v>394160</c:v>
                </c:pt>
                <c:pt idx="9">
                  <c:v>600500</c:v>
                </c:pt>
                <c:pt idx="10">
                  <c:v>878960</c:v>
                </c:pt>
                <c:pt idx="11">
                  <c:v>1244660</c:v>
                </c:pt>
                <c:pt idx="12">
                  <c:v>1714160</c:v>
                </c:pt>
                <c:pt idx="13">
                  <c:v>2305460</c:v>
                </c:pt>
                <c:pt idx="14">
                  <c:v>3038000</c:v>
                </c:pt>
                <c:pt idx="15">
                  <c:v>3932660</c:v>
                </c:pt>
                <c:pt idx="16">
                  <c:v>5011760</c:v>
                </c:pt>
                <c:pt idx="17">
                  <c:v>6299060</c:v>
                </c:pt>
                <c:pt idx="18">
                  <c:v>7819760</c:v>
                </c:pt>
                <c:pt idx="19">
                  <c:v>9600500</c:v>
                </c:pt>
                <c:pt idx="20">
                  <c:v>11669360</c:v>
                </c:pt>
                <c:pt idx="21">
                  <c:v>14055860</c:v>
                </c:pt>
                <c:pt idx="22">
                  <c:v>16790960</c:v>
                </c:pt>
                <c:pt idx="23">
                  <c:v>19907060</c:v>
                </c:pt>
                <c:pt idx="24">
                  <c:v>23438000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048672"/>
        <c:axId val="984158240"/>
      </c:lineChart>
      <c:catAx>
        <c:axId val="10210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84158240"/>
        <c:crosses val="autoZero"/>
        <c:auto val="1"/>
        <c:lblAlgn val="ctr"/>
        <c:lblOffset val="100"/>
        <c:noMultiLvlLbl val="0"/>
      </c:catAx>
      <c:valAx>
        <c:axId val="984158240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10210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39</xdr:row>
      <xdr:rowOff>76199</xdr:rowOff>
    </xdr:from>
    <xdr:to>
      <xdr:col>31</xdr:col>
      <xdr:colOff>676275</xdr:colOff>
      <xdr:row>91</xdr:row>
      <xdr:rowOff>104774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0</xdr:rowOff>
    </xdr:from>
    <xdr:to>
      <xdr:col>23</xdr:col>
      <xdr:colOff>38100</xdr:colOff>
      <xdr:row>19</xdr:row>
      <xdr:rowOff>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295275</xdr:colOff>
      <xdr:row>22</xdr:row>
      <xdr:rowOff>9525</xdr:rowOff>
    </xdr:from>
    <xdr:to>
      <xdr:col>20</xdr:col>
      <xdr:colOff>352425</xdr:colOff>
      <xdr:row>40</xdr:row>
      <xdr:rowOff>28575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276225</xdr:colOff>
      <xdr:row>41</xdr:row>
      <xdr:rowOff>133350</xdr:rowOff>
    </xdr:from>
    <xdr:to>
      <xdr:col>20</xdr:col>
      <xdr:colOff>333375</xdr:colOff>
      <xdr:row>59</xdr:row>
      <xdr:rowOff>133350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0</xdr:row>
      <xdr:rowOff>85725</xdr:rowOff>
    </xdr:from>
    <xdr:to>
      <xdr:col>30</xdr:col>
      <xdr:colOff>542925</xdr:colOff>
      <xdr:row>49</xdr:row>
      <xdr:rowOff>128588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uzhu_work\Project\iPhone_zero\Caribe\App\Resource\prop\exp_table_he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uzhu_work\Project\iPhone_zero\Caribe\Doc\zero&#48260;&#51204;%20&#44592;&#54925;&#49436;\&#54665;&#46041;&#4714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uzhu_work\Project\iPhone_zero\Caribe\App\Resource\prop\exp_table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table_hero"/>
    </sheetNames>
    <sheetDataSet>
      <sheetData sheetId="0">
        <row r="1">
          <cell r="A1" t="str">
            <v>// 레벨</v>
          </cell>
          <cell r="B1" t="str">
            <v>최대경험치</v>
          </cell>
        </row>
        <row r="2">
          <cell r="A2">
            <v>1</v>
          </cell>
          <cell r="B2">
            <v>1000</v>
          </cell>
        </row>
        <row r="3">
          <cell r="A3">
            <v>2</v>
          </cell>
          <cell r="B3">
            <v>3925</v>
          </cell>
        </row>
        <row r="4">
          <cell r="A4">
            <v>3</v>
          </cell>
          <cell r="B4">
            <v>4900</v>
          </cell>
        </row>
        <row r="5">
          <cell r="A5">
            <v>4</v>
          </cell>
          <cell r="B5">
            <v>5875</v>
          </cell>
        </row>
        <row r="6">
          <cell r="A6">
            <v>5</v>
          </cell>
          <cell r="B6">
            <v>6850</v>
          </cell>
        </row>
        <row r="7">
          <cell r="A7">
            <v>6</v>
          </cell>
          <cell r="B7">
            <v>7825</v>
          </cell>
        </row>
        <row r="8">
          <cell r="A8">
            <v>7</v>
          </cell>
          <cell r="B8">
            <v>8800</v>
          </cell>
        </row>
        <row r="9">
          <cell r="A9">
            <v>8</v>
          </cell>
          <cell r="B9">
            <v>9775</v>
          </cell>
        </row>
        <row r="10">
          <cell r="A10">
            <v>9</v>
          </cell>
          <cell r="B10">
            <v>10750</v>
          </cell>
        </row>
        <row r="11">
          <cell r="A11">
            <v>10</v>
          </cell>
          <cell r="B11">
            <v>11725</v>
          </cell>
        </row>
        <row r="12">
          <cell r="A12">
            <v>11</v>
          </cell>
          <cell r="B12">
            <v>12700</v>
          </cell>
        </row>
        <row r="13">
          <cell r="A13">
            <v>12</v>
          </cell>
          <cell r="B13">
            <v>13675</v>
          </cell>
        </row>
        <row r="14">
          <cell r="A14">
            <v>13</v>
          </cell>
          <cell r="B14">
            <v>14650</v>
          </cell>
        </row>
        <row r="15">
          <cell r="A15">
            <v>14</v>
          </cell>
          <cell r="B15">
            <v>15625</v>
          </cell>
        </row>
        <row r="16">
          <cell r="A16">
            <v>15</v>
          </cell>
          <cell r="B16">
            <v>16600</v>
          </cell>
        </row>
        <row r="17">
          <cell r="A17">
            <v>16</v>
          </cell>
          <cell r="B17">
            <v>17575</v>
          </cell>
        </row>
        <row r="18">
          <cell r="A18">
            <v>17</v>
          </cell>
          <cell r="B18">
            <v>18550</v>
          </cell>
        </row>
        <row r="19">
          <cell r="A19">
            <v>18</v>
          </cell>
          <cell r="B19">
            <v>19525</v>
          </cell>
        </row>
        <row r="20">
          <cell r="A20">
            <v>19</v>
          </cell>
          <cell r="B20">
            <v>20500</v>
          </cell>
        </row>
        <row r="21">
          <cell r="A21">
            <v>20</v>
          </cell>
          <cell r="B21">
            <v>21475</v>
          </cell>
        </row>
        <row r="22">
          <cell r="A22">
            <v>21</v>
          </cell>
          <cell r="B22">
            <v>22450</v>
          </cell>
        </row>
        <row r="23">
          <cell r="A23">
            <v>22</v>
          </cell>
          <cell r="B23">
            <v>23425</v>
          </cell>
        </row>
        <row r="24">
          <cell r="A24">
            <v>23</v>
          </cell>
          <cell r="B24">
            <v>24400</v>
          </cell>
        </row>
        <row r="25">
          <cell r="A25">
            <v>24</v>
          </cell>
          <cell r="B25">
            <v>25375</v>
          </cell>
        </row>
        <row r="26">
          <cell r="A26">
            <v>25</v>
          </cell>
          <cell r="B26">
            <v>26350</v>
          </cell>
        </row>
        <row r="27">
          <cell r="A27">
            <v>26</v>
          </cell>
          <cell r="B27">
            <v>27325</v>
          </cell>
        </row>
        <row r="28">
          <cell r="A28">
            <v>27</v>
          </cell>
          <cell r="B28">
            <v>28300</v>
          </cell>
        </row>
        <row r="29">
          <cell r="A29">
            <v>28</v>
          </cell>
          <cell r="B29">
            <v>29275</v>
          </cell>
        </row>
        <row r="30">
          <cell r="A30">
            <v>29</v>
          </cell>
          <cell r="B30">
            <v>30250</v>
          </cell>
        </row>
        <row r="31">
          <cell r="A31">
            <v>30</v>
          </cell>
          <cell r="B31">
            <v>31225</v>
          </cell>
        </row>
        <row r="32">
          <cell r="A32">
            <v>31</v>
          </cell>
          <cell r="B32">
            <v>32200</v>
          </cell>
        </row>
        <row r="33">
          <cell r="A33">
            <v>32</v>
          </cell>
          <cell r="B33">
            <v>33175</v>
          </cell>
        </row>
        <row r="34">
          <cell r="A34">
            <v>33</v>
          </cell>
          <cell r="B34">
            <v>34150</v>
          </cell>
        </row>
        <row r="35">
          <cell r="A35">
            <v>34</v>
          </cell>
          <cell r="B35">
            <v>35125</v>
          </cell>
        </row>
        <row r="36">
          <cell r="A36">
            <v>35</v>
          </cell>
          <cell r="B36">
            <v>36100</v>
          </cell>
        </row>
        <row r="37">
          <cell r="A37">
            <v>36</v>
          </cell>
          <cell r="B37">
            <v>37075</v>
          </cell>
        </row>
        <row r="38">
          <cell r="A38">
            <v>37</v>
          </cell>
          <cell r="B38">
            <v>38050</v>
          </cell>
        </row>
        <row r="39">
          <cell r="A39">
            <v>38</v>
          </cell>
          <cell r="B39">
            <v>39025</v>
          </cell>
        </row>
        <row r="40">
          <cell r="A40">
            <v>39</v>
          </cell>
          <cell r="B40">
            <v>40000</v>
          </cell>
        </row>
        <row r="41">
          <cell r="A41">
            <v>40</v>
          </cell>
          <cell r="B41">
            <v>40975</v>
          </cell>
        </row>
        <row r="42">
          <cell r="A42">
            <v>41</v>
          </cell>
          <cell r="B42">
            <v>41950</v>
          </cell>
        </row>
        <row r="43">
          <cell r="A43">
            <v>42</v>
          </cell>
          <cell r="B43">
            <v>42925</v>
          </cell>
        </row>
        <row r="44">
          <cell r="A44">
            <v>43</v>
          </cell>
          <cell r="B44">
            <v>43900</v>
          </cell>
        </row>
        <row r="45">
          <cell r="A45">
            <v>44</v>
          </cell>
          <cell r="B45">
            <v>44875</v>
          </cell>
        </row>
        <row r="46">
          <cell r="A46">
            <v>45</v>
          </cell>
          <cell r="B46">
            <v>45850</v>
          </cell>
        </row>
        <row r="47">
          <cell r="A47">
            <v>46</v>
          </cell>
          <cell r="B47">
            <v>46825</v>
          </cell>
        </row>
        <row r="48">
          <cell r="A48">
            <v>47</v>
          </cell>
          <cell r="B48">
            <v>47800</v>
          </cell>
        </row>
        <row r="49">
          <cell r="A49">
            <v>48</v>
          </cell>
          <cell r="B49">
            <v>48775</v>
          </cell>
        </row>
        <row r="50">
          <cell r="A50">
            <v>49</v>
          </cell>
          <cell r="B50">
            <v>49750</v>
          </cell>
        </row>
        <row r="51">
          <cell r="A51">
            <v>50</v>
          </cell>
          <cell r="B5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구)행동력"/>
      <sheetName val="행동력"/>
      <sheetName val="행동력(v2)"/>
      <sheetName val="레벨당스팟수"/>
    </sheetNames>
    <sheetDataSet>
      <sheetData sheetId="0"/>
      <sheetData sheetId="1">
        <row r="2">
          <cell r="M2">
            <v>16</v>
          </cell>
          <cell r="BA2">
            <v>0.2</v>
          </cell>
        </row>
        <row r="9">
          <cell r="AB9">
            <v>17.910447761194028</v>
          </cell>
          <cell r="BA9">
            <v>893.85813000000007</v>
          </cell>
        </row>
        <row r="10">
          <cell r="AB10">
            <v>35.294117647058826</v>
          </cell>
          <cell r="BA10">
            <v>1889.9423999999999</v>
          </cell>
        </row>
        <row r="11">
          <cell r="AB11">
            <v>44.271386411474069</v>
          </cell>
          <cell r="BA11">
            <v>4557.8889980684435</v>
          </cell>
        </row>
        <row r="12">
          <cell r="AB12">
            <v>42.984660544980528</v>
          </cell>
          <cell r="BA12">
            <v>7899.2629290780715</v>
          </cell>
        </row>
        <row r="13">
          <cell r="AB13">
            <v>41.636333688230302</v>
          </cell>
          <cell r="BA13">
            <v>12077.589053641967</v>
          </cell>
        </row>
        <row r="14">
          <cell r="AB14">
            <v>40.230303052173788</v>
          </cell>
          <cell r="BA14">
            <v>18752.524518306596</v>
          </cell>
        </row>
        <row r="15">
          <cell r="AB15">
            <v>38.771506347761836</v>
          </cell>
          <cell r="BA15">
            <v>27653.214591867669</v>
          </cell>
        </row>
        <row r="16">
          <cell r="AB16">
            <v>37.265895193731247</v>
          </cell>
          <cell r="BA16">
            <v>41009.806334401226</v>
          </cell>
        </row>
        <row r="17">
          <cell r="AB17">
            <v>35.720370666405096</v>
          </cell>
          <cell r="BA17">
            <v>55846.063668609379</v>
          </cell>
        </row>
        <row r="18">
          <cell r="AB18">
            <v>34.142680379543243</v>
          </cell>
          <cell r="BA18">
            <v>76443.986955618049</v>
          </cell>
        </row>
        <row r="19">
          <cell r="AB19">
            <v>32.541278961826237</v>
          </cell>
          <cell r="BA19">
            <v>104659.2185701156</v>
          </cell>
        </row>
        <row r="20">
          <cell r="AB20">
            <v>30.925156387969214</v>
          </cell>
          <cell r="BA20">
            <v>137530.90983118603</v>
          </cell>
        </row>
        <row r="21">
          <cell r="AB21">
            <v>29.303641052627324</v>
          </cell>
          <cell r="BA21">
            <v>188276.19658913271</v>
          </cell>
        </row>
        <row r="22">
          <cell r="AB22">
            <v>27.686186482283414</v>
          </cell>
          <cell r="BA22">
            <v>266611.51493885031</v>
          </cell>
        </row>
        <row r="23">
          <cell r="AB23">
            <v>26.082151920982859</v>
          </cell>
          <cell r="BA23">
            <v>362944.75309143949</v>
          </cell>
        </row>
        <row r="24">
          <cell r="AB24">
            <v>24.50058753570822</v>
          </cell>
          <cell r="BA24">
            <v>528629.37464926799</v>
          </cell>
        </row>
        <row r="25">
          <cell r="AB25">
            <v>22.950034602261645</v>
          </cell>
          <cell r="BA25">
            <v>737500.99637704412</v>
          </cell>
        </row>
        <row r="26">
          <cell r="AB26">
            <v>21.438349801196328</v>
          </cell>
          <cell r="BA26">
            <v>925372.42868521961</v>
          </cell>
        </row>
        <row r="27">
          <cell r="AB27">
            <v>19.972560828086628</v>
          </cell>
          <cell r="BA27">
            <v>1141198.4794773476</v>
          </cell>
        </row>
        <row r="28">
          <cell r="F28">
            <v>114.80359998136828</v>
          </cell>
          <cell r="AB28">
            <v>18.558758133401227</v>
          </cell>
          <cell r="AQ28">
            <v>2442572.0432710391</v>
          </cell>
          <cell r="AT28">
            <v>3681697.9591836738</v>
          </cell>
          <cell r="BA28">
            <v>1425367.7448932491</v>
          </cell>
        </row>
        <row r="29">
          <cell r="AB29">
            <v>17.202025024133189</v>
          </cell>
          <cell r="BA29">
            <v>1643427.5885582149</v>
          </cell>
        </row>
        <row r="30">
          <cell r="AB30">
            <v>15.906405849723201</v>
          </cell>
          <cell r="BA30">
            <v>1965618.8611456465</v>
          </cell>
        </row>
        <row r="31">
          <cell r="AB31">
            <v>14.674909787332192</v>
          </cell>
          <cell r="BA31">
            <v>2350758.4608554165</v>
          </cell>
        </row>
        <row r="32">
          <cell r="AB32">
            <v>13.509546000124489</v>
          </cell>
          <cell r="BA32">
            <v>2733452.2763073226</v>
          </cell>
        </row>
        <row r="33">
          <cell r="AB33">
            <v>12.41138475449457</v>
          </cell>
          <cell r="BA33">
            <v>3173041.2776369341</v>
          </cell>
        </row>
        <row r="34">
          <cell r="AB34">
            <v>11.380638461328497</v>
          </cell>
          <cell r="BA34">
            <v>3793328.861247614</v>
          </cell>
        </row>
        <row r="35">
          <cell r="AB35">
            <v>10.41675650393174</v>
          </cell>
          <cell r="BA35">
            <v>4620322.1165936245</v>
          </cell>
        </row>
        <row r="36">
          <cell r="AB36">
            <v>9.5185280397742442</v>
          </cell>
          <cell r="BA36">
            <v>5860121.403150185</v>
          </cell>
        </row>
        <row r="37">
          <cell r="AB37">
            <v>8.6841876008661334</v>
          </cell>
          <cell r="BA37">
            <v>6885467.7034064643</v>
          </cell>
        </row>
        <row r="38">
          <cell r="AB38">
            <v>7.9115191505671207</v>
          </cell>
          <cell r="BA38">
            <v>7966475.863554785</v>
          </cell>
        </row>
        <row r="39">
          <cell r="AB39">
            <v>7.1979551752930222</v>
          </cell>
          <cell r="BA39">
            <v>9283249.1595192011</v>
          </cell>
        </row>
        <row r="40">
          <cell r="AB40">
            <v>6.5406683093683835</v>
          </cell>
          <cell r="BA40">
            <v>10905226.280740445</v>
          </cell>
        </row>
        <row r="41">
          <cell r="AB41">
            <v>5.936653844771195</v>
          </cell>
          <cell r="BA41">
            <v>12535548.193418713</v>
          </cell>
        </row>
        <row r="42">
          <cell r="AB42">
            <v>5.3828022224925807</v>
          </cell>
          <cell r="BA42">
            <v>14596134.282460088</v>
          </cell>
        </row>
        <row r="43">
          <cell r="AB43">
            <v>4.875961216997057</v>
          </cell>
          <cell r="BA43">
            <v>17131654.037409212</v>
          </cell>
        </row>
        <row r="44">
          <cell r="AB44">
            <v>4.4129880045478496</v>
          </cell>
          <cell r="BA44">
            <v>19723721.779945232</v>
          </cell>
        </row>
        <row r="45">
          <cell r="AB45">
            <v>3.9907916565541051</v>
          </cell>
          <cell r="BA45">
            <v>22987735.729188494</v>
          </cell>
        </row>
        <row r="46">
          <cell r="AB46">
            <v>3.6063668347698479</v>
          </cell>
          <cell r="BA46">
            <v>27001168.081004307</v>
          </cell>
        </row>
        <row r="47">
          <cell r="AB47">
            <v>3.256819604248264</v>
          </cell>
          <cell r="BA47">
            <v>31168835.923533555</v>
          </cell>
        </row>
        <row r="48">
          <cell r="AB48">
            <v>2.9393863417293447</v>
          </cell>
          <cell r="BA48">
            <v>36398600.297393426</v>
          </cell>
        </row>
        <row r="49">
          <cell r="AB49">
            <v>2.6514467201693086</v>
          </cell>
          <cell r="BA49">
            <v>42823528.96619305</v>
          </cell>
        </row>
        <row r="50">
          <cell r="AB50">
            <v>2.3905317110284501</v>
          </cell>
          <cell r="BA50">
            <v>49586528.858852811</v>
          </cell>
        </row>
        <row r="51">
          <cell r="AB51">
            <v>2.1543274788103197</v>
          </cell>
          <cell r="BA51">
            <v>58043384.697920159</v>
          </cell>
        </row>
        <row r="52">
          <cell r="AB52">
            <v>1.9406759585756976</v>
          </cell>
          <cell r="BA52">
            <v>68419769.569552615</v>
          </cell>
        </row>
        <row r="53">
          <cell r="AB53">
            <v>1.7475728155339911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table_user"/>
      <sheetName val="Sheet1"/>
    </sheetNames>
    <sheetDataSet>
      <sheetData sheetId="0">
        <row r="2">
          <cell r="B2">
            <v>4875</v>
          </cell>
        </row>
        <row r="3">
          <cell r="B3">
            <v>5125</v>
          </cell>
        </row>
        <row r="4">
          <cell r="B4">
            <v>5400</v>
          </cell>
        </row>
        <row r="5">
          <cell r="B5">
            <v>6025</v>
          </cell>
        </row>
        <row r="6">
          <cell r="B6">
            <v>7167</v>
          </cell>
        </row>
        <row r="7">
          <cell r="B7">
            <v>8087.75</v>
          </cell>
        </row>
        <row r="8">
          <cell r="B8">
            <v>9580</v>
          </cell>
        </row>
        <row r="9">
          <cell r="B9">
            <v>11850</v>
          </cell>
        </row>
        <row r="10">
          <cell r="B10">
            <v>13650</v>
          </cell>
        </row>
        <row r="11">
          <cell r="B11">
            <v>15600</v>
          </cell>
        </row>
        <row r="12">
          <cell r="B12">
            <v>17550</v>
          </cell>
        </row>
        <row r="13">
          <cell r="B13">
            <v>20250</v>
          </cell>
        </row>
        <row r="14">
          <cell r="B14">
            <v>23250</v>
          </cell>
        </row>
        <row r="15">
          <cell r="B15">
            <v>27000</v>
          </cell>
        </row>
        <row r="16">
          <cell r="B16">
            <v>31500</v>
          </cell>
        </row>
        <row r="17">
          <cell r="B17">
            <v>37500</v>
          </cell>
        </row>
        <row r="18">
          <cell r="B18">
            <v>43500</v>
          </cell>
        </row>
        <row r="19">
          <cell r="B19">
            <v>51000</v>
          </cell>
        </row>
        <row r="20">
          <cell r="B20">
            <v>61500</v>
          </cell>
        </row>
        <row r="21">
          <cell r="B21">
            <v>75000</v>
          </cell>
        </row>
        <row r="22">
          <cell r="B22">
            <v>94100</v>
          </cell>
        </row>
        <row r="23">
          <cell r="B23">
            <v>114900</v>
          </cell>
        </row>
        <row r="24">
          <cell r="B24">
            <v>135700</v>
          </cell>
        </row>
        <row r="25">
          <cell r="B25">
            <v>156500</v>
          </cell>
        </row>
        <row r="26">
          <cell r="B26">
            <v>180500</v>
          </cell>
        </row>
        <row r="27">
          <cell r="B27">
            <v>196500</v>
          </cell>
        </row>
        <row r="28">
          <cell r="B28">
            <v>220500</v>
          </cell>
        </row>
        <row r="29">
          <cell r="B29">
            <v>244500</v>
          </cell>
        </row>
        <row r="30">
          <cell r="B30">
            <v>268500</v>
          </cell>
        </row>
        <row r="31">
          <cell r="B31">
            <v>292500</v>
          </cell>
        </row>
        <row r="32">
          <cell r="B32">
            <v>324500</v>
          </cell>
        </row>
        <row r="33">
          <cell r="B33">
            <v>372500</v>
          </cell>
        </row>
        <row r="34">
          <cell r="B34">
            <v>442460</v>
          </cell>
        </row>
        <row r="35">
          <cell r="B35">
            <v>481660</v>
          </cell>
        </row>
        <row r="36">
          <cell r="B36">
            <v>523132</v>
          </cell>
        </row>
        <row r="37">
          <cell r="B37">
            <v>566940</v>
          </cell>
        </row>
        <row r="38">
          <cell r="B38">
            <v>613148</v>
          </cell>
        </row>
        <row r="39">
          <cell r="B39">
            <v>661820</v>
          </cell>
        </row>
        <row r="40">
          <cell r="B40">
            <v>713020</v>
          </cell>
        </row>
        <row r="41">
          <cell r="B41">
            <v>766812</v>
          </cell>
        </row>
        <row r="42">
          <cell r="B42">
            <v>823260</v>
          </cell>
        </row>
        <row r="43">
          <cell r="B43">
            <v>882428</v>
          </cell>
        </row>
        <row r="44">
          <cell r="B44">
            <v>944380</v>
          </cell>
        </row>
        <row r="45">
          <cell r="B45">
            <v>1009180</v>
          </cell>
        </row>
        <row r="46">
          <cell r="B46">
            <v>1076892</v>
          </cell>
        </row>
        <row r="47">
          <cell r="B47">
            <v>1147580</v>
          </cell>
        </row>
        <row r="48">
          <cell r="B48">
            <v>1221308</v>
          </cell>
        </row>
        <row r="49">
          <cell r="B49">
            <v>1298140</v>
          </cell>
        </row>
        <row r="50">
          <cell r="B50">
            <v>1378140</v>
          </cell>
        </row>
        <row r="51">
          <cell r="B5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3"/>
  <sheetViews>
    <sheetView zoomScaleNormal="100" workbookViewId="0">
      <selection activeCell="F80" sqref="F80"/>
    </sheetView>
  </sheetViews>
  <sheetFormatPr defaultRowHeight="12" x14ac:dyDescent="0.2"/>
  <cols>
    <col min="1" max="1" width="10.875" style="1" bestFit="1" customWidth="1"/>
    <col min="2" max="7" width="9.125" style="14" bestFit="1" customWidth="1"/>
    <col min="8" max="15" width="9.125" style="1" bestFit="1" customWidth="1"/>
    <col min="16" max="16" width="9.875" style="1" bestFit="1" customWidth="1"/>
    <col min="17" max="16384" width="9" style="1"/>
  </cols>
  <sheetData>
    <row r="1" spans="1:16" x14ac:dyDescent="0.2">
      <c r="A1" s="1" t="s">
        <v>192</v>
      </c>
      <c r="B1" s="14" t="s">
        <v>146</v>
      </c>
      <c r="C1" s="14" t="s">
        <v>159</v>
      </c>
      <c r="D1" s="14" t="s">
        <v>149</v>
      </c>
      <c r="E1" s="14" t="s">
        <v>160</v>
      </c>
      <c r="F1" s="14" t="s">
        <v>161</v>
      </c>
      <c r="G1" s="14" t="s">
        <v>152</v>
      </c>
    </row>
    <row r="2" spans="1:16" x14ac:dyDescent="0.2">
      <c r="A2" s="1">
        <f>'특성연구(Zero)'!A3</f>
        <v>1</v>
      </c>
      <c r="B2" s="14">
        <f>'특성연구(Zero)'!K3</f>
        <v>23.633884506039188</v>
      </c>
      <c r="C2" s="14">
        <f>'특성연구(Zero)'!M3</f>
        <v>280</v>
      </c>
      <c r="D2" s="14">
        <f>'특성연구(Zero)'!N3</f>
        <v>280</v>
      </c>
      <c r="E2" s="14">
        <f>'특성연구(Zero)'!O3</f>
        <v>0</v>
      </c>
      <c r="F2" s="14">
        <f>'특성연구(Zero)'!P3</f>
        <v>0</v>
      </c>
      <c r="G2" s="14">
        <f>'특성연구(Zero)'!Q3</f>
        <v>0</v>
      </c>
    </row>
    <row r="3" spans="1:16" x14ac:dyDescent="0.2">
      <c r="A3" s="1">
        <f>'특성연구(Zero)'!A4</f>
        <v>2</v>
      </c>
      <c r="B3" s="14">
        <f>'특성연구(Zero)'!K4</f>
        <v>47.267769012078375</v>
      </c>
      <c r="C3" s="14">
        <f>'특성연구(Zero)'!M4</f>
        <v>730</v>
      </c>
      <c r="D3" s="14">
        <f>'특성연구(Zero)'!N4</f>
        <v>730</v>
      </c>
      <c r="E3" s="14">
        <f>'특성연구(Zero)'!O4</f>
        <v>0</v>
      </c>
      <c r="F3" s="14">
        <f>'특성연구(Zero)'!P4</f>
        <v>0</v>
      </c>
      <c r="G3" s="14">
        <f>'특성연구(Zero)'!Q4</f>
        <v>0</v>
      </c>
      <c r="H3" s="16"/>
      <c r="I3" s="16"/>
      <c r="J3" s="16"/>
      <c r="K3" s="16"/>
      <c r="L3" s="16"/>
      <c r="M3" s="16"/>
      <c r="N3" s="16"/>
      <c r="O3" s="16"/>
      <c r="P3" s="16"/>
    </row>
    <row r="4" spans="1:16" x14ac:dyDescent="0.2">
      <c r="A4" s="1">
        <f>'특성연구(Zero)'!A5</f>
        <v>3</v>
      </c>
      <c r="B4" s="14">
        <f>'특성연구(Zero)'!K5</f>
        <v>70.90165351811757</v>
      </c>
      <c r="C4" s="14">
        <f>'특성연구(Zero)'!M5</f>
        <v>2680</v>
      </c>
      <c r="D4" s="14">
        <f>'특성연구(Zero)'!N5</f>
        <v>2680</v>
      </c>
      <c r="E4" s="14">
        <f>'특성연구(Zero)'!O5</f>
        <v>0</v>
      </c>
      <c r="F4" s="14">
        <f>'특성연구(Zero)'!P5</f>
        <v>0</v>
      </c>
      <c r="G4" s="14">
        <f>'특성연구(Zero)'!Q5</f>
        <v>0</v>
      </c>
      <c r="H4" s="16"/>
      <c r="I4" s="16"/>
      <c r="J4" s="16"/>
      <c r="K4" s="16"/>
      <c r="L4" s="16"/>
      <c r="M4" s="16"/>
      <c r="N4" s="16"/>
      <c r="O4" s="16"/>
      <c r="P4" s="16"/>
    </row>
    <row r="5" spans="1:16" x14ac:dyDescent="0.2">
      <c r="A5" s="1">
        <f>'특성연구(Zero)'!A6</f>
        <v>4</v>
      </c>
      <c r="B5" s="14">
        <f>'특성연구(Zero)'!K6</f>
        <v>94.53553802415675</v>
      </c>
      <c r="C5" s="14">
        <f>'특성연구(Zero)'!M6</f>
        <v>7930</v>
      </c>
      <c r="D5" s="14">
        <f>'특성연구(Zero)'!N6</f>
        <v>7930</v>
      </c>
      <c r="E5" s="14">
        <f>'특성연구(Zero)'!O6</f>
        <v>0</v>
      </c>
      <c r="F5" s="14">
        <f>'특성연구(Zero)'!P6</f>
        <v>0</v>
      </c>
      <c r="G5" s="14">
        <f>'특성연구(Zero)'!Q6</f>
        <v>0</v>
      </c>
      <c r="H5" s="16"/>
      <c r="I5" s="16"/>
      <c r="J5" s="16"/>
      <c r="K5" s="16"/>
      <c r="L5" s="16"/>
      <c r="M5" s="16"/>
      <c r="N5" s="16"/>
      <c r="O5" s="16"/>
      <c r="P5" s="16"/>
    </row>
    <row r="6" spans="1:16" x14ac:dyDescent="0.2">
      <c r="A6" s="1">
        <f>'특성연구(Zero)'!A7</f>
        <v>5</v>
      </c>
      <c r="B6" s="14">
        <f>'특성연구(Zero)'!K7</f>
        <v>118.16942253019593</v>
      </c>
      <c r="C6" s="14">
        <f>'특성연구(Zero)'!M7</f>
        <v>19000</v>
      </c>
      <c r="D6" s="14">
        <f>'특성연구(Zero)'!N7</f>
        <v>19000</v>
      </c>
      <c r="E6" s="14">
        <f>'특성연구(Zero)'!O7</f>
        <v>0</v>
      </c>
      <c r="F6" s="14">
        <f>'특성연구(Zero)'!P7</f>
        <v>0</v>
      </c>
      <c r="G6" s="14">
        <f>'특성연구(Zero)'!Q7</f>
        <v>0</v>
      </c>
      <c r="H6" s="16"/>
      <c r="I6" s="16"/>
      <c r="J6" s="16"/>
      <c r="K6" s="16"/>
      <c r="L6" s="16"/>
      <c r="M6" s="16"/>
      <c r="N6" s="16"/>
      <c r="O6" s="16"/>
      <c r="P6" s="16"/>
    </row>
    <row r="7" spans="1:16" x14ac:dyDescent="0.2">
      <c r="A7" s="1">
        <f>'특성연구(Zero)'!A8</f>
        <v>6</v>
      </c>
      <c r="B7" s="14">
        <f>'특성연구(Zero)'!K8</f>
        <v>141.80330703623514</v>
      </c>
      <c r="C7" s="14">
        <f>'특성연구(Zero)'!M8</f>
        <v>39130</v>
      </c>
      <c r="D7" s="14">
        <f>'특성연구(Zero)'!N8</f>
        <v>39130</v>
      </c>
      <c r="E7" s="14">
        <f>'특성연구(Zero)'!O8</f>
        <v>0</v>
      </c>
      <c r="F7" s="14">
        <f>'특성연구(Zero)'!P8</f>
        <v>0</v>
      </c>
      <c r="G7" s="14">
        <f>'특성연구(Zero)'!Q8</f>
        <v>0</v>
      </c>
      <c r="H7" s="16"/>
      <c r="I7" s="16"/>
      <c r="J7" s="16"/>
      <c r="K7" s="16"/>
      <c r="L7" s="16"/>
      <c r="M7" s="16"/>
      <c r="N7" s="16"/>
      <c r="O7" s="16"/>
      <c r="P7" s="16"/>
    </row>
    <row r="8" spans="1:16" x14ac:dyDescent="0.2">
      <c r="A8" s="1">
        <f>'특성연구(Zero)'!A9</f>
        <v>7</v>
      </c>
      <c r="B8" s="14">
        <f>'특성연구(Zero)'!K9</f>
        <v>165.43719154227432</v>
      </c>
      <c r="C8" s="14">
        <f>'특성연구(Zero)'!M9</f>
        <v>72280</v>
      </c>
      <c r="D8" s="14">
        <f>'특성연구(Zero)'!N9</f>
        <v>72280</v>
      </c>
      <c r="E8" s="14">
        <f>'특성연구(Zero)'!O9</f>
        <v>0</v>
      </c>
      <c r="F8" s="14">
        <f>'특성연구(Zero)'!P9</f>
        <v>0</v>
      </c>
      <c r="G8" s="14">
        <f>'특성연구(Zero)'!Q9</f>
        <v>0</v>
      </c>
    </row>
    <row r="9" spans="1:16" x14ac:dyDescent="0.2">
      <c r="A9" s="1">
        <f>'특성연구(Zero)'!A10</f>
        <v>8</v>
      </c>
      <c r="B9" s="14">
        <f>'특성연구(Zero)'!K10</f>
        <v>189.0710760483135</v>
      </c>
      <c r="C9" s="14">
        <f>'특성연구(Zero)'!M10</f>
        <v>123130</v>
      </c>
      <c r="D9" s="14">
        <f>'특성연구(Zero)'!N10</f>
        <v>123130</v>
      </c>
      <c r="E9" s="14">
        <f>'특성연구(Zero)'!O10</f>
        <v>0</v>
      </c>
      <c r="F9" s="14">
        <f>'특성연구(Zero)'!P10</f>
        <v>0</v>
      </c>
      <c r="G9" s="14">
        <f>'특성연구(Zero)'!Q10</f>
        <v>0</v>
      </c>
    </row>
    <row r="10" spans="1:16" x14ac:dyDescent="0.2">
      <c r="A10" s="1">
        <f>'특성연구(Zero)'!A11</f>
        <v>9</v>
      </c>
      <c r="B10" s="14">
        <f>'특성연구(Zero)'!K11</f>
        <v>406.55236500000063</v>
      </c>
      <c r="C10" s="14">
        <f>'특성연구(Zero)'!M11</f>
        <v>197080</v>
      </c>
      <c r="D10" s="14">
        <f>'특성연구(Zero)'!N11</f>
        <v>197080</v>
      </c>
      <c r="E10" s="14">
        <f>'특성연구(Zero)'!O11</f>
        <v>0</v>
      </c>
      <c r="F10" s="14">
        <f>'특성연구(Zero)'!P11</f>
        <v>0</v>
      </c>
      <c r="G10" s="14">
        <f>'특성연구(Zero)'!Q11</f>
        <v>0</v>
      </c>
    </row>
    <row r="11" spans="1:16" x14ac:dyDescent="0.2">
      <c r="A11" s="1">
        <f>'특성연구(Zero)'!A12</f>
        <v>10</v>
      </c>
      <c r="B11" s="14">
        <f>'특성연구(Zero)'!K12</f>
        <v>806.38080334293829</v>
      </c>
      <c r="C11" s="14">
        <f>'특성연구(Zero)'!M12</f>
        <v>300250</v>
      </c>
      <c r="D11" s="14">
        <f>'특성연구(Zero)'!N12</f>
        <v>300250</v>
      </c>
      <c r="E11" s="14">
        <f>'특성연구(Zero)'!O12</f>
        <v>0</v>
      </c>
      <c r="F11" s="14">
        <f>'특성연구(Zero)'!P12</f>
        <v>0</v>
      </c>
      <c r="G11" s="14">
        <f>'특성연구(Zero)'!Q12</f>
        <v>0</v>
      </c>
    </row>
    <row r="12" spans="1:16" x14ac:dyDescent="0.2">
      <c r="A12" s="1">
        <f>'특성연구(Zero)'!A13</f>
        <v>11</v>
      </c>
      <c r="B12" s="14">
        <f>'특성연구(Zero)'!K13</f>
        <v>1498.2787982078373</v>
      </c>
      <c r="C12" s="14">
        <f>'특성연구(Zero)'!M13</f>
        <v>0</v>
      </c>
      <c r="D12" s="14">
        <f>'특성연구(Zero)'!N13</f>
        <v>0</v>
      </c>
      <c r="E12" s="14">
        <f>'특성연구(Zero)'!O13</f>
        <v>439480</v>
      </c>
      <c r="F12" s="14">
        <f>'특성연구(Zero)'!P13</f>
        <v>0</v>
      </c>
      <c r="G12" s="14">
        <f>'특성연구(Zero)'!Q13</f>
        <v>0</v>
      </c>
    </row>
    <row r="13" spans="1:16" x14ac:dyDescent="0.2">
      <c r="A13" s="1">
        <f>'특성연구(Zero)'!A14</f>
        <v>12</v>
      </c>
      <c r="B13" s="14">
        <f>'특성연구(Zero)'!K14</f>
        <v>2637.656759279756</v>
      </c>
      <c r="C13" s="14">
        <f>'특성연구(Zero)'!M14</f>
        <v>0</v>
      </c>
      <c r="D13" s="14">
        <f>'특성연구(Zero)'!N14</f>
        <v>0</v>
      </c>
      <c r="E13" s="14">
        <f>'특성연구(Zero)'!O14</f>
        <v>622330</v>
      </c>
      <c r="F13" s="14">
        <f>'특성연구(Zero)'!P14</f>
        <v>0</v>
      </c>
      <c r="G13" s="14">
        <f>'특성연구(Zero)'!Q14</f>
        <v>0</v>
      </c>
      <c r="H13" s="16"/>
      <c r="I13" s="16"/>
      <c r="J13" s="16"/>
      <c r="K13" s="16"/>
      <c r="L13" s="16"/>
      <c r="M13" s="16"/>
      <c r="N13" s="16"/>
      <c r="O13" s="16"/>
      <c r="P13" s="16"/>
    </row>
    <row r="14" spans="1:16" x14ac:dyDescent="0.2">
      <c r="A14" s="1">
        <f>'특성연구(Zero)'!A15</f>
        <v>13</v>
      </c>
      <c r="B14" s="14">
        <f>'특성연구(Zero)'!K15</f>
        <v>4437.8433733246238</v>
      </c>
      <c r="C14" s="14">
        <f>'특성연구(Zero)'!M15</f>
        <v>0</v>
      </c>
      <c r="D14" s="14">
        <f>'특성연구(Zero)'!N15</f>
        <v>0</v>
      </c>
      <c r="E14" s="14">
        <f>'특성연구(Zero)'!O15</f>
        <v>857080</v>
      </c>
      <c r="F14" s="14">
        <f>'특성연구(Zero)'!P15</f>
        <v>0</v>
      </c>
      <c r="G14" s="14">
        <f>'특성연구(Zero)'!Q15</f>
        <v>0</v>
      </c>
      <c r="H14" s="16"/>
      <c r="I14" s="16"/>
      <c r="J14" s="16"/>
      <c r="K14" s="16"/>
      <c r="L14" s="16"/>
      <c r="M14" s="16"/>
      <c r="N14" s="16"/>
      <c r="O14" s="16"/>
      <c r="P14" s="16"/>
    </row>
    <row r="15" spans="1:16" x14ac:dyDescent="0.2">
      <c r="A15" s="1">
        <f>'특성연구(Zero)'!A16</f>
        <v>14</v>
      </c>
      <c r="B15" s="14">
        <f>'특성연구(Zero)'!K16</f>
        <v>7184.1007183119791</v>
      </c>
      <c r="C15" s="14">
        <f>'특성연구(Zero)'!M16</f>
        <v>0</v>
      </c>
      <c r="D15" s="14">
        <f>'특성연구(Zero)'!N16</f>
        <v>0</v>
      </c>
      <c r="E15" s="14">
        <f>'특성연구(Zero)'!O16</f>
        <v>1152730</v>
      </c>
      <c r="F15" s="14">
        <f>'특성연구(Zero)'!P16</f>
        <v>0</v>
      </c>
      <c r="G15" s="14">
        <f>'특성연구(Zero)'!Q16</f>
        <v>0</v>
      </c>
      <c r="H15" s="16"/>
      <c r="I15" s="16"/>
      <c r="J15" s="16"/>
      <c r="K15" s="16"/>
      <c r="L15" s="16"/>
      <c r="M15" s="16"/>
      <c r="N15" s="16"/>
      <c r="O15" s="16"/>
      <c r="P15" s="16"/>
    </row>
    <row r="16" spans="1:16" x14ac:dyDescent="0.2">
      <c r="A16" s="1">
        <f>'특성연구(Zero)'!A17</f>
        <v>15</v>
      </c>
      <c r="B16" s="14">
        <f>'특성연구(Zero)'!K17</f>
        <v>11249.503736612925</v>
      </c>
      <c r="C16" s="14">
        <f>'특성연구(Zero)'!M17</f>
        <v>0</v>
      </c>
      <c r="D16" s="14">
        <f>'특성연구(Zero)'!N17</f>
        <v>0</v>
      </c>
      <c r="E16" s="14">
        <f>'특성연구(Zero)'!O17</f>
        <v>1519000</v>
      </c>
      <c r="F16" s="14">
        <f>'특성연구(Zero)'!P17</f>
        <v>0</v>
      </c>
      <c r="G16" s="14">
        <f>'특성연구(Zero)'!Q17</f>
        <v>0</v>
      </c>
      <c r="H16" s="16"/>
      <c r="I16" s="16"/>
      <c r="J16" s="16"/>
      <c r="K16" s="16"/>
      <c r="L16" s="16"/>
      <c r="M16" s="16"/>
      <c r="N16" s="16"/>
      <c r="O16" s="16"/>
      <c r="P16" s="16"/>
    </row>
    <row r="17" spans="1:16" x14ac:dyDescent="0.2">
      <c r="A17" s="1">
        <f>'특성연구(Zero)'!A18</f>
        <v>16</v>
      </c>
      <c r="B17" s="14">
        <f>'특성연구(Zero)'!K18</f>
        <v>17112.760319999979</v>
      </c>
      <c r="C17" s="14">
        <f>'특성연구(Zero)'!M18</f>
        <v>0</v>
      </c>
      <c r="D17" s="14">
        <f>'특성연구(Zero)'!N18</f>
        <v>0</v>
      </c>
      <c r="E17" s="14">
        <f>'특성연구(Zero)'!O18</f>
        <v>0</v>
      </c>
      <c r="F17" s="14">
        <f>'특성연구(Zero)'!P18</f>
        <v>1310886.6666666667</v>
      </c>
      <c r="G17" s="14">
        <f>'특성연구(Zero)'!Q18</f>
        <v>0</v>
      </c>
      <c r="H17" s="16"/>
      <c r="I17" s="16"/>
      <c r="J17" s="16"/>
      <c r="K17" s="16"/>
      <c r="L17" s="16"/>
      <c r="M17" s="16"/>
      <c r="N17" s="16"/>
      <c r="O17" s="16"/>
      <c r="P17" s="16"/>
    </row>
    <row r="18" spans="1:16" x14ac:dyDescent="0.2">
      <c r="A18" s="1">
        <f>'특성연구(Zero)'!A19</f>
        <v>17</v>
      </c>
      <c r="B18" s="14">
        <f>'특성연구(Zero)'!K19</f>
        <v>25378.045365821792</v>
      </c>
      <c r="C18" s="14">
        <f>'특성연구(Zero)'!M19</f>
        <v>0</v>
      </c>
      <c r="D18" s="14">
        <f>'특성연구(Zero)'!N19</f>
        <v>0</v>
      </c>
      <c r="E18" s="14">
        <f>'특성연구(Zero)'!O19</f>
        <v>0</v>
      </c>
      <c r="F18" s="14">
        <f>'특성연구(Zero)'!P19</f>
        <v>1670586.6666666667</v>
      </c>
      <c r="G18" s="14">
        <f>'특성연구(Zero)'!Q19</f>
        <v>0</v>
      </c>
    </row>
    <row r="19" spans="1:16" x14ac:dyDescent="0.2">
      <c r="A19" s="1">
        <f>'특성연구(Zero)'!A20</f>
        <v>18</v>
      </c>
      <c r="B19" s="14">
        <f>'특성연구(Zero)'!K20</f>
        <v>36796.91957746281</v>
      </c>
      <c r="C19" s="14">
        <f>'특성연구(Zero)'!M20</f>
        <v>0</v>
      </c>
      <c r="D19" s="14">
        <f>'특성연구(Zero)'!N20</f>
        <v>0</v>
      </c>
      <c r="E19" s="14">
        <f>'특성연구(Zero)'!O20</f>
        <v>0</v>
      </c>
      <c r="F19" s="14">
        <f>'특성연구(Zero)'!P20</f>
        <v>2099686.6666666665</v>
      </c>
      <c r="G19" s="14">
        <f>'특성연구(Zero)'!Q20</f>
        <v>0</v>
      </c>
    </row>
    <row r="20" spans="1:16" x14ac:dyDescent="0.2">
      <c r="A20" s="1">
        <f>'특성연구(Zero)'!A21</f>
        <v>19</v>
      </c>
      <c r="B20" s="14">
        <f>'특성연구(Zero)'!K21</f>
        <v>52292.401452154249</v>
      </c>
      <c r="C20" s="14">
        <f>'특성연구(Zero)'!M21</f>
        <v>0</v>
      </c>
      <c r="D20" s="14">
        <f>'특성연구(Zero)'!N21</f>
        <v>0</v>
      </c>
      <c r="E20" s="14">
        <f>'특성연구(Zero)'!O21</f>
        <v>0</v>
      </c>
      <c r="F20" s="14">
        <f>'특성연구(Zero)'!P21</f>
        <v>2606586.6666666665</v>
      </c>
      <c r="G20" s="14">
        <f>'특성연구(Zero)'!Q21</f>
        <v>0</v>
      </c>
    </row>
    <row r="21" spans="1:16" x14ac:dyDescent="0.2">
      <c r="A21" s="1">
        <f>'특성연구(Zero)'!A22</f>
        <v>20</v>
      </c>
      <c r="B21" s="14">
        <f>'특성연구(Zero)'!K22</f>
        <v>72985.25878559312</v>
      </c>
      <c r="C21" s="14">
        <f>'특성연구(Zero)'!M22</f>
        <v>0</v>
      </c>
      <c r="D21" s="14">
        <f>'특성연구(Zero)'!N22</f>
        <v>0</v>
      </c>
      <c r="E21" s="14">
        <f>'특성연구(Zero)'!O22</f>
        <v>0</v>
      </c>
      <c r="F21" s="14">
        <f>'특성연구(Zero)'!P22</f>
        <v>3200166.6666666665</v>
      </c>
      <c r="G21" s="14">
        <f>'특성연구(Zero)'!Q22</f>
        <v>0</v>
      </c>
      <c r="H21" s="16"/>
      <c r="I21" s="16"/>
      <c r="J21" s="16"/>
      <c r="K21" s="16"/>
    </row>
    <row r="22" spans="1:16" x14ac:dyDescent="0.2">
      <c r="A22" s="1">
        <f>'특성연구(Zero)'!A23</f>
        <v>21</v>
      </c>
      <c r="B22" s="14">
        <f>'특성연구(Zero)'!K23</f>
        <v>100222.58409403671</v>
      </c>
      <c r="C22" s="14">
        <f>'특성연구(Zero)'!M23</f>
        <v>0</v>
      </c>
      <c r="D22" s="14">
        <f>'특성연구(Zero)'!N23</f>
        <v>0</v>
      </c>
      <c r="E22" s="14">
        <f>'특성연구(Zero)'!O23</f>
        <v>0</v>
      </c>
      <c r="F22" s="14">
        <f>'특성연구(Zero)'!P23</f>
        <v>0</v>
      </c>
      <c r="G22" s="14">
        <f>'특성연구(Zero)'!Q23</f>
        <v>2333872</v>
      </c>
      <c r="H22" s="16"/>
      <c r="I22" s="16"/>
      <c r="J22" s="16"/>
      <c r="K22" s="16"/>
    </row>
    <row r="23" spans="1:16" x14ac:dyDescent="0.2">
      <c r="A23" s="1">
        <f>'특성연구(Zero)'!A24</f>
        <v>22</v>
      </c>
      <c r="B23" s="14">
        <f>'특성연구(Zero)'!K24</f>
        <v>135608.71658506116</v>
      </c>
      <c r="C23" s="14">
        <f>'특성연구(Zero)'!M24</f>
        <v>0</v>
      </c>
      <c r="D23" s="14">
        <f>'특성연구(Zero)'!N24</f>
        <v>0</v>
      </c>
      <c r="E23" s="14">
        <f>'특성연구(Zero)'!O24</f>
        <v>0</v>
      </c>
      <c r="F23" s="14">
        <f>'특성연구(Zero)'!P24</f>
        <v>0</v>
      </c>
      <c r="G23" s="14">
        <f>'특성연구(Zero)'!Q24</f>
        <v>2811172</v>
      </c>
      <c r="H23" s="16"/>
      <c r="I23" s="16"/>
      <c r="J23" s="16"/>
      <c r="K23" s="16"/>
    </row>
    <row r="24" spans="1:16" x14ac:dyDescent="0.2">
      <c r="A24" s="1">
        <f>'특성연구(Zero)'!A25</f>
        <v>23</v>
      </c>
      <c r="B24" s="14">
        <f>'특성연구(Zero)'!K25</f>
        <v>181038.57167719476</v>
      </c>
      <c r="C24" s="14">
        <f>'특성연구(Zero)'!M25</f>
        <v>0</v>
      </c>
      <c r="D24" s="14">
        <f>'특성연구(Zero)'!N25</f>
        <v>0</v>
      </c>
      <c r="E24" s="14">
        <f>'특성연구(Zero)'!O25</f>
        <v>0</v>
      </c>
      <c r="F24" s="14">
        <f>'특성연구(Zero)'!P25</f>
        <v>0</v>
      </c>
      <c r="G24" s="14">
        <f>'특성연구(Zero)'!Q25</f>
        <v>3358192</v>
      </c>
      <c r="H24" s="16"/>
      <c r="I24" s="16"/>
      <c r="J24" s="16"/>
      <c r="K24" s="16"/>
    </row>
    <row r="25" spans="1:16" x14ac:dyDescent="0.2">
      <c r="A25" s="1">
        <f>'특성연구(Zero)'!A26</f>
        <v>24</v>
      </c>
      <c r="B25" s="14">
        <f>'특성연구(Zero)'!K26</f>
        <v>238733.43755894329</v>
      </c>
      <c r="C25" s="14">
        <f>'특성연구(Zero)'!M26</f>
        <v>0</v>
      </c>
      <c r="D25" s="14">
        <f>'특성연구(Zero)'!N26</f>
        <v>0</v>
      </c>
      <c r="E25" s="14">
        <f>'특성연구(Zero)'!O26</f>
        <v>0</v>
      </c>
      <c r="F25" s="14">
        <f>'특성연구(Zero)'!P26</f>
        <v>0</v>
      </c>
      <c r="G25" s="14">
        <f>'특성연구(Zero)'!Q26</f>
        <v>3981412</v>
      </c>
      <c r="H25" s="16"/>
      <c r="I25" s="16"/>
      <c r="J25" s="16"/>
      <c r="K25" s="16"/>
    </row>
    <row r="26" spans="1:16" x14ac:dyDescent="0.2">
      <c r="A26" s="1">
        <f>'특성연구(Zero)'!A27</f>
        <v>25</v>
      </c>
      <c r="B26" s="14">
        <f>'특성연구(Zero)'!K27</f>
        <v>311279.29687499919</v>
      </c>
      <c r="C26" s="14">
        <f>'특성연구(Zero)'!M27</f>
        <v>0</v>
      </c>
      <c r="D26" s="14">
        <f>'특성연구(Zero)'!N27</f>
        <v>0</v>
      </c>
      <c r="E26" s="14">
        <f>'특성연구(Zero)'!O27</f>
        <v>0</v>
      </c>
      <c r="F26" s="14">
        <f>'특성연구(Zero)'!P27</f>
        <v>0</v>
      </c>
      <c r="G26" s="14">
        <f>'특성연구(Zero)'!Q27</f>
        <v>4687600</v>
      </c>
    </row>
    <row r="27" spans="1:16" x14ac:dyDescent="0.2">
      <c r="A27" s="1">
        <f>'특성연구(Zero)'!A28</f>
        <v>26</v>
      </c>
      <c r="B27" s="14">
        <f>'특성연구(Zero)'!K28</f>
        <v>401667.7303195686</v>
      </c>
      <c r="C27" s="14">
        <f>'특성연구(Zero)'!M28</f>
        <v>13709530</v>
      </c>
      <c r="D27" s="14">
        <f>'특성연구(Zero)'!N28</f>
        <v>13709530</v>
      </c>
      <c r="E27" s="14">
        <f>'특성연구(Zero)'!O28</f>
        <v>0</v>
      </c>
      <c r="F27" s="14">
        <f>'특성연구(Zero)'!P28</f>
        <v>0</v>
      </c>
      <c r="G27" s="14">
        <f>'특성연구(Zero)'!Q28</f>
        <v>0</v>
      </c>
    </row>
    <row r="28" spans="1:16" x14ac:dyDescent="0.2">
      <c r="A28" s="1">
        <f>'특성연구(Zero)'!A29</f>
        <v>27</v>
      </c>
      <c r="B28" s="14">
        <f>'특성연구(Zero)'!K29</f>
        <v>513339.45769350237</v>
      </c>
      <c r="C28" s="14">
        <f>'특성연구(Zero)'!M29</f>
        <v>15943480</v>
      </c>
      <c r="D28" s="14">
        <f>'특성연구(Zero)'!N29</f>
        <v>15943480</v>
      </c>
      <c r="E28" s="14">
        <f>'특성연구(Zero)'!O29</f>
        <v>0</v>
      </c>
      <c r="F28" s="14">
        <f>'특성연구(Zero)'!P29</f>
        <v>0</v>
      </c>
      <c r="G28" s="14">
        <f>'특성연구(Zero)'!Q29</f>
        <v>0</v>
      </c>
      <c r="H28" s="16"/>
      <c r="I28" s="16"/>
      <c r="J28" s="16"/>
      <c r="K28" s="16"/>
      <c r="L28" s="16"/>
      <c r="M28" s="16"/>
      <c r="N28" s="16"/>
      <c r="O28" s="16"/>
      <c r="P28" s="16"/>
    </row>
    <row r="29" spans="1:16" x14ac:dyDescent="0.2">
      <c r="A29" s="1">
        <f>'특성연구(Zero)'!A30</f>
        <v>28</v>
      </c>
      <c r="B29" s="14">
        <f>'특성연구(Zero)'!K30</f>
        <v>650230.57083462877</v>
      </c>
      <c r="C29" s="14">
        <f>'특성연구(Zero)'!M30</f>
        <v>18439930</v>
      </c>
      <c r="D29" s="14">
        <f>'특성연구(Zero)'!N30</f>
        <v>18439930</v>
      </c>
      <c r="E29" s="14">
        <f>'특성연구(Zero)'!O30</f>
        <v>0</v>
      </c>
      <c r="F29" s="14">
        <f>'특성연구(Zero)'!P30</f>
        <v>0</v>
      </c>
      <c r="G29" s="14">
        <f>'특성연구(Zero)'!Q30</f>
        <v>0</v>
      </c>
      <c r="H29" s="16"/>
      <c r="I29" s="16"/>
      <c r="J29" s="16"/>
      <c r="K29" s="16"/>
      <c r="L29" s="16"/>
      <c r="M29" s="16"/>
      <c r="N29" s="16"/>
      <c r="O29" s="16"/>
      <c r="P29" s="16"/>
    </row>
    <row r="30" spans="1:16" x14ac:dyDescent="0.2">
      <c r="A30" s="1">
        <f>'특성연구(Zero)'!A31</f>
        <v>29</v>
      </c>
      <c r="B30" s="14">
        <f>'특성연구(Zero)'!K31</f>
        <v>816821.51175157807</v>
      </c>
      <c r="C30" s="14">
        <f>'특성연구(Zero)'!M31</f>
        <v>21218680</v>
      </c>
      <c r="D30" s="14">
        <f>'특성연구(Zero)'!N31</f>
        <v>21218680</v>
      </c>
      <c r="E30" s="14">
        <f>'특성연구(Zero)'!O31</f>
        <v>0</v>
      </c>
      <c r="F30" s="14">
        <f>'특성연구(Zero)'!P31</f>
        <v>0</v>
      </c>
      <c r="G30" s="14">
        <f>'특성연구(Zero)'!Q31</f>
        <v>0</v>
      </c>
      <c r="H30" s="16"/>
      <c r="I30" s="16"/>
      <c r="J30" s="16"/>
      <c r="K30" s="16"/>
      <c r="L30" s="16"/>
      <c r="M30" s="16"/>
      <c r="N30" s="16"/>
      <c r="O30" s="16"/>
      <c r="P30" s="16"/>
    </row>
    <row r="31" spans="1:16" x14ac:dyDescent="0.2">
      <c r="A31" s="1">
        <f>'특성연구(Zero)'!A32</f>
        <v>30</v>
      </c>
      <c r="B31" s="14">
        <f>'특성연구(Zero)'!K32</f>
        <v>1018188.8482742294</v>
      </c>
      <c r="C31" s="14">
        <f>'특성연구(Zero)'!M32</f>
        <v>24300250</v>
      </c>
      <c r="D31" s="14">
        <f>'특성연구(Zero)'!N32</f>
        <v>24300250</v>
      </c>
      <c r="E31" s="14">
        <f>'특성연구(Zero)'!O32</f>
        <v>0</v>
      </c>
      <c r="F31" s="14">
        <f>'특성연구(Zero)'!P32</f>
        <v>0</v>
      </c>
      <c r="G31" s="14">
        <f>'특성연구(Zero)'!Q32</f>
        <v>0</v>
      </c>
      <c r="H31" s="16"/>
      <c r="I31" s="16"/>
      <c r="J31" s="16"/>
      <c r="K31" s="16"/>
      <c r="L31" s="16"/>
      <c r="M31" s="16"/>
      <c r="N31" s="16"/>
      <c r="O31" s="16"/>
      <c r="P31" s="16"/>
    </row>
    <row r="32" spans="1:16" x14ac:dyDescent="0.2">
      <c r="A32" s="1">
        <f>'특성연구(Zero)'!A33</f>
        <v>31</v>
      </c>
      <c r="B32" s="14">
        <f>'특성연구(Zero)'!K33</f>
        <v>1018188.8482742294</v>
      </c>
      <c r="C32" s="14">
        <f>'특성연구(Zero)'!M33</f>
        <v>24300250</v>
      </c>
      <c r="D32" s="14">
        <f>'특성연구(Zero)'!N33</f>
        <v>24300250</v>
      </c>
      <c r="E32" s="14">
        <f>'특성연구(Zero)'!O33</f>
        <v>0</v>
      </c>
      <c r="F32" s="14">
        <f>'특성연구(Zero)'!P33</f>
        <v>0</v>
      </c>
      <c r="G32" s="14">
        <f>'특성연구(Zero)'!Q33</f>
        <v>0</v>
      </c>
      <c r="H32" s="16"/>
      <c r="I32" s="16"/>
      <c r="J32" s="16"/>
      <c r="K32" s="16"/>
      <c r="L32" s="16"/>
      <c r="M32" s="16"/>
      <c r="N32" s="16"/>
      <c r="O32" s="16"/>
      <c r="P32" s="16"/>
    </row>
    <row r="33" spans="1:16" x14ac:dyDescent="0.2">
      <c r="A33" s="1">
        <f>'특성연구(Zero)'!A34</f>
        <v>32</v>
      </c>
      <c r="B33" s="14">
        <f>'특성연구(Zero)'!K34</f>
        <v>1018188.8482742294</v>
      </c>
      <c r="C33" s="14">
        <f>'특성연구(Zero)'!M34</f>
        <v>24300250</v>
      </c>
      <c r="D33" s="14">
        <f>'특성연구(Zero)'!N34</f>
        <v>24300250</v>
      </c>
      <c r="E33" s="14">
        <f>'특성연구(Zero)'!O34</f>
        <v>0</v>
      </c>
      <c r="F33" s="14">
        <f>'특성연구(Zero)'!P34</f>
        <v>0</v>
      </c>
      <c r="G33" s="14">
        <f>'특성연구(Zero)'!Q34</f>
        <v>0</v>
      </c>
    </row>
    <row r="34" spans="1:16" x14ac:dyDescent="0.2">
      <c r="A34" s="1">
        <f>'특성연구(Zero)'!A35</f>
        <v>33</v>
      </c>
      <c r="B34" s="14">
        <f>'특성연구(Zero)'!K35</f>
        <v>1018188.8482742294</v>
      </c>
      <c r="C34" s="14">
        <f>'특성연구(Zero)'!M35</f>
        <v>24300250</v>
      </c>
      <c r="D34" s="14">
        <f>'특성연구(Zero)'!N35</f>
        <v>24300250</v>
      </c>
      <c r="E34" s="14">
        <f>'특성연구(Zero)'!O35</f>
        <v>0</v>
      </c>
      <c r="F34" s="14">
        <f>'특성연구(Zero)'!P35</f>
        <v>0</v>
      </c>
      <c r="G34" s="14">
        <f>'특성연구(Zero)'!Q35</f>
        <v>0</v>
      </c>
    </row>
    <row r="35" spans="1:16" x14ac:dyDescent="0.2">
      <c r="A35" s="1">
        <f>'특성연구(Zero)'!A36</f>
        <v>34</v>
      </c>
      <c r="B35" s="14">
        <f>'특성연구(Zero)'!K36</f>
        <v>1018188.8482742294</v>
      </c>
      <c r="C35" s="14">
        <f>'특성연구(Zero)'!M36</f>
        <v>24300250</v>
      </c>
      <c r="D35" s="14">
        <f>'특성연구(Zero)'!N36</f>
        <v>24300250</v>
      </c>
      <c r="E35" s="14">
        <f>'특성연구(Zero)'!O36</f>
        <v>0</v>
      </c>
      <c r="F35" s="14">
        <f>'특성연구(Zero)'!P36</f>
        <v>0</v>
      </c>
      <c r="G35" s="14">
        <f>'특성연구(Zero)'!Q36</f>
        <v>0</v>
      </c>
    </row>
    <row r="36" spans="1:16" x14ac:dyDescent="0.2">
      <c r="A36" s="1">
        <f>'특성연구(Zero)'!A37</f>
        <v>35</v>
      </c>
      <c r="B36" s="14">
        <f>'특성연구(Zero)'!K37</f>
        <v>1018188.8482742294</v>
      </c>
      <c r="C36" s="14">
        <f>'특성연구(Zero)'!M37</f>
        <v>24300250</v>
      </c>
      <c r="D36" s="14">
        <f>'특성연구(Zero)'!N37</f>
        <v>24300250</v>
      </c>
      <c r="E36" s="14">
        <f>'특성연구(Zero)'!O37</f>
        <v>0</v>
      </c>
      <c r="F36" s="14">
        <f>'특성연구(Zero)'!P37</f>
        <v>0</v>
      </c>
      <c r="G36" s="14">
        <f>'특성연구(Zero)'!Q37</f>
        <v>0</v>
      </c>
    </row>
    <row r="37" spans="1:16" x14ac:dyDescent="0.2">
      <c r="A37" s="1">
        <f>'특성연구(Zero)'!A38</f>
        <v>36</v>
      </c>
      <c r="B37" s="14">
        <f>'특성연구(Zero)'!K38</f>
        <v>1018188.8482742294</v>
      </c>
      <c r="C37" s="14">
        <f>'특성연구(Zero)'!M38</f>
        <v>24300250</v>
      </c>
      <c r="D37" s="14">
        <f>'특성연구(Zero)'!N38</f>
        <v>24300250</v>
      </c>
      <c r="E37" s="14">
        <f>'특성연구(Zero)'!O38</f>
        <v>0</v>
      </c>
      <c r="F37" s="14">
        <f>'특성연구(Zero)'!P38</f>
        <v>0</v>
      </c>
      <c r="G37" s="14">
        <f>'특성연구(Zero)'!Q38</f>
        <v>0</v>
      </c>
    </row>
    <row r="38" spans="1:16" x14ac:dyDescent="0.2">
      <c r="A38" s="1">
        <f>'특성연구(Zero)'!A39</f>
        <v>37</v>
      </c>
      <c r="B38" s="14">
        <f>'특성연구(Zero)'!K39</f>
        <v>1018188.8482742294</v>
      </c>
      <c r="C38" s="14">
        <f>'특성연구(Zero)'!M39</f>
        <v>24300250</v>
      </c>
      <c r="D38" s="14">
        <f>'특성연구(Zero)'!N39</f>
        <v>24300250</v>
      </c>
      <c r="E38" s="14">
        <f>'특성연구(Zero)'!O39</f>
        <v>0</v>
      </c>
      <c r="F38" s="14">
        <f>'특성연구(Zero)'!P39</f>
        <v>0</v>
      </c>
      <c r="G38" s="14">
        <f>'특성연구(Zero)'!Q39</f>
        <v>0</v>
      </c>
      <c r="H38" s="16"/>
      <c r="I38" s="16"/>
      <c r="J38" s="16"/>
      <c r="K38" s="16"/>
      <c r="L38" s="16"/>
      <c r="M38" s="16"/>
      <c r="N38" s="16"/>
      <c r="O38" s="16"/>
      <c r="P38" s="16"/>
    </row>
    <row r="39" spans="1:16" x14ac:dyDescent="0.2">
      <c r="A39" s="1">
        <f>'특성연구(Zero)'!A40</f>
        <v>38</v>
      </c>
      <c r="B39" s="14">
        <f>'특성연구(Zero)'!K40</f>
        <v>1018188.8482742294</v>
      </c>
      <c r="C39" s="14">
        <f>'특성연구(Zero)'!M40</f>
        <v>24300250</v>
      </c>
      <c r="D39" s="14">
        <f>'특성연구(Zero)'!N40</f>
        <v>24300250</v>
      </c>
      <c r="E39" s="14">
        <f>'특성연구(Zero)'!O40</f>
        <v>0</v>
      </c>
      <c r="F39" s="14">
        <f>'특성연구(Zero)'!P40</f>
        <v>0</v>
      </c>
      <c r="G39" s="14">
        <f>'특성연구(Zero)'!Q40</f>
        <v>0</v>
      </c>
      <c r="H39" s="16"/>
      <c r="I39" s="16"/>
      <c r="J39" s="16"/>
      <c r="K39" s="16"/>
      <c r="L39" s="16"/>
      <c r="M39" s="16"/>
      <c r="N39" s="16"/>
      <c r="O39" s="16"/>
      <c r="P39" s="16"/>
    </row>
    <row r="40" spans="1:16" x14ac:dyDescent="0.2">
      <c r="A40" s="1">
        <f>'특성연구(Zero)'!A41</f>
        <v>39</v>
      </c>
      <c r="B40" s="14">
        <f>'특성연구(Zero)'!K41</f>
        <v>1018188.8482742294</v>
      </c>
      <c r="C40" s="14">
        <f>'특성연구(Zero)'!M41</f>
        <v>24300250</v>
      </c>
      <c r="D40" s="14">
        <f>'특성연구(Zero)'!N41</f>
        <v>24300250</v>
      </c>
      <c r="E40" s="14">
        <f>'특성연구(Zero)'!O41</f>
        <v>0</v>
      </c>
      <c r="F40" s="14">
        <f>'특성연구(Zero)'!P41</f>
        <v>0</v>
      </c>
      <c r="G40" s="14">
        <f>'특성연구(Zero)'!Q41</f>
        <v>0</v>
      </c>
      <c r="H40" s="16"/>
      <c r="I40" s="16"/>
      <c r="J40" s="16"/>
      <c r="K40" s="16"/>
      <c r="L40" s="16"/>
      <c r="M40" s="16"/>
      <c r="N40" s="16"/>
      <c r="O40" s="16"/>
      <c r="P40" s="16"/>
    </row>
    <row r="41" spans="1:16" x14ac:dyDescent="0.2">
      <c r="A41" s="1">
        <f>'특성연구(Zero)'!A42</f>
        <v>40</v>
      </c>
      <c r="B41" s="14">
        <f>'특성연구(Zero)'!K42</f>
        <v>1018188.8482742294</v>
      </c>
      <c r="C41" s="14">
        <f>'특성연구(Zero)'!M42</f>
        <v>24300250</v>
      </c>
      <c r="D41" s="14">
        <f>'특성연구(Zero)'!N42</f>
        <v>24300250</v>
      </c>
      <c r="E41" s="14">
        <f>'특성연구(Zero)'!O42</f>
        <v>0</v>
      </c>
      <c r="F41" s="14">
        <f>'특성연구(Zero)'!P42</f>
        <v>0</v>
      </c>
      <c r="G41" s="14">
        <f>'특성연구(Zero)'!Q42</f>
        <v>0</v>
      </c>
      <c r="H41" s="16"/>
      <c r="I41" s="16"/>
      <c r="J41" s="16"/>
      <c r="K41" s="16"/>
      <c r="L41" s="16"/>
      <c r="M41" s="16"/>
      <c r="N41" s="16"/>
      <c r="O41" s="16"/>
      <c r="P41" s="16"/>
    </row>
    <row r="42" spans="1:16" x14ac:dyDescent="0.2">
      <c r="A42" s="1">
        <f>'특성연구(Zero)'!A43</f>
        <v>41</v>
      </c>
      <c r="B42" s="14">
        <f>'특성연구(Zero)'!K43</f>
        <v>1018188.8482742294</v>
      </c>
      <c r="C42" s="14">
        <f>'특성연구(Zero)'!M43</f>
        <v>24300250</v>
      </c>
      <c r="D42" s="14">
        <f>'특성연구(Zero)'!N43</f>
        <v>24300250</v>
      </c>
      <c r="E42" s="14">
        <f>'특성연구(Zero)'!O43</f>
        <v>0</v>
      </c>
      <c r="F42" s="14">
        <f>'특성연구(Zero)'!P43</f>
        <v>0</v>
      </c>
      <c r="G42" s="14">
        <f>'특성연구(Zero)'!Q43</f>
        <v>0</v>
      </c>
      <c r="H42" s="16"/>
      <c r="I42" s="16"/>
      <c r="J42" s="16"/>
      <c r="K42" s="16"/>
      <c r="L42" s="16"/>
      <c r="M42" s="16"/>
      <c r="N42" s="16"/>
      <c r="O42" s="16"/>
      <c r="P42" s="16"/>
    </row>
    <row r="43" spans="1:16" x14ac:dyDescent="0.2">
      <c r="A43" s="1">
        <f>'특성연구(Zero)'!A44</f>
        <v>42</v>
      </c>
      <c r="B43" s="14">
        <f>'특성연구(Zero)'!K44</f>
        <v>1018188.8482742294</v>
      </c>
      <c r="C43" s="14">
        <f>'특성연구(Zero)'!M44</f>
        <v>24300250</v>
      </c>
      <c r="D43" s="14">
        <f>'특성연구(Zero)'!N44</f>
        <v>24300250</v>
      </c>
      <c r="E43" s="14">
        <f>'특성연구(Zero)'!O44</f>
        <v>0</v>
      </c>
      <c r="F43" s="14">
        <f>'특성연구(Zero)'!P44</f>
        <v>0</v>
      </c>
      <c r="G43" s="14">
        <f>'특성연구(Zero)'!Q44</f>
        <v>0</v>
      </c>
    </row>
    <row r="44" spans="1:16" x14ac:dyDescent="0.2">
      <c r="A44" s="1">
        <f>'특성연구(Zero)'!A45</f>
        <v>43</v>
      </c>
      <c r="B44" s="14">
        <f>'특성연구(Zero)'!K45</f>
        <v>1018188.8482742294</v>
      </c>
      <c r="C44" s="14">
        <f>'특성연구(Zero)'!M45</f>
        <v>24300250</v>
      </c>
      <c r="D44" s="14">
        <f>'특성연구(Zero)'!N45</f>
        <v>24300250</v>
      </c>
      <c r="E44" s="14">
        <f>'특성연구(Zero)'!O45</f>
        <v>0</v>
      </c>
      <c r="F44" s="14">
        <f>'특성연구(Zero)'!P45</f>
        <v>0</v>
      </c>
      <c r="G44" s="14">
        <f>'특성연구(Zero)'!Q45</f>
        <v>0</v>
      </c>
    </row>
    <row r="45" spans="1:16" x14ac:dyDescent="0.2">
      <c r="A45" s="1">
        <f>'특성연구(Zero)'!A46</f>
        <v>44</v>
      </c>
      <c r="B45" s="14">
        <f>'특성연구(Zero)'!K46</f>
        <v>1018188.8482742294</v>
      </c>
      <c r="C45" s="14">
        <f>'특성연구(Zero)'!M46</f>
        <v>24300250</v>
      </c>
      <c r="D45" s="14">
        <f>'특성연구(Zero)'!N46</f>
        <v>24300250</v>
      </c>
      <c r="E45" s="14">
        <f>'특성연구(Zero)'!O46</f>
        <v>0</v>
      </c>
      <c r="F45" s="14">
        <f>'특성연구(Zero)'!P46</f>
        <v>0</v>
      </c>
      <c r="G45" s="14">
        <f>'특성연구(Zero)'!Q46</f>
        <v>0</v>
      </c>
    </row>
    <row r="46" spans="1:16" x14ac:dyDescent="0.2">
      <c r="A46" s="1">
        <f>'특성연구(Zero)'!A47</f>
        <v>45</v>
      </c>
      <c r="B46" s="14">
        <f>'특성연구(Zero)'!K47</f>
        <v>1018188.8482742294</v>
      </c>
      <c r="C46" s="14">
        <f>'특성연구(Zero)'!M47</f>
        <v>24300250</v>
      </c>
      <c r="D46" s="14">
        <f>'특성연구(Zero)'!N47</f>
        <v>24300250</v>
      </c>
      <c r="E46" s="14">
        <f>'특성연구(Zero)'!O47</f>
        <v>0</v>
      </c>
      <c r="F46" s="14">
        <f>'특성연구(Zero)'!P47</f>
        <v>0</v>
      </c>
      <c r="G46" s="14">
        <f>'특성연구(Zero)'!Q47</f>
        <v>0</v>
      </c>
      <c r="H46" s="16"/>
      <c r="I46" s="16"/>
      <c r="J46" s="16"/>
      <c r="K46" s="16"/>
    </row>
    <row r="47" spans="1:16" x14ac:dyDescent="0.2">
      <c r="A47" s="1">
        <f>'특성연구(Zero)'!A48</f>
        <v>46</v>
      </c>
      <c r="B47" s="14">
        <f>'특성연구(Zero)'!K48</f>
        <v>1018188.8482742294</v>
      </c>
      <c r="C47" s="14">
        <f>'특성연구(Zero)'!M48</f>
        <v>24300250</v>
      </c>
      <c r="D47" s="14">
        <f>'특성연구(Zero)'!N48</f>
        <v>24300250</v>
      </c>
      <c r="E47" s="14">
        <f>'특성연구(Zero)'!O48</f>
        <v>0</v>
      </c>
      <c r="F47" s="14">
        <f>'특성연구(Zero)'!P48</f>
        <v>0</v>
      </c>
      <c r="G47" s="14">
        <f>'특성연구(Zero)'!Q48</f>
        <v>0</v>
      </c>
      <c r="H47" s="16"/>
      <c r="I47" s="16"/>
      <c r="J47" s="16"/>
      <c r="K47" s="16"/>
    </row>
    <row r="48" spans="1:16" x14ac:dyDescent="0.2">
      <c r="A48" s="1">
        <f>'특성연구(Zero)'!A49</f>
        <v>47</v>
      </c>
      <c r="B48" s="14">
        <f>'특성연구(Zero)'!K49</f>
        <v>1018188.8482742294</v>
      </c>
      <c r="C48" s="14">
        <f>'특성연구(Zero)'!M49</f>
        <v>24300250</v>
      </c>
      <c r="D48" s="14">
        <f>'특성연구(Zero)'!N49</f>
        <v>24300250</v>
      </c>
      <c r="E48" s="14">
        <f>'특성연구(Zero)'!O49</f>
        <v>0</v>
      </c>
      <c r="F48" s="14">
        <f>'특성연구(Zero)'!P49</f>
        <v>0</v>
      </c>
      <c r="G48" s="14">
        <f>'특성연구(Zero)'!Q49</f>
        <v>0</v>
      </c>
      <c r="H48" s="16"/>
      <c r="I48" s="16"/>
      <c r="J48" s="16"/>
      <c r="K48" s="16"/>
    </row>
    <row r="49" spans="1:16" x14ac:dyDescent="0.2">
      <c r="A49" s="1">
        <f>'특성연구(Zero)'!A50</f>
        <v>48</v>
      </c>
      <c r="B49" s="14">
        <f>'특성연구(Zero)'!K50</f>
        <v>1018188.8482742294</v>
      </c>
      <c r="C49" s="14">
        <f>'특성연구(Zero)'!M50</f>
        <v>24300250</v>
      </c>
      <c r="D49" s="14">
        <f>'특성연구(Zero)'!N50</f>
        <v>24300250</v>
      </c>
      <c r="E49" s="14">
        <f>'특성연구(Zero)'!O50</f>
        <v>0</v>
      </c>
      <c r="F49" s="14">
        <f>'특성연구(Zero)'!P50</f>
        <v>0</v>
      </c>
      <c r="G49" s="14">
        <f>'특성연구(Zero)'!Q50</f>
        <v>0</v>
      </c>
      <c r="H49" s="16"/>
      <c r="I49" s="16"/>
      <c r="J49" s="16"/>
      <c r="K49" s="16"/>
    </row>
    <row r="50" spans="1:16" x14ac:dyDescent="0.2">
      <c r="A50" s="1">
        <f>'특성연구(Zero)'!A51</f>
        <v>49</v>
      </c>
      <c r="B50" s="14">
        <f>'특성연구(Zero)'!K51</f>
        <v>1018188.8482742294</v>
      </c>
      <c r="C50" s="14">
        <f>'특성연구(Zero)'!M51</f>
        <v>24300250</v>
      </c>
      <c r="D50" s="14">
        <f>'특성연구(Zero)'!N51</f>
        <v>24300250</v>
      </c>
      <c r="E50" s="14">
        <f>'특성연구(Zero)'!O51</f>
        <v>0</v>
      </c>
      <c r="F50" s="14">
        <f>'특성연구(Zero)'!P51</f>
        <v>0</v>
      </c>
      <c r="G50" s="14">
        <f>'특성연구(Zero)'!Q51</f>
        <v>0</v>
      </c>
      <c r="H50" s="16"/>
      <c r="I50" s="16"/>
      <c r="J50" s="16"/>
      <c r="K50" s="16"/>
    </row>
    <row r="51" spans="1:16" x14ac:dyDescent="0.2">
      <c r="A51" s="1">
        <f>'특성연구(Zero)'!A52</f>
        <v>50</v>
      </c>
      <c r="B51" s="14">
        <f>'특성연구(Zero)'!K52</f>
        <v>1018188.8482742294</v>
      </c>
      <c r="C51" s="14">
        <f>'특성연구(Zero)'!M52</f>
        <v>24300250</v>
      </c>
      <c r="D51" s="14">
        <f>'특성연구(Zero)'!N52</f>
        <v>24300250</v>
      </c>
      <c r="E51" s="14">
        <f>'특성연구(Zero)'!O52</f>
        <v>0</v>
      </c>
      <c r="F51" s="14">
        <f>'특성연구(Zero)'!P52</f>
        <v>0</v>
      </c>
      <c r="G51" s="14">
        <f>'특성연구(Zero)'!Q52</f>
        <v>0</v>
      </c>
    </row>
    <row r="52" spans="1:16" x14ac:dyDescent="0.2">
      <c r="A52" s="1">
        <f>'특성연구(Zero)'!A53</f>
        <v>51</v>
      </c>
      <c r="B52" s="14">
        <f>'특성연구(Zero)'!K53</f>
        <v>1018188.8482742294</v>
      </c>
      <c r="C52" s="14">
        <f>'특성연구(Zero)'!M53</f>
        <v>24300250</v>
      </c>
      <c r="D52" s="14">
        <f>'특성연구(Zero)'!N53</f>
        <v>24300250</v>
      </c>
      <c r="E52" s="14">
        <f>'특성연구(Zero)'!O53</f>
        <v>0</v>
      </c>
      <c r="F52" s="14">
        <f>'특성연구(Zero)'!P53</f>
        <v>0</v>
      </c>
      <c r="G52" s="14">
        <f>'특성연구(Zero)'!Q53</f>
        <v>0</v>
      </c>
    </row>
    <row r="53" spans="1:16" x14ac:dyDescent="0.2">
      <c r="A53" s="1">
        <f>'특성연구(Zero)'!A54</f>
        <v>52</v>
      </c>
      <c r="B53" s="14">
        <f>'특성연구(Zero)'!K54</f>
        <v>1018188.8482742294</v>
      </c>
      <c r="C53" s="14">
        <f>'특성연구(Zero)'!M54</f>
        <v>24300250</v>
      </c>
      <c r="D53" s="14">
        <f>'특성연구(Zero)'!N54</f>
        <v>24300250</v>
      </c>
      <c r="E53" s="14">
        <f>'특성연구(Zero)'!O54</f>
        <v>0</v>
      </c>
      <c r="F53" s="14">
        <f>'특성연구(Zero)'!P54</f>
        <v>0</v>
      </c>
      <c r="G53" s="14">
        <f>'특성연구(Zero)'!Q54</f>
        <v>0</v>
      </c>
    </row>
    <row r="54" spans="1:16" x14ac:dyDescent="0.2">
      <c r="A54" s="1">
        <f>'특성연구(Zero)'!A55</f>
        <v>53</v>
      </c>
      <c r="B54" s="14">
        <f>'특성연구(Zero)'!K55</f>
        <v>1018188.8482742294</v>
      </c>
      <c r="C54" s="14">
        <f>'특성연구(Zero)'!M55</f>
        <v>24300250</v>
      </c>
      <c r="D54" s="14">
        <f>'특성연구(Zero)'!N55</f>
        <v>24300250</v>
      </c>
      <c r="E54" s="14">
        <f>'특성연구(Zero)'!O55</f>
        <v>0</v>
      </c>
      <c r="F54" s="14">
        <f>'특성연구(Zero)'!P55</f>
        <v>0</v>
      </c>
      <c r="G54" s="14">
        <f>'특성연구(Zero)'!Q55</f>
        <v>0</v>
      </c>
      <c r="H54" s="16"/>
      <c r="I54" s="16"/>
      <c r="J54" s="16"/>
      <c r="K54" s="16"/>
      <c r="L54" s="16"/>
      <c r="M54" s="16"/>
      <c r="N54" s="16"/>
      <c r="O54" s="16"/>
      <c r="P54" s="16"/>
    </row>
    <row r="55" spans="1:16" x14ac:dyDescent="0.2">
      <c r="A55" s="1">
        <f>'특성연구(Zero)'!A56</f>
        <v>54</v>
      </c>
      <c r="B55" s="14">
        <f>'특성연구(Zero)'!K56</f>
        <v>1018188.8482742294</v>
      </c>
      <c r="C55" s="14">
        <f>'특성연구(Zero)'!M56</f>
        <v>24300250</v>
      </c>
      <c r="D55" s="14">
        <f>'특성연구(Zero)'!N56</f>
        <v>24300250</v>
      </c>
      <c r="E55" s="14">
        <f>'특성연구(Zero)'!O56</f>
        <v>0</v>
      </c>
      <c r="F55" s="14">
        <f>'특성연구(Zero)'!P56</f>
        <v>0</v>
      </c>
      <c r="G55" s="14">
        <f>'특성연구(Zero)'!Q56</f>
        <v>0</v>
      </c>
      <c r="H55" s="16"/>
      <c r="I55" s="16"/>
      <c r="J55" s="16"/>
      <c r="K55" s="16"/>
      <c r="L55" s="16"/>
      <c r="M55" s="16"/>
      <c r="N55" s="16"/>
      <c r="O55" s="16"/>
      <c r="P55" s="16"/>
    </row>
    <row r="56" spans="1:16" x14ac:dyDescent="0.2">
      <c r="A56" s="1">
        <f>'특성연구(Zero)'!A57</f>
        <v>55</v>
      </c>
      <c r="B56" s="14">
        <f>'특성연구(Zero)'!K57</f>
        <v>1018188.8482742294</v>
      </c>
      <c r="C56" s="14">
        <f>'특성연구(Zero)'!M57</f>
        <v>24300250</v>
      </c>
      <c r="D56" s="14">
        <f>'특성연구(Zero)'!N57</f>
        <v>24300250</v>
      </c>
      <c r="E56" s="14">
        <f>'특성연구(Zero)'!O57</f>
        <v>0</v>
      </c>
      <c r="F56" s="14">
        <f>'특성연구(Zero)'!P57</f>
        <v>0</v>
      </c>
      <c r="G56" s="14">
        <f>'특성연구(Zero)'!Q57</f>
        <v>0</v>
      </c>
      <c r="H56" s="16"/>
      <c r="I56" s="16"/>
      <c r="J56" s="16"/>
      <c r="K56" s="16"/>
      <c r="L56" s="16"/>
      <c r="M56" s="16"/>
      <c r="N56" s="16"/>
      <c r="O56" s="16"/>
      <c r="P56" s="16"/>
    </row>
    <row r="57" spans="1:16" x14ac:dyDescent="0.2">
      <c r="A57" s="1">
        <f>'특성연구(Zero)'!A58</f>
        <v>56</v>
      </c>
      <c r="B57" s="14">
        <f>'특성연구(Zero)'!K58</f>
        <v>1018188.8482742294</v>
      </c>
      <c r="C57" s="14">
        <f>'특성연구(Zero)'!M58</f>
        <v>24300250</v>
      </c>
      <c r="D57" s="14">
        <f>'특성연구(Zero)'!N58</f>
        <v>24300250</v>
      </c>
      <c r="E57" s="14">
        <f>'특성연구(Zero)'!O58</f>
        <v>0</v>
      </c>
      <c r="F57" s="14">
        <f>'특성연구(Zero)'!P58</f>
        <v>0</v>
      </c>
      <c r="G57" s="14">
        <f>'특성연구(Zero)'!Q58</f>
        <v>0</v>
      </c>
      <c r="H57" s="16"/>
      <c r="I57" s="16"/>
      <c r="J57" s="16"/>
      <c r="K57" s="16"/>
      <c r="L57" s="16"/>
      <c r="M57" s="16"/>
      <c r="N57" s="16"/>
      <c r="O57" s="16"/>
      <c r="P57" s="16"/>
    </row>
    <row r="58" spans="1:16" x14ac:dyDescent="0.2">
      <c r="A58" s="1">
        <f>'특성연구(Zero)'!A59</f>
        <v>57</v>
      </c>
      <c r="B58" s="14">
        <f>'특성연구(Zero)'!K59</f>
        <v>1018188.8482742294</v>
      </c>
      <c r="C58" s="14">
        <f>'특성연구(Zero)'!M59</f>
        <v>24300250</v>
      </c>
      <c r="D58" s="14">
        <f>'특성연구(Zero)'!N59</f>
        <v>24300250</v>
      </c>
      <c r="E58" s="14">
        <f>'특성연구(Zero)'!O59</f>
        <v>0</v>
      </c>
      <c r="F58" s="14">
        <f>'특성연구(Zero)'!P59</f>
        <v>0</v>
      </c>
      <c r="G58" s="14">
        <f>'특성연구(Zero)'!Q59</f>
        <v>0</v>
      </c>
      <c r="H58" s="16"/>
      <c r="I58" s="16"/>
      <c r="J58" s="16"/>
      <c r="K58" s="16"/>
      <c r="L58" s="16"/>
      <c r="M58" s="16"/>
      <c r="N58" s="16"/>
      <c r="O58" s="16"/>
      <c r="P58" s="16"/>
    </row>
    <row r="59" spans="1:16" x14ac:dyDescent="0.2">
      <c r="A59" s="1">
        <f>'특성연구(Zero)'!A60</f>
        <v>58</v>
      </c>
      <c r="B59" s="14">
        <f>'특성연구(Zero)'!K60</f>
        <v>1018188.8482742294</v>
      </c>
      <c r="C59" s="14">
        <f>'특성연구(Zero)'!M60</f>
        <v>24300250</v>
      </c>
      <c r="D59" s="14">
        <f>'특성연구(Zero)'!N60</f>
        <v>24300250</v>
      </c>
      <c r="E59" s="14">
        <f>'특성연구(Zero)'!O60</f>
        <v>0</v>
      </c>
      <c r="F59" s="14">
        <f>'특성연구(Zero)'!P60</f>
        <v>0</v>
      </c>
      <c r="G59" s="14">
        <f>'특성연구(Zero)'!Q60</f>
        <v>0</v>
      </c>
    </row>
    <row r="60" spans="1:16" x14ac:dyDescent="0.2">
      <c r="A60" s="1">
        <f>'특성연구(Zero)'!A61</f>
        <v>59</v>
      </c>
      <c r="B60" s="14">
        <f>'특성연구(Zero)'!K61</f>
        <v>1018188.8482742294</v>
      </c>
      <c r="C60" s="14">
        <f>'특성연구(Zero)'!M61</f>
        <v>24300250</v>
      </c>
      <c r="D60" s="14">
        <f>'특성연구(Zero)'!N61</f>
        <v>24300250</v>
      </c>
      <c r="E60" s="14">
        <f>'특성연구(Zero)'!O61</f>
        <v>0</v>
      </c>
      <c r="F60" s="14">
        <f>'특성연구(Zero)'!P61</f>
        <v>0</v>
      </c>
      <c r="G60" s="14">
        <f>'특성연구(Zero)'!Q61</f>
        <v>0</v>
      </c>
    </row>
    <row r="61" spans="1:16" x14ac:dyDescent="0.2">
      <c r="A61" s="1">
        <f>'특성연구(Zero)'!A62</f>
        <v>60</v>
      </c>
      <c r="B61" s="14">
        <f>'특성연구(Zero)'!K62</f>
        <v>1018188.8482742294</v>
      </c>
      <c r="C61" s="14">
        <f>'특성연구(Zero)'!M62</f>
        <v>24300250</v>
      </c>
      <c r="D61" s="14">
        <f>'특성연구(Zero)'!N62</f>
        <v>24300250</v>
      </c>
      <c r="E61" s="14">
        <f>'특성연구(Zero)'!O62</f>
        <v>0</v>
      </c>
      <c r="F61" s="14">
        <f>'특성연구(Zero)'!P62</f>
        <v>0</v>
      </c>
      <c r="G61" s="14">
        <f>'특성연구(Zero)'!Q62</f>
        <v>0</v>
      </c>
    </row>
    <row r="62" spans="1:16" x14ac:dyDescent="0.2">
      <c r="A62" s="1">
        <f>'특성연구(Zero)'!A63</f>
        <v>61</v>
      </c>
      <c r="B62" s="14">
        <f>'특성연구(Zero)'!K63</f>
        <v>1018188.8482742294</v>
      </c>
      <c r="C62" s="14">
        <f>'특성연구(Zero)'!M63</f>
        <v>24300250</v>
      </c>
      <c r="D62" s="14">
        <f>'특성연구(Zero)'!N63</f>
        <v>24300250</v>
      </c>
      <c r="E62" s="14">
        <f>'특성연구(Zero)'!O63</f>
        <v>0</v>
      </c>
      <c r="F62" s="14">
        <f>'특성연구(Zero)'!P63</f>
        <v>0</v>
      </c>
      <c r="G62" s="14">
        <f>'특성연구(Zero)'!Q63</f>
        <v>0</v>
      </c>
    </row>
    <row r="63" spans="1:16" x14ac:dyDescent="0.2">
      <c r="A63" s="1">
        <f>'특성연구(Zero)'!A64</f>
        <v>62</v>
      </c>
      <c r="B63" s="14">
        <f>'특성연구(Zero)'!K64</f>
        <v>1018188.8482742294</v>
      </c>
      <c r="C63" s="14">
        <f>'특성연구(Zero)'!M64</f>
        <v>24300250</v>
      </c>
      <c r="D63" s="14">
        <f>'특성연구(Zero)'!N64</f>
        <v>24300250</v>
      </c>
      <c r="E63" s="14">
        <f>'특성연구(Zero)'!O64</f>
        <v>0</v>
      </c>
      <c r="F63" s="14">
        <f>'특성연구(Zero)'!P64</f>
        <v>0</v>
      </c>
      <c r="G63" s="14">
        <f>'특성연구(Zero)'!Q64</f>
        <v>0</v>
      </c>
    </row>
    <row r="64" spans="1:16" x14ac:dyDescent="0.2">
      <c r="A64" s="1">
        <f>'특성연구(Zero)'!A65</f>
        <v>63</v>
      </c>
      <c r="B64" s="14">
        <f>'특성연구(Zero)'!K65</f>
        <v>1018188.8482742294</v>
      </c>
      <c r="C64" s="14">
        <f>'특성연구(Zero)'!M65</f>
        <v>24300250</v>
      </c>
      <c r="D64" s="14">
        <f>'특성연구(Zero)'!N65</f>
        <v>24300250</v>
      </c>
      <c r="E64" s="14">
        <f>'특성연구(Zero)'!O65</f>
        <v>0</v>
      </c>
      <c r="F64" s="14">
        <f>'특성연구(Zero)'!P65</f>
        <v>0</v>
      </c>
      <c r="G64" s="14">
        <f>'특성연구(Zero)'!Q65</f>
        <v>0</v>
      </c>
      <c r="H64" s="16"/>
      <c r="I64" s="16"/>
      <c r="J64" s="16"/>
      <c r="K64" s="16"/>
      <c r="L64" s="16"/>
      <c r="M64" s="16"/>
      <c r="N64" s="16"/>
      <c r="O64" s="16"/>
      <c r="P64" s="16"/>
    </row>
    <row r="65" spans="1:16" x14ac:dyDescent="0.2">
      <c r="A65" s="1">
        <f>'특성연구(Zero)'!A66</f>
        <v>64</v>
      </c>
      <c r="B65" s="14">
        <f>'특성연구(Zero)'!K66</f>
        <v>1018188.8482742294</v>
      </c>
      <c r="C65" s="14">
        <f>'특성연구(Zero)'!M66</f>
        <v>24300250</v>
      </c>
      <c r="D65" s="14">
        <f>'특성연구(Zero)'!N66</f>
        <v>24300250</v>
      </c>
      <c r="E65" s="14">
        <f>'특성연구(Zero)'!O66</f>
        <v>0</v>
      </c>
      <c r="F65" s="14">
        <f>'특성연구(Zero)'!P66</f>
        <v>0</v>
      </c>
      <c r="G65" s="14">
        <f>'특성연구(Zero)'!Q66</f>
        <v>0</v>
      </c>
      <c r="H65" s="16"/>
      <c r="I65" s="16"/>
      <c r="J65" s="16"/>
      <c r="K65" s="16"/>
      <c r="L65" s="16"/>
      <c r="M65" s="16"/>
      <c r="N65" s="16"/>
      <c r="O65" s="16"/>
      <c r="P65" s="16"/>
    </row>
    <row r="66" spans="1:16" x14ac:dyDescent="0.2">
      <c r="A66" s="1">
        <f>'특성연구(Zero)'!A67</f>
        <v>65</v>
      </c>
      <c r="B66" s="14">
        <f>'특성연구(Zero)'!K67</f>
        <v>1018188.8482742294</v>
      </c>
      <c r="C66" s="14">
        <f>'특성연구(Zero)'!M67</f>
        <v>24300250</v>
      </c>
      <c r="D66" s="14">
        <f>'특성연구(Zero)'!N67</f>
        <v>24300250</v>
      </c>
      <c r="E66" s="14">
        <f>'특성연구(Zero)'!O67</f>
        <v>0</v>
      </c>
      <c r="F66" s="14">
        <f>'특성연구(Zero)'!P67</f>
        <v>0</v>
      </c>
      <c r="G66" s="14">
        <f>'특성연구(Zero)'!Q67</f>
        <v>0</v>
      </c>
      <c r="H66" s="16"/>
      <c r="I66" s="16"/>
      <c r="J66" s="16"/>
      <c r="K66" s="16"/>
      <c r="L66" s="16"/>
      <c r="M66" s="16"/>
      <c r="N66" s="16"/>
      <c r="O66" s="16"/>
      <c r="P66" s="16"/>
    </row>
    <row r="67" spans="1:16" x14ac:dyDescent="0.2">
      <c r="A67" s="1">
        <f>'특성연구(Zero)'!A68</f>
        <v>66</v>
      </c>
      <c r="B67" s="14">
        <f>'특성연구(Zero)'!K68</f>
        <v>1018188.8482742294</v>
      </c>
      <c r="C67" s="14">
        <f>'특성연구(Zero)'!M68</f>
        <v>24300250</v>
      </c>
      <c r="D67" s="14">
        <f>'특성연구(Zero)'!N68</f>
        <v>24300250</v>
      </c>
      <c r="E67" s="14">
        <f>'특성연구(Zero)'!O68</f>
        <v>0</v>
      </c>
      <c r="F67" s="14">
        <f>'특성연구(Zero)'!P68</f>
        <v>0</v>
      </c>
      <c r="G67" s="14">
        <f>'특성연구(Zero)'!Q68</f>
        <v>0</v>
      </c>
      <c r="H67" s="16"/>
      <c r="I67" s="16"/>
      <c r="J67" s="16"/>
      <c r="K67" s="16"/>
      <c r="L67" s="16"/>
      <c r="M67" s="16"/>
      <c r="N67" s="16"/>
      <c r="O67" s="16"/>
      <c r="P67" s="16"/>
    </row>
    <row r="68" spans="1:16" x14ac:dyDescent="0.2">
      <c r="A68" s="1">
        <f>'특성연구(Zero)'!A69</f>
        <v>67</v>
      </c>
      <c r="B68" s="14">
        <f>'특성연구(Zero)'!K69</f>
        <v>1018188.8482742294</v>
      </c>
      <c r="C68" s="14">
        <f>'특성연구(Zero)'!M69</f>
        <v>24300250</v>
      </c>
      <c r="D68" s="14">
        <f>'특성연구(Zero)'!N69</f>
        <v>24300250</v>
      </c>
      <c r="E68" s="14">
        <f>'특성연구(Zero)'!O69</f>
        <v>0</v>
      </c>
      <c r="F68" s="14">
        <f>'특성연구(Zero)'!P69</f>
        <v>0</v>
      </c>
      <c r="G68" s="14">
        <f>'특성연구(Zero)'!Q69</f>
        <v>0</v>
      </c>
      <c r="H68" s="16"/>
      <c r="I68" s="16"/>
      <c r="J68" s="16"/>
      <c r="K68" s="16"/>
      <c r="L68" s="16"/>
      <c r="M68" s="16"/>
      <c r="N68" s="16"/>
      <c r="O68" s="16"/>
      <c r="P68" s="16"/>
    </row>
    <row r="69" spans="1:16" x14ac:dyDescent="0.2">
      <c r="A69" s="1">
        <f>'특성연구(Zero)'!A70</f>
        <v>68</v>
      </c>
      <c r="B69" s="14">
        <f>'특성연구(Zero)'!K70</f>
        <v>1018188.8482742294</v>
      </c>
      <c r="C69" s="14">
        <f>'특성연구(Zero)'!M70</f>
        <v>24300250</v>
      </c>
      <c r="D69" s="14">
        <f>'특성연구(Zero)'!N70</f>
        <v>24300250</v>
      </c>
      <c r="E69" s="14">
        <f>'특성연구(Zero)'!O70</f>
        <v>0</v>
      </c>
      <c r="F69" s="14">
        <f>'특성연구(Zero)'!P70</f>
        <v>0</v>
      </c>
      <c r="G69" s="14">
        <f>'특성연구(Zero)'!Q70</f>
        <v>0</v>
      </c>
    </row>
    <row r="70" spans="1:16" x14ac:dyDescent="0.2">
      <c r="A70" s="1">
        <f>'특성연구(Zero)'!A71</f>
        <v>69</v>
      </c>
      <c r="B70" s="14">
        <f>'특성연구(Zero)'!K71</f>
        <v>1018188.8482742294</v>
      </c>
      <c r="C70" s="14">
        <f>'특성연구(Zero)'!M71</f>
        <v>24300250</v>
      </c>
      <c r="D70" s="14">
        <f>'특성연구(Zero)'!N71</f>
        <v>24300250</v>
      </c>
      <c r="E70" s="14">
        <f>'특성연구(Zero)'!O71</f>
        <v>0</v>
      </c>
      <c r="F70" s="14">
        <f>'특성연구(Zero)'!P71</f>
        <v>0</v>
      </c>
      <c r="G70" s="14">
        <f>'특성연구(Zero)'!Q71</f>
        <v>0</v>
      </c>
    </row>
    <row r="71" spans="1:16" x14ac:dyDescent="0.2">
      <c r="A71" s="1">
        <f>'특성연구(Zero)'!A72</f>
        <v>70</v>
      </c>
      <c r="B71" s="14">
        <f>'특성연구(Zero)'!K72</f>
        <v>1018188.8482742294</v>
      </c>
      <c r="C71" s="14">
        <f>'특성연구(Zero)'!M72</f>
        <v>24300250</v>
      </c>
      <c r="D71" s="14">
        <f>'특성연구(Zero)'!N72</f>
        <v>24300250</v>
      </c>
      <c r="E71" s="14">
        <f>'특성연구(Zero)'!O72</f>
        <v>0</v>
      </c>
      <c r="F71" s="14">
        <f>'특성연구(Zero)'!P72</f>
        <v>0</v>
      </c>
      <c r="G71" s="14">
        <f>'특성연구(Zero)'!Q72</f>
        <v>0</v>
      </c>
    </row>
    <row r="72" spans="1:16" x14ac:dyDescent="0.2">
      <c r="A72" s="1">
        <f>'특성연구(Zero)'!A73</f>
        <v>71</v>
      </c>
      <c r="B72" s="14">
        <f>'특성연구(Zero)'!K73</f>
        <v>1018188.8482742294</v>
      </c>
      <c r="C72" s="14">
        <f>'특성연구(Zero)'!M73</f>
        <v>24300250</v>
      </c>
      <c r="D72" s="14">
        <f>'특성연구(Zero)'!N73</f>
        <v>24300250</v>
      </c>
      <c r="E72" s="14">
        <f>'특성연구(Zero)'!O73</f>
        <v>0</v>
      </c>
      <c r="F72" s="14">
        <f>'특성연구(Zero)'!P73</f>
        <v>0</v>
      </c>
      <c r="G72" s="14">
        <f>'특성연구(Zero)'!Q73</f>
        <v>0</v>
      </c>
      <c r="H72" s="16"/>
      <c r="I72" s="16"/>
      <c r="J72" s="16"/>
      <c r="K72" s="16"/>
    </row>
    <row r="73" spans="1:16" x14ac:dyDescent="0.2">
      <c r="A73" s="1">
        <f>'특성연구(Zero)'!A74</f>
        <v>72</v>
      </c>
      <c r="B73" s="14">
        <f>'특성연구(Zero)'!K74</f>
        <v>1018188.8482742294</v>
      </c>
      <c r="C73" s="14">
        <f>'특성연구(Zero)'!M74</f>
        <v>24300250</v>
      </c>
      <c r="D73" s="14">
        <f>'특성연구(Zero)'!N74</f>
        <v>24300250</v>
      </c>
      <c r="E73" s="14">
        <f>'특성연구(Zero)'!O74</f>
        <v>0</v>
      </c>
      <c r="F73" s="14">
        <f>'특성연구(Zero)'!P74</f>
        <v>0</v>
      </c>
      <c r="G73" s="14">
        <f>'특성연구(Zero)'!Q74</f>
        <v>0</v>
      </c>
      <c r="H73" s="16"/>
      <c r="I73" s="16"/>
      <c r="J73" s="16"/>
      <c r="K73" s="16"/>
    </row>
    <row r="74" spans="1:16" x14ac:dyDescent="0.2">
      <c r="A74" s="1">
        <f>'특성연구(Zero)'!A75</f>
        <v>73</v>
      </c>
      <c r="B74" s="14">
        <f>'특성연구(Zero)'!K75</f>
        <v>1018188.8482742294</v>
      </c>
      <c r="C74" s="14">
        <f>'특성연구(Zero)'!M75</f>
        <v>24300250</v>
      </c>
      <c r="D74" s="14">
        <f>'특성연구(Zero)'!N75</f>
        <v>24300250</v>
      </c>
      <c r="E74" s="14">
        <f>'특성연구(Zero)'!O75</f>
        <v>0</v>
      </c>
      <c r="F74" s="14">
        <f>'특성연구(Zero)'!P75</f>
        <v>0</v>
      </c>
      <c r="G74" s="14">
        <f>'특성연구(Zero)'!Q75</f>
        <v>0</v>
      </c>
      <c r="H74" s="16"/>
      <c r="I74" s="16"/>
      <c r="J74" s="16"/>
      <c r="K74" s="16"/>
    </row>
    <row r="75" spans="1:16" x14ac:dyDescent="0.2">
      <c r="A75" s="1">
        <f>'특성연구(Zero)'!A76</f>
        <v>74</v>
      </c>
      <c r="B75" s="14">
        <f>'특성연구(Zero)'!K76</f>
        <v>1018188.8482742294</v>
      </c>
      <c r="C75" s="14">
        <f>'특성연구(Zero)'!M76</f>
        <v>24300250</v>
      </c>
      <c r="D75" s="14">
        <f>'특성연구(Zero)'!N76</f>
        <v>24300250</v>
      </c>
      <c r="E75" s="14">
        <f>'특성연구(Zero)'!O76</f>
        <v>0</v>
      </c>
      <c r="F75" s="14">
        <f>'특성연구(Zero)'!P76</f>
        <v>0</v>
      </c>
      <c r="G75" s="14">
        <f>'특성연구(Zero)'!Q76</f>
        <v>0</v>
      </c>
      <c r="H75" s="16"/>
      <c r="I75" s="16"/>
      <c r="J75" s="16"/>
      <c r="K75" s="16"/>
    </row>
    <row r="76" spans="1:16" x14ac:dyDescent="0.2">
      <c r="A76" s="1">
        <f>'특성연구(Zero)'!A77</f>
        <v>75</v>
      </c>
      <c r="B76" s="14">
        <f>'특성연구(Zero)'!K77</f>
        <v>1018188.8482742294</v>
      </c>
      <c r="C76" s="14">
        <f>'특성연구(Zero)'!M77</f>
        <v>24300250</v>
      </c>
      <c r="D76" s="14">
        <f>'특성연구(Zero)'!N77</f>
        <v>24300250</v>
      </c>
      <c r="E76" s="14">
        <f>'특성연구(Zero)'!O77</f>
        <v>0</v>
      </c>
      <c r="F76" s="14">
        <f>'특성연구(Zero)'!P77</f>
        <v>0</v>
      </c>
      <c r="G76" s="14">
        <f>'특성연구(Zero)'!Q77</f>
        <v>0</v>
      </c>
      <c r="H76" s="16"/>
      <c r="I76" s="16"/>
      <c r="J76" s="16"/>
      <c r="K76" s="16"/>
    </row>
    <row r="77" spans="1:16" x14ac:dyDescent="0.2">
      <c r="A77" s="1" t="s">
        <v>162</v>
      </c>
    </row>
    <row r="78" spans="1:16" x14ac:dyDescent="0.2">
      <c r="A78" s="1" t="s">
        <v>27</v>
      </c>
      <c r="B78" s="14" t="s">
        <v>163</v>
      </c>
      <c r="H78" s="16"/>
      <c r="I78" s="16"/>
      <c r="J78" s="16"/>
      <c r="K78" s="16"/>
    </row>
    <row r="79" spans="1:16" x14ac:dyDescent="0.2">
      <c r="A79" s="1">
        <v>1</v>
      </c>
      <c r="B79" s="14">
        <f>'특성연구(Zero)'!I3</f>
        <v>31250</v>
      </c>
      <c r="H79" s="16"/>
      <c r="I79" s="16"/>
      <c r="J79" s="16"/>
      <c r="K79" s="16"/>
    </row>
    <row r="80" spans="1:16" x14ac:dyDescent="0.2">
      <c r="A80" s="1">
        <v>2</v>
      </c>
      <c r="B80" s="14">
        <f>'특성연구(Zero)'!I8</f>
        <v>500000</v>
      </c>
      <c r="H80" s="16"/>
      <c r="I80" s="16"/>
      <c r="J80" s="16"/>
      <c r="K80" s="16"/>
    </row>
    <row r="81" spans="1:11" x14ac:dyDescent="0.2">
      <c r="A81" s="1">
        <v>3</v>
      </c>
      <c r="B81" s="14">
        <f>'특성연구(Zero)'!I13</f>
        <v>2531250</v>
      </c>
      <c r="H81" s="16"/>
      <c r="I81" s="16"/>
      <c r="J81" s="16"/>
      <c r="K81" s="16"/>
    </row>
    <row r="82" spans="1:11" x14ac:dyDescent="0.2">
      <c r="A82" s="1">
        <v>4</v>
      </c>
      <c r="B82" s="14">
        <f>'특성연구(Zero)'!I18</f>
        <v>8000000</v>
      </c>
      <c r="H82" s="16"/>
      <c r="I82" s="16"/>
      <c r="J82" s="16"/>
      <c r="K82" s="16"/>
    </row>
    <row r="83" spans="1:11" x14ac:dyDescent="0.2">
      <c r="A83" s="1">
        <v>5</v>
      </c>
      <c r="B83" s="14">
        <f>'특성연구(Zero)'!I23</f>
        <v>19531250</v>
      </c>
    </row>
    <row r="84" spans="1:11" x14ac:dyDescent="0.2">
      <c r="A84" s="1">
        <v>6</v>
      </c>
      <c r="B84" s="14">
        <f>'특성연구(Zero)'!I28</f>
        <v>40500000</v>
      </c>
    </row>
    <row r="85" spans="1:11" x14ac:dyDescent="0.2">
      <c r="A85" s="1">
        <v>7</v>
      </c>
      <c r="B85" s="14">
        <f>'특성연구(Zero)'!I33</f>
        <v>40500000</v>
      </c>
      <c r="H85" s="16"/>
      <c r="I85" s="16"/>
      <c r="J85" s="16"/>
      <c r="K85" s="16"/>
    </row>
    <row r="86" spans="1:11" x14ac:dyDescent="0.2">
      <c r="A86" s="1">
        <v>8</v>
      </c>
      <c r="B86" s="14">
        <f>'특성연구(Zero)'!I38</f>
        <v>40500000</v>
      </c>
      <c r="H86" s="16"/>
      <c r="I86" s="16"/>
      <c r="J86" s="16"/>
      <c r="K86" s="16"/>
    </row>
    <row r="87" spans="1:11" x14ac:dyDescent="0.2">
      <c r="A87" s="1">
        <v>9</v>
      </c>
      <c r="B87" s="14">
        <f>'특성연구(Zero)'!I43</f>
        <v>40500000</v>
      </c>
      <c r="H87" s="16"/>
      <c r="I87" s="16"/>
      <c r="J87" s="16"/>
      <c r="K87" s="16"/>
    </row>
    <row r="88" spans="1:11" x14ac:dyDescent="0.2">
      <c r="A88" s="1">
        <v>10</v>
      </c>
      <c r="B88" s="14">
        <f>'특성연구(Zero)'!I48</f>
        <v>40500000</v>
      </c>
      <c r="H88" s="16"/>
      <c r="I88" s="16"/>
      <c r="J88" s="16"/>
      <c r="K88" s="16"/>
    </row>
    <row r="89" spans="1:11" x14ac:dyDescent="0.2">
      <c r="A89" s="1">
        <v>11</v>
      </c>
      <c r="B89" s="14">
        <f>'특성연구(Zero)'!I53</f>
        <v>40500000</v>
      </c>
      <c r="H89" s="16"/>
      <c r="I89" s="16"/>
      <c r="J89" s="16"/>
      <c r="K89" s="16"/>
    </row>
    <row r="90" spans="1:11" x14ac:dyDescent="0.2">
      <c r="A90" s="1">
        <v>12</v>
      </c>
      <c r="B90" s="14">
        <f>'특성연구(Zero)'!I58</f>
        <v>40500000</v>
      </c>
    </row>
    <row r="91" spans="1:11" x14ac:dyDescent="0.2">
      <c r="A91" s="1">
        <v>13</v>
      </c>
      <c r="B91" s="14">
        <f>'특성연구(Zero)'!I63</f>
        <v>40500000</v>
      </c>
    </row>
    <row r="92" spans="1:11" x14ac:dyDescent="0.2">
      <c r="A92" s="1">
        <v>14</v>
      </c>
      <c r="B92" s="14">
        <f>'특성연구(Zero)'!I68</f>
        <v>40500000</v>
      </c>
    </row>
    <row r="93" spans="1:11" x14ac:dyDescent="0.2">
      <c r="A93" s="1">
        <v>15</v>
      </c>
      <c r="B93" s="14">
        <f>'특성연구(Zero)'!I73</f>
        <v>40500000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7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B13" sqref="AB13"/>
    </sheetView>
  </sheetViews>
  <sheetFormatPr defaultRowHeight="11.25" x14ac:dyDescent="0.2"/>
  <cols>
    <col min="1" max="1" width="3.125" style="38" customWidth="1"/>
    <col min="2" max="2" width="7.75" style="39" bestFit="1" customWidth="1"/>
    <col min="3" max="3" width="8.5" style="39" bestFit="1" customWidth="1"/>
    <col min="4" max="4" width="7.75" style="39" bestFit="1" customWidth="1"/>
    <col min="5" max="5" width="4.375" style="38" customWidth="1"/>
    <col min="6" max="6" width="4" style="38" customWidth="1"/>
    <col min="7" max="7" width="3.125" style="38" customWidth="1"/>
    <col min="8" max="8" width="7.25" style="40" customWidth="1"/>
    <col min="9" max="11" width="9" style="37"/>
    <col min="12" max="13" width="3.5" style="37" customWidth="1"/>
    <col min="14" max="14" width="6" style="42" customWidth="1"/>
    <col min="15" max="15" width="5.625" style="132" bestFit="1" customWidth="1"/>
    <col min="16" max="16" width="6.125" style="56" customWidth="1"/>
    <col min="17" max="17" width="7.75" style="56" bestFit="1" customWidth="1"/>
    <col min="18" max="18" width="5.875" style="56" customWidth="1"/>
    <col min="19" max="19" width="7.375" style="62" customWidth="1"/>
    <col min="20" max="20" width="8.875" style="63" bestFit="1" customWidth="1"/>
    <col min="21" max="21" width="2.875" style="76" customWidth="1"/>
    <col min="22" max="22" width="3.75" style="54" bestFit="1" customWidth="1"/>
    <col min="23" max="24" width="3.75" style="54" customWidth="1"/>
    <col min="25" max="25" width="7.375" style="37" customWidth="1"/>
    <col min="26" max="26" width="7.75" style="37" bestFit="1" customWidth="1"/>
    <col min="27" max="27" width="6.75" style="37" customWidth="1"/>
    <col min="28" max="28" width="6.625" style="60" customWidth="1"/>
    <col min="29" max="29" width="6.125" style="138" customWidth="1"/>
    <col min="30" max="30" width="7.5" style="37" customWidth="1"/>
    <col min="31" max="31" width="5.875" style="66" bestFit="1" customWidth="1"/>
    <col min="32" max="32" width="8.5" style="58" bestFit="1" customWidth="1"/>
    <col min="33" max="36" width="9" style="37"/>
    <col min="37" max="37" width="9.25" style="58" bestFit="1" customWidth="1"/>
    <col min="38" max="39" width="9" style="42"/>
    <col min="40" max="40" width="9" style="56"/>
    <col min="41" max="44" width="9" style="42"/>
    <col min="45" max="16384" width="9" style="37"/>
  </cols>
  <sheetData>
    <row r="1" spans="1:44" x14ac:dyDescent="0.2">
      <c r="A1" s="38" t="s">
        <v>60</v>
      </c>
      <c r="S1" s="262" t="s">
        <v>95</v>
      </c>
      <c r="T1" s="263"/>
      <c r="U1" s="83" t="s">
        <v>109</v>
      </c>
      <c r="Y1" s="37">
        <f>1/(maxLvAcc/maxLvHero)</f>
        <v>1</v>
      </c>
      <c r="AB1" s="60" t="s">
        <v>100</v>
      </c>
      <c r="AC1" s="138" t="s">
        <v>115</v>
      </c>
      <c r="AD1" s="83" t="s">
        <v>96</v>
      </c>
    </row>
    <row r="2" spans="1:44" s="47" customFormat="1" ht="26.25" customHeight="1" x14ac:dyDescent="0.3">
      <c r="A2" s="44" t="str">
        <f>[1]exp_table_hero!A1</f>
        <v>// 레벨</v>
      </c>
      <c r="B2" s="45" t="str">
        <f>[1]exp_table_hero!B1</f>
        <v>최대경험치</v>
      </c>
      <c r="C2" s="45" t="s">
        <v>63</v>
      </c>
      <c r="D2" s="45" t="s">
        <v>186</v>
      </c>
      <c r="E2" s="44" t="s">
        <v>65</v>
      </c>
      <c r="F2" s="44" t="s">
        <v>93</v>
      </c>
      <c r="G2" s="44" t="s">
        <v>92</v>
      </c>
      <c r="H2" s="46" t="s">
        <v>80</v>
      </c>
      <c r="L2" s="47" t="s">
        <v>81</v>
      </c>
      <c r="M2" s="47" t="s">
        <v>99</v>
      </c>
      <c r="N2" s="48" t="s">
        <v>120</v>
      </c>
      <c r="O2" s="133" t="s">
        <v>121</v>
      </c>
      <c r="P2" s="57" t="s">
        <v>126</v>
      </c>
      <c r="Q2" s="57" t="s">
        <v>79</v>
      </c>
      <c r="R2" s="57" t="s">
        <v>92</v>
      </c>
      <c r="S2" s="64" t="s">
        <v>106</v>
      </c>
      <c r="T2" s="65" t="s">
        <v>105</v>
      </c>
      <c r="U2" s="77" t="s">
        <v>82</v>
      </c>
      <c r="V2" s="55" t="s">
        <v>83</v>
      </c>
      <c r="W2" s="55" t="s">
        <v>89</v>
      </c>
      <c r="X2" s="55" t="s">
        <v>164</v>
      </c>
      <c r="Y2" s="47" t="s">
        <v>110</v>
      </c>
      <c r="Z2" s="47" t="s">
        <v>84</v>
      </c>
      <c r="AA2" s="47" t="s">
        <v>88</v>
      </c>
      <c r="AB2" s="61" t="s">
        <v>125</v>
      </c>
      <c r="AC2" s="139" t="s">
        <v>124</v>
      </c>
      <c r="AD2" s="44" t="s">
        <v>103</v>
      </c>
      <c r="AE2" s="67" t="s">
        <v>79</v>
      </c>
      <c r="AF2" s="59" t="s">
        <v>119</v>
      </c>
      <c r="AK2" s="59"/>
      <c r="AL2" s="48"/>
      <c r="AM2" s="48"/>
      <c r="AN2" s="57"/>
      <c r="AO2" s="48"/>
      <c r="AP2" s="48">
        <f>60*24</f>
        <v>1440</v>
      </c>
      <c r="AQ2" s="48"/>
      <c r="AR2" s="48"/>
    </row>
    <row r="3" spans="1:44" s="41" customFormat="1" x14ac:dyDescent="0.2">
      <c r="A3" s="91">
        <f>[1]exp_table_hero!A2</f>
        <v>1</v>
      </c>
      <c r="B3" s="92">
        <f>[1]exp_table_hero!B2</f>
        <v>1000</v>
      </c>
      <c r="C3" s="92">
        <f t="shared" ref="C3:C52" si="0">B3*AB3</f>
        <v>9.5192559105431318</v>
      </c>
      <c r="D3" s="119">
        <f t="shared" ref="D3:D51" si="1">B3*AC3</f>
        <v>0.63018694924151186</v>
      </c>
      <c r="E3" s="93">
        <f>D3/60</f>
        <v>1.0503115820691864E-2</v>
      </c>
      <c r="F3" s="93"/>
      <c r="G3" s="93"/>
      <c r="H3" s="94">
        <f>D3</f>
        <v>0.63018694924151186</v>
      </c>
      <c r="I3" s="41" t="s">
        <v>56</v>
      </c>
      <c r="L3" s="41">
        <v>1</v>
      </c>
      <c r="M3" s="95">
        <f>POWER(L3,2)</f>
        <v>1</v>
      </c>
      <c r="N3" s="96"/>
      <c r="O3" s="134"/>
      <c r="P3" s="97"/>
      <c r="Q3" s="97"/>
      <c r="R3" s="97"/>
      <c r="S3" s="62">
        <f>(S8/6)*$A3</f>
        <v>180.6264166666667</v>
      </c>
      <c r="T3" s="62">
        <f>(T$8/6)*$A3</f>
        <v>36.125283333333336</v>
      </c>
      <c r="U3" s="76">
        <v>3</v>
      </c>
      <c r="V3" s="98">
        <f t="shared" ref="V3:V52" si="2">U3/3</f>
        <v>1</v>
      </c>
      <c r="W3" s="98">
        <f>U3/2</f>
        <v>1.5</v>
      </c>
      <c r="X3" s="208">
        <v>3</v>
      </c>
      <c r="Y3" s="96">
        <f t="shared" ref="Y3:Y52" si="3">($B3*$W3)*Y$1</f>
        <v>1500</v>
      </c>
      <c r="Z3" s="96">
        <f>Y3</f>
        <v>1500</v>
      </c>
      <c r="AA3" s="96">
        <f t="shared" ref="AA3:AA52" si="4">Y3-B3</f>
        <v>500</v>
      </c>
      <c r="AB3" s="99">
        <f>(AB$8/6)*$A3</f>
        <v>9.5192559105431312E-3</v>
      </c>
      <c r="AC3" s="140">
        <f>(AC$11/9)*$A3</f>
        <v>6.3018694924151181E-4</v>
      </c>
      <c r="AD3" s="97">
        <f t="shared" ref="AD3:AD14" si="5">Y3*AC3</f>
        <v>0.94528042386226774</v>
      </c>
      <c r="AE3" s="100"/>
      <c r="AF3" s="63">
        <f t="shared" ref="AF3:AF52" si="6">Y3*AB3</f>
        <v>14.278883865814697</v>
      </c>
      <c r="AK3" s="63"/>
      <c r="AL3" s="96"/>
      <c r="AM3" s="96"/>
      <c r="AN3" s="97">
        <f t="shared" ref="AN3:AN51" si="7">POWER(A3,2)/8.2</f>
        <v>0.12195121951219513</v>
      </c>
      <c r="AO3" s="96">
        <f>305.2174 * (A3/50)</f>
        <v>6.1043479999999999</v>
      </c>
      <c r="AP3" s="96">
        <f>30000+$AP$2*AN3</f>
        <v>30175.609756097561</v>
      </c>
      <c r="AQ3" s="96">
        <f>$AP$2*AO3</f>
        <v>8790.2611199999992</v>
      </c>
      <c r="AR3" s="96"/>
    </row>
    <row r="4" spans="1:44" s="41" customFormat="1" x14ac:dyDescent="0.2">
      <c r="A4" s="91">
        <f>[1]exp_table_hero!A3</f>
        <v>2</v>
      </c>
      <c r="B4" s="92">
        <f>[1]exp_table_hero!B3</f>
        <v>3925</v>
      </c>
      <c r="C4" s="92">
        <f>B4*AB4</f>
        <v>74.726158897763582</v>
      </c>
      <c r="D4" s="92">
        <f t="shared" si="1"/>
        <v>4.9469675515458675</v>
      </c>
      <c r="E4" s="93">
        <f t="shared" ref="E4:F19" si="8">D4/60</f>
        <v>8.2449459192431129E-2</v>
      </c>
      <c r="F4" s="93"/>
      <c r="G4" s="93"/>
      <c r="H4" s="94">
        <f>H3+D4</f>
        <v>5.5771545007873797</v>
      </c>
      <c r="I4" s="41" t="s">
        <v>57</v>
      </c>
      <c r="L4" s="41">
        <v>2</v>
      </c>
      <c r="M4" s="95">
        <f t="shared" ref="M4:M52" si="9">POWER(L4,2)</f>
        <v>4</v>
      </c>
      <c r="N4" s="96"/>
      <c r="O4" s="134"/>
      <c r="P4" s="97"/>
      <c r="Q4" s="97"/>
      <c r="R4" s="97"/>
      <c r="S4" s="62">
        <f t="shared" ref="S4:S7" si="10">(S9/6)*$A4</f>
        <v>217.14666666666665</v>
      </c>
      <c r="T4" s="62">
        <f t="shared" ref="T4:T7" si="11">(T$8/6)*$A4</f>
        <v>72.250566666666671</v>
      </c>
      <c r="U4" s="76">
        <v>3</v>
      </c>
      <c r="V4" s="98">
        <f t="shared" si="2"/>
        <v>1</v>
      </c>
      <c r="W4" s="98">
        <f t="shared" ref="W4:W52" si="12">U4/2</f>
        <v>1.5</v>
      </c>
      <c r="X4" s="208">
        <v>3.5510204081632653</v>
      </c>
      <c r="Y4" s="96">
        <f t="shared" si="3"/>
        <v>5887.5</v>
      </c>
      <c r="Z4" s="96">
        <f t="shared" ref="Z4:Z52" si="13">Z3+Y4</f>
        <v>7387.5</v>
      </c>
      <c r="AA4" s="96">
        <f t="shared" si="4"/>
        <v>1962.5</v>
      </c>
      <c r="AB4" s="99">
        <f t="shared" ref="AB4:AB7" si="14">(AB$8/6)*$A4</f>
        <v>1.9038511821086262E-2</v>
      </c>
      <c r="AC4" s="140">
        <f t="shared" ref="AC4:AC10" si="15">(AC$11/9)*$A4</f>
        <v>1.2603738984830236E-3</v>
      </c>
      <c r="AD4" s="97">
        <f t="shared" si="5"/>
        <v>7.4204513273188013</v>
      </c>
      <c r="AE4" s="100"/>
      <c r="AF4" s="63">
        <f t="shared" si="6"/>
        <v>112.08923834664537</v>
      </c>
      <c r="AK4" s="63"/>
      <c r="AL4" s="96"/>
      <c r="AM4" s="96"/>
      <c r="AN4" s="97">
        <f t="shared" si="7"/>
        <v>0.48780487804878053</v>
      </c>
      <c r="AO4" s="96">
        <f t="shared" ref="AO4:AO52" si="16">305.2174 * (A4/50)</f>
        <v>12.208696</v>
      </c>
      <c r="AP4" s="96">
        <f t="shared" ref="AP4:AP52" si="17">30000+$AP$2*AN4</f>
        <v>30702.439024390245</v>
      </c>
      <c r="AQ4" s="96">
        <f t="shared" ref="AQ4:AQ52" si="18">$AP$2*AO4</f>
        <v>17580.522239999998</v>
      </c>
      <c r="AR4" s="96"/>
    </row>
    <row r="5" spans="1:44" s="41" customFormat="1" x14ac:dyDescent="0.2">
      <c r="A5" s="91">
        <f>[1]exp_table_hero!A4</f>
        <v>3</v>
      </c>
      <c r="B5" s="92">
        <f>[1]exp_table_hero!B4</f>
        <v>4900</v>
      </c>
      <c r="C5" s="92">
        <f t="shared" si="0"/>
        <v>139.93306188498403</v>
      </c>
      <c r="D5" s="92">
        <f t="shared" si="1"/>
        <v>9.2637481538502229</v>
      </c>
      <c r="E5" s="93">
        <f t="shared" si="8"/>
        <v>0.15439580256417038</v>
      </c>
      <c r="F5" s="93"/>
      <c r="G5" s="93"/>
      <c r="H5" s="94">
        <f t="shared" ref="H5:H52" si="19">H4+D5</f>
        <v>14.840902654637603</v>
      </c>
      <c r="L5" s="41">
        <v>3</v>
      </c>
      <c r="M5" s="95">
        <f t="shared" si="9"/>
        <v>9</v>
      </c>
      <c r="N5" s="96"/>
      <c r="O5" s="134"/>
      <c r="P5" s="97"/>
      <c r="Q5" s="97"/>
      <c r="R5" s="97"/>
      <c r="S5" s="62">
        <f t="shared" si="10"/>
        <v>321.20069310308571</v>
      </c>
      <c r="T5" s="62">
        <f t="shared" si="11"/>
        <v>108.37585000000001</v>
      </c>
      <c r="U5" s="76">
        <v>3</v>
      </c>
      <c r="V5" s="98">
        <f t="shared" si="2"/>
        <v>1</v>
      </c>
      <c r="W5" s="98">
        <f t="shared" si="12"/>
        <v>1.5</v>
      </c>
      <c r="X5" s="208">
        <v>4.1020408163265305</v>
      </c>
      <c r="Y5" s="96">
        <f t="shared" si="3"/>
        <v>7350</v>
      </c>
      <c r="Z5" s="96">
        <f t="shared" si="13"/>
        <v>14737.5</v>
      </c>
      <c r="AA5" s="96">
        <f t="shared" si="4"/>
        <v>2450</v>
      </c>
      <c r="AB5" s="99">
        <f t="shared" si="14"/>
        <v>2.8557767731629394E-2</v>
      </c>
      <c r="AC5" s="140">
        <f t="shared" si="15"/>
        <v>1.8905608477245354E-3</v>
      </c>
      <c r="AD5" s="97">
        <f t="shared" si="5"/>
        <v>13.895622230775336</v>
      </c>
      <c r="AE5" s="100"/>
      <c r="AF5" s="63">
        <f t="shared" si="6"/>
        <v>209.89959282747606</v>
      </c>
      <c r="AK5" s="63"/>
      <c r="AL5" s="96"/>
      <c r="AM5" s="96"/>
      <c r="AN5" s="97">
        <f t="shared" si="7"/>
        <v>1.0975609756097562</v>
      </c>
      <c r="AO5" s="96">
        <f t="shared" si="16"/>
        <v>18.313043999999998</v>
      </c>
      <c r="AP5" s="96">
        <f t="shared" si="17"/>
        <v>31580.487804878048</v>
      </c>
      <c r="AQ5" s="96">
        <f t="shared" si="18"/>
        <v>26370.783359999998</v>
      </c>
      <c r="AR5" s="96"/>
    </row>
    <row r="6" spans="1:44" s="41" customFormat="1" x14ac:dyDescent="0.2">
      <c r="A6" s="91">
        <f>[1]exp_table_hero!A5</f>
        <v>4</v>
      </c>
      <c r="B6" s="92">
        <f>[1]exp_table_hero!B5</f>
        <v>5875</v>
      </c>
      <c r="C6" s="92">
        <f t="shared" si="0"/>
        <v>223.70251389776359</v>
      </c>
      <c r="D6" s="92">
        <f t="shared" si="1"/>
        <v>14.809393307175528</v>
      </c>
      <c r="E6" s="93">
        <f t="shared" si="8"/>
        <v>0.24682322178625879</v>
      </c>
      <c r="F6" s="93"/>
      <c r="G6" s="93"/>
      <c r="H6" s="94">
        <f t="shared" si="19"/>
        <v>29.650295961813129</v>
      </c>
      <c r="L6" s="41">
        <v>4</v>
      </c>
      <c r="M6" s="95">
        <f t="shared" si="9"/>
        <v>16</v>
      </c>
      <c r="N6" s="96"/>
      <c r="O6" s="134"/>
      <c r="P6" s="97"/>
      <c r="Q6" s="97"/>
      <c r="R6" s="97"/>
      <c r="S6" s="62">
        <f t="shared" si="10"/>
        <v>508.08822782596889</v>
      </c>
      <c r="T6" s="62">
        <f t="shared" si="11"/>
        <v>144.50113333333334</v>
      </c>
      <c r="U6" s="76">
        <v>4</v>
      </c>
      <c r="V6" s="98">
        <f t="shared" si="2"/>
        <v>1.3333333333333333</v>
      </c>
      <c r="W6" s="98">
        <f t="shared" si="12"/>
        <v>2</v>
      </c>
      <c r="X6" s="208">
        <v>4.6530612244897949</v>
      </c>
      <c r="Y6" s="96">
        <f t="shared" si="3"/>
        <v>11750</v>
      </c>
      <c r="Z6" s="96">
        <f t="shared" si="13"/>
        <v>26487.5</v>
      </c>
      <c r="AA6" s="96">
        <f t="shared" si="4"/>
        <v>5875</v>
      </c>
      <c r="AB6" s="99">
        <f t="shared" si="14"/>
        <v>3.8077023642172525E-2</v>
      </c>
      <c r="AC6" s="140">
        <f t="shared" si="15"/>
        <v>2.5207477969660472E-3</v>
      </c>
      <c r="AD6" s="97">
        <f t="shared" si="5"/>
        <v>29.618786614351055</v>
      </c>
      <c r="AE6" s="100"/>
      <c r="AF6" s="63">
        <f t="shared" si="6"/>
        <v>447.40502779552719</v>
      </c>
      <c r="AK6" s="63"/>
      <c r="AL6" s="96"/>
      <c r="AM6" s="96"/>
      <c r="AN6" s="97">
        <f t="shared" si="7"/>
        <v>1.9512195121951221</v>
      </c>
      <c r="AO6" s="96">
        <f t="shared" si="16"/>
        <v>24.417392</v>
      </c>
      <c r="AP6" s="96">
        <f t="shared" si="17"/>
        <v>32809.756097560974</v>
      </c>
      <c r="AQ6" s="96">
        <f t="shared" si="18"/>
        <v>35161.044479999997</v>
      </c>
      <c r="AR6" s="96"/>
    </row>
    <row r="7" spans="1:44" s="105" customFormat="1" x14ac:dyDescent="0.2">
      <c r="A7" s="101">
        <f>[1]exp_table_hero!A6</f>
        <v>5</v>
      </c>
      <c r="B7" s="102">
        <f>[1]exp_table_hero!B6</f>
        <v>6850</v>
      </c>
      <c r="C7" s="102">
        <f t="shared" si="0"/>
        <v>326.03451493610225</v>
      </c>
      <c r="D7" s="92">
        <f t="shared" si="1"/>
        <v>21.58390301152178</v>
      </c>
      <c r="E7" s="103">
        <f t="shared" si="8"/>
        <v>0.35973171685869632</v>
      </c>
      <c r="F7" s="103"/>
      <c r="G7" s="103"/>
      <c r="H7" s="104">
        <f t="shared" si="19"/>
        <v>51.234198973334912</v>
      </c>
      <c r="L7" s="105">
        <v>5</v>
      </c>
      <c r="M7" s="106">
        <f t="shared" si="9"/>
        <v>25</v>
      </c>
      <c r="N7" s="107"/>
      <c r="O7" s="135"/>
      <c r="P7" s="108"/>
      <c r="Q7" s="108"/>
      <c r="R7" s="108"/>
      <c r="S7" s="62">
        <f t="shared" si="10"/>
        <v>749.34551715391717</v>
      </c>
      <c r="T7" s="62">
        <f t="shared" si="11"/>
        <v>180.62641666666667</v>
      </c>
      <c r="U7" s="110">
        <v>4</v>
      </c>
      <c r="V7" s="111">
        <f t="shared" si="2"/>
        <v>1.3333333333333333</v>
      </c>
      <c r="W7" s="111">
        <f t="shared" si="12"/>
        <v>2</v>
      </c>
      <c r="X7" s="208">
        <v>5.2040816326530601</v>
      </c>
      <c r="Y7" s="107">
        <f t="shared" si="3"/>
        <v>13700</v>
      </c>
      <c r="Z7" s="107">
        <f t="shared" si="13"/>
        <v>40187.5</v>
      </c>
      <c r="AA7" s="107">
        <f t="shared" si="4"/>
        <v>6850</v>
      </c>
      <c r="AB7" s="99">
        <f t="shared" si="14"/>
        <v>4.7596279552715656E-2</v>
      </c>
      <c r="AC7" s="141">
        <f t="shared" si="15"/>
        <v>3.1509347462075591E-3</v>
      </c>
      <c r="AD7" s="108">
        <f t="shared" si="5"/>
        <v>43.167806023043561</v>
      </c>
      <c r="AE7" s="113"/>
      <c r="AF7" s="63">
        <f t="shared" si="6"/>
        <v>652.06902987220451</v>
      </c>
      <c r="AH7" s="41">
        <f>1/AB8</f>
        <v>17.508371266925771</v>
      </c>
      <c r="AI7" s="122">
        <f>B8/AH7</f>
        <v>446.92906499999998</v>
      </c>
      <c r="AK7" s="230"/>
      <c r="AL7" s="107"/>
      <c r="AM7" s="107"/>
      <c r="AN7" s="97">
        <f t="shared" si="7"/>
        <v>3.0487804878048781</v>
      </c>
      <c r="AO7" s="96">
        <f t="shared" si="16"/>
        <v>30.521740000000001</v>
      </c>
      <c r="AP7" s="96">
        <f t="shared" si="17"/>
        <v>34390.243902439026</v>
      </c>
      <c r="AQ7" s="96">
        <f t="shared" si="18"/>
        <v>43951.3056</v>
      </c>
      <c r="AR7" s="107"/>
    </row>
    <row r="8" spans="1:44" s="122" customFormat="1" x14ac:dyDescent="0.2">
      <c r="A8" s="118">
        <f>[1]exp_table_hero!A7</f>
        <v>6</v>
      </c>
      <c r="B8" s="119">
        <f>[1]exp_table_hero!B7</f>
        <v>7825</v>
      </c>
      <c r="C8" s="119">
        <f t="shared" si="0"/>
        <v>446.92906500000004</v>
      </c>
      <c r="D8" s="119">
        <f t="shared" si="1"/>
        <v>29.587277266888979</v>
      </c>
      <c r="E8" s="120">
        <f t="shared" si="8"/>
        <v>0.49312128778148295</v>
      </c>
      <c r="F8" s="120">
        <f>E8/60</f>
        <v>8.2186881296913827E-3</v>
      </c>
      <c r="G8" s="120"/>
      <c r="H8" s="121">
        <f t="shared" si="19"/>
        <v>80.821476240223888</v>
      </c>
      <c r="L8" s="122">
        <v>6</v>
      </c>
      <c r="M8" s="123">
        <f t="shared" si="9"/>
        <v>36</v>
      </c>
      <c r="N8" s="124">
        <f>[2]행동력!$AB9*$I$17</f>
        <v>26865.671641791043</v>
      </c>
      <c r="O8" s="136">
        <f>N8/3600</f>
        <v>7.4626865671641784</v>
      </c>
      <c r="P8" s="125">
        <f>'계정 경험치 테이블'!B7/N8</f>
        <v>0.30104402777777778</v>
      </c>
      <c r="Q8" s="125">
        <f t="shared" ref="Q8:Q52" si="20">P8*60</f>
        <v>18.062641666666668</v>
      </c>
      <c r="R8" s="125">
        <f>P8/[2]행동력!$M$2</f>
        <v>1.8815251736111111E-2</v>
      </c>
      <c r="S8" s="126">
        <f>P8*60*60</f>
        <v>1083.7585000000001</v>
      </c>
      <c r="T8" s="127">
        <f>S8*[2]행동력!$BA$2</f>
        <v>216.75170000000003</v>
      </c>
      <c r="U8" s="128">
        <v>4</v>
      </c>
      <c r="V8" s="129">
        <f t="shared" si="2"/>
        <v>1.3333333333333333</v>
      </c>
      <c r="W8" s="129">
        <f t="shared" si="12"/>
        <v>2</v>
      </c>
      <c r="X8" s="208">
        <v>5.7551020408163254</v>
      </c>
      <c r="Y8" s="124">
        <f t="shared" si="3"/>
        <v>15650</v>
      </c>
      <c r="Z8" s="124">
        <f t="shared" si="13"/>
        <v>55837.5</v>
      </c>
      <c r="AA8" s="124">
        <f t="shared" si="4"/>
        <v>7825</v>
      </c>
      <c r="AB8" s="114">
        <f>[2]행동력!$BA9/Y8</f>
        <v>5.7115535463258787E-2</v>
      </c>
      <c r="AC8" s="142">
        <f t="shared" si="15"/>
        <v>3.7811216954490709E-3</v>
      </c>
      <c r="AD8" s="125">
        <f t="shared" si="5"/>
        <v>59.174554533777957</v>
      </c>
      <c r="AE8" s="130">
        <f t="shared" ref="AE8:AE52" si="21">AD8/60</f>
        <v>0.98624257556296591</v>
      </c>
      <c r="AF8" s="63">
        <f t="shared" si="6"/>
        <v>893.85813000000007</v>
      </c>
      <c r="AG8" s="122" t="s">
        <v>165</v>
      </c>
      <c r="AK8" s="127"/>
      <c r="AL8" s="124"/>
      <c r="AM8" s="124"/>
      <c r="AN8" s="97">
        <f t="shared" si="7"/>
        <v>4.3902439024390247</v>
      </c>
      <c r="AO8" s="96">
        <f t="shared" si="16"/>
        <v>36.626087999999996</v>
      </c>
      <c r="AP8" s="96">
        <f t="shared" si="17"/>
        <v>36321.951219512193</v>
      </c>
      <c r="AQ8" s="96">
        <f t="shared" si="18"/>
        <v>52741.566719999995</v>
      </c>
      <c r="AR8" s="124"/>
    </row>
    <row r="9" spans="1:44" s="131" customFormat="1" x14ac:dyDescent="0.2">
      <c r="A9" s="91">
        <f>[1]exp_table_hero!A8</f>
        <v>7</v>
      </c>
      <c r="B9" s="92">
        <f>[1]exp_table_hero!B8</f>
        <v>8800</v>
      </c>
      <c r="C9" s="92">
        <f t="shared" si="0"/>
        <v>944.97119999999995</v>
      </c>
      <c r="D9" s="92">
        <f t="shared" si="1"/>
        <v>38.819516073277128</v>
      </c>
      <c r="E9" s="93">
        <f t="shared" si="8"/>
        <v>0.64699193455461879</v>
      </c>
      <c r="F9" s="93">
        <f t="shared" si="8"/>
        <v>1.0783198909243646E-2</v>
      </c>
      <c r="G9" s="93"/>
      <c r="H9" s="94">
        <f t="shared" si="19"/>
        <v>119.64099231350102</v>
      </c>
      <c r="L9" s="41">
        <v>7</v>
      </c>
      <c r="M9" s="95">
        <f t="shared" si="9"/>
        <v>49</v>
      </c>
      <c r="N9" s="96">
        <f>[2]행동력!$AB10*$I$17</f>
        <v>52941.176470588238</v>
      </c>
      <c r="O9" s="134"/>
      <c r="P9" s="97">
        <f>'계정 경험치 테이블'!B8/N9</f>
        <v>0.18095555555555554</v>
      </c>
      <c r="Q9" s="97">
        <f t="shared" si="20"/>
        <v>10.857333333333333</v>
      </c>
      <c r="R9" s="125">
        <f>P9/[2]행동력!$M$2</f>
        <v>1.1309722222222221E-2</v>
      </c>
      <c r="S9" s="62">
        <f t="shared" ref="S9:S52" si="22">P9*60*60</f>
        <v>651.43999999999994</v>
      </c>
      <c r="T9" s="127">
        <f>S9*[2]행동력!$BA$2</f>
        <v>130.28799999999998</v>
      </c>
      <c r="U9" s="78">
        <v>4</v>
      </c>
      <c r="V9" s="98">
        <f t="shared" si="2"/>
        <v>1.3333333333333333</v>
      </c>
      <c r="W9" s="98">
        <f t="shared" si="12"/>
        <v>2</v>
      </c>
      <c r="X9" s="208">
        <v>6.3061224489795897</v>
      </c>
      <c r="Y9" s="96">
        <f t="shared" si="3"/>
        <v>17600</v>
      </c>
      <c r="Z9" s="96">
        <f t="shared" si="13"/>
        <v>73437.5</v>
      </c>
      <c r="AA9" s="96">
        <f t="shared" si="4"/>
        <v>8800</v>
      </c>
      <c r="AB9" s="99">
        <f>[2]행동력!$BA10/Y9</f>
        <v>0.1073830909090909</v>
      </c>
      <c r="AC9" s="140">
        <f t="shared" si="15"/>
        <v>4.4113086446905831E-3</v>
      </c>
      <c r="AD9" s="97">
        <f t="shared" si="5"/>
        <v>77.639032146554257</v>
      </c>
      <c r="AE9" s="100">
        <f t="shared" si="21"/>
        <v>1.2939838691092376</v>
      </c>
      <c r="AF9" s="63">
        <f t="shared" si="6"/>
        <v>1889.9423999999999</v>
      </c>
      <c r="AG9" s="41" t="s">
        <v>166</v>
      </c>
      <c r="AK9" s="231"/>
      <c r="AL9" s="92"/>
      <c r="AM9" s="92"/>
      <c r="AN9" s="97">
        <f t="shared" si="7"/>
        <v>5.9756097560975618</v>
      </c>
      <c r="AO9" s="96">
        <f t="shared" si="16"/>
        <v>42.730436000000005</v>
      </c>
      <c r="AP9" s="96">
        <f t="shared" si="17"/>
        <v>38604.878048780491</v>
      </c>
      <c r="AQ9" s="96">
        <f t="shared" si="18"/>
        <v>61531.827840000005</v>
      </c>
      <c r="AR9" s="92"/>
    </row>
    <row r="10" spans="1:44" s="41" customFormat="1" x14ac:dyDescent="0.2">
      <c r="A10" s="91">
        <f>[1]exp_table_hero!A9</f>
        <v>8</v>
      </c>
      <c r="B10" s="92">
        <f>[1]exp_table_hero!B9</f>
        <v>9775</v>
      </c>
      <c r="C10" s="92">
        <f t="shared" si="0"/>
        <v>1823.1555992273773</v>
      </c>
      <c r="D10" s="92">
        <f t="shared" si="1"/>
        <v>49.280619430686222</v>
      </c>
      <c r="E10" s="93">
        <f t="shared" si="8"/>
        <v>0.82134365717810376</v>
      </c>
      <c r="F10" s="93">
        <f t="shared" si="8"/>
        <v>1.3689060952968396E-2</v>
      </c>
      <c r="G10" s="93"/>
      <c r="H10" s="94">
        <f t="shared" si="19"/>
        <v>168.92161174418723</v>
      </c>
      <c r="L10" s="41">
        <v>8</v>
      </c>
      <c r="M10" s="95">
        <f t="shared" si="9"/>
        <v>64</v>
      </c>
      <c r="N10" s="96">
        <f>[2]행동력!$AB11*$I$17</f>
        <v>66407.0796172111</v>
      </c>
      <c r="O10" s="134"/>
      <c r="P10" s="97">
        <f>'계정 경험치 테이블'!B9/N10</f>
        <v>0.17844482950171428</v>
      </c>
      <c r="Q10" s="97">
        <f t="shared" si="20"/>
        <v>10.706689770102857</v>
      </c>
      <c r="R10" s="125">
        <f>P10/[2]행동력!$M$2</f>
        <v>1.1152801843857143E-2</v>
      </c>
      <c r="S10" s="62">
        <f t="shared" si="22"/>
        <v>642.40138620617142</v>
      </c>
      <c r="T10" s="127">
        <f>S10*[2]행동력!$BA$2</f>
        <v>128.48027724123429</v>
      </c>
      <c r="U10" s="76">
        <v>5</v>
      </c>
      <c r="V10" s="98">
        <f t="shared" si="2"/>
        <v>1.6666666666666667</v>
      </c>
      <c r="W10" s="98">
        <f t="shared" si="12"/>
        <v>2.5</v>
      </c>
      <c r="X10" s="208">
        <v>6.857142857142855</v>
      </c>
      <c r="Y10" s="96">
        <f t="shared" si="3"/>
        <v>24437.5</v>
      </c>
      <c r="Z10" s="96">
        <f t="shared" si="13"/>
        <v>97875</v>
      </c>
      <c r="AA10" s="96">
        <f t="shared" si="4"/>
        <v>14662.5</v>
      </c>
      <c r="AB10" s="99">
        <f>[2]행동력!$BA11/Y10</f>
        <v>0.18651208176239154</v>
      </c>
      <c r="AC10" s="140">
        <f t="shared" si="15"/>
        <v>5.0414955939320945E-3</v>
      </c>
      <c r="AD10" s="97">
        <f t="shared" si="5"/>
        <v>123.20154857671555</v>
      </c>
      <c r="AE10" s="100">
        <f t="shared" si="21"/>
        <v>2.0533591429452591</v>
      </c>
      <c r="AF10" s="63">
        <f t="shared" si="6"/>
        <v>4557.8889980684435</v>
      </c>
      <c r="AG10" s="209" t="s">
        <v>167</v>
      </c>
      <c r="AK10" s="63"/>
      <c r="AL10" s="96"/>
      <c r="AM10" s="96"/>
      <c r="AN10" s="97">
        <f t="shared" si="7"/>
        <v>7.8048780487804885</v>
      </c>
      <c r="AO10" s="96">
        <f t="shared" si="16"/>
        <v>48.834783999999999</v>
      </c>
      <c r="AP10" s="96">
        <f t="shared" si="17"/>
        <v>41239.024390243903</v>
      </c>
      <c r="AQ10" s="96">
        <f t="shared" si="18"/>
        <v>70322.088959999994</v>
      </c>
      <c r="AR10" s="96"/>
    </row>
    <row r="11" spans="1:44" s="41" customFormat="1" x14ac:dyDescent="0.2">
      <c r="A11" s="91">
        <f>[1]exp_table_hero!A10</f>
        <v>9</v>
      </c>
      <c r="B11" s="92">
        <f>[1]exp_table_hero!B10</f>
        <v>10750</v>
      </c>
      <c r="C11" s="92">
        <f t="shared" si="0"/>
        <v>3159.7051716312289</v>
      </c>
      <c r="D11" s="92">
        <f t="shared" si="1"/>
        <v>60.970587339116264</v>
      </c>
      <c r="E11" s="93">
        <f t="shared" si="8"/>
        <v>1.0161764556519377</v>
      </c>
      <c r="F11" s="93">
        <f t="shared" si="8"/>
        <v>1.6936274260865629E-2</v>
      </c>
      <c r="G11" s="93"/>
      <c r="H11" s="94">
        <f t="shared" si="19"/>
        <v>229.8921990833035</v>
      </c>
      <c r="I11" s="41" t="s">
        <v>58</v>
      </c>
      <c r="L11" s="41">
        <v>9</v>
      </c>
      <c r="M11" s="95">
        <f t="shared" si="9"/>
        <v>81</v>
      </c>
      <c r="N11" s="96">
        <f>[2]행동력!$AB12*$I$17</f>
        <v>64476.990817470789</v>
      </c>
      <c r="O11" s="134"/>
      <c r="P11" s="97">
        <f>'계정 경험치 테이블'!B10/N11</f>
        <v>0.21170342826082036</v>
      </c>
      <c r="Q11" s="97">
        <f t="shared" si="20"/>
        <v>12.702205695649221</v>
      </c>
      <c r="R11" s="125">
        <f>P11/[2]행동력!$M$2</f>
        <v>1.3231464266301273E-2</v>
      </c>
      <c r="S11" s="62">
        <f t="shared" si="22"/>
        <v>762.1323417389533</v>
      </c>
      <c r="T11" s="127">
        <f>S11*[2]행동력!$BA$2</f>
        <v>152.42646834779066</v>
      </c>
      <c r="U11" s="76">
        <v>5</v>
      </c>
      <c r="V11" s="98">
        <f t="shared" si="2"/>
        <v>1.6666666666666667</v>
      </c>
      <c r="W11" s="98">
        <f t="shared" si="12"/>
        <v>2.5</v>
      </c>
      <c r="X11" s="208">
        <v>7.4081632653061202</v>
      </c>
      <c r="Y11" s="96">
        <f t="shared" si="3"/>
        <v>26875</v>
      </c>
      <c r="Z11" s="96">
        <f t="shared" si="13"/>
        <v>124750</v>
      </c>
      <c r="AA11" s="96">
        <f t="shared" si="4"/>
        <v>16125</v>
      </c>
      <c r="AB11" s="99">
        <f>[2]행동력!$BA12/Y11</f>
        <v>0.29392606247732361</v>
      </c>
      <c r="AC11" s="140">
        <f>$T11/Y11</f>
        <v>5.6716825431736059E-3</v>
      </c>
      <c r="AD11" s="97">
        <f t="shared" si="5"/>
        <v>152.42646834779066</v>
      </c>
      <c r="AE11" s="100">
        <f t="shared" si="21"/>
        <v>2.5404411391298445</v>
      </c>
      <c r="AF11" s="63">
        <f t="shared" si="6"/>
        <v>7899.2629290780724</v>
      </c>
      <c r="AG11" s="41">
        <v>128000</v>
      </c>
      <c r="AK11" s="63"/>
      <c r="AL11" s="96"/>
      <c r="AM11" s="96"/>
      <c r="AN11" s="97">
        <f t="shared" si="7"/>
        <v>9.8780487804878057</v>
      </c>
      <c r="AO11" s="96">
        <f t="shared" si="16"/>
        <v>54.939132000000001</v>
      </c>
      <c r="AP11" s="96">
        <f t="shared" si="17"/>
        <v>44224.390243902439</v>
      </c>
      <c r="AQ11" s="96">
        <f t="shared" si="18"/>
        <v>79112.350080000004</v>
      </c>
      <c r="AR11" s="96"/>
    </row>
    <row r="12" spans="1:44" s="105" customFormat="1" x14ac:dyDescent="0.2">
      <c r="A12" s="101">
        <f>[1]exp_table_hero!A11</f>
        <v>10</v>
      </c>
      <c r="B12" s="102">
        <f>[1]exp_table_hero!B11</f>
        <v>11725</v>
      </c>
      <c r="C12" s="102">
        <f t="shared" si="0"/>
        <v>4831.0356214567873</v>
      </c>
      <c r="D12" s="102">
        <f t="shared" si="1"/>
        <v>71.937169646776056</v>
      </c>
      <c r="E12" s="103">
        <f t="shared" si="8"/>
        <v>1.1989528274462675</v>
      </c>
      <c r="F12" s="103">
        <f t="shared" si="8"/>
        <v>1.9982547124104459E-2</v>
      </c>
      <c r="G12" s="103"/>
      <c r="H12" s="104">
        <f t="shared" si="19"/>
        <v>301.82936873007952</v>
      </c>
      <c r="I12" s="105" t="s">
        <v>59</v>
      </c>
      <c r="L12" s="105">
        <v>10</v>
      </c>
      <c r="M12" s="106">
        <f t="shared" si="9"/>
        <v>100</v>
      </c>
      <c r="N12" s="107">
        <f>[2]행동력!$AB13*$I$17</f>
        <v>62454.500532345453</v>
      </c>
      <c r="O12" s="135"/>
      <c r="P12" s="108">
        <f>'계정 경험치 테이블'!B11/N12</f>
        <v>0.24978183905130572</v>
      </c>
      <c r="Q12" s="108">
        <f t="shared" si="20"/>
        <v>14.986910343078343</v>
      </c>
      <c r="R12" s="125">
        <f>P12/[2]행동력!$M$2</f>
        <v>1.5611364940706607E-2</v>
      </c>
      <c r="S12" s="109">
        <f t="shared" si="22"/>
        <v>899.21462058470058</v>
      </c>
      <c r="T12" s="127">
        <f>S12*[2]행동력!$BA$2</f>
        <v>179.84292411694014</v>
      </c>
      <c r="U12" s="110">
        <v>5</v>
      </c>
      <c r="V12" s="111">
        <f t="shared" si="2"/>
        <v>1.6666666666666667</v>
      </c>
      <c r="W12" s="111">
        <f t="shared" si="12"/>
        <v>2.5</v>
      </c>
      <c r="X12" s="208">
        <v>7.9591836734693855</v>
      </c>
      <c r="Y12" s="107">
        <f t="shared" si="3"/>
        <v>29312.5</v>
      </c>
      <c r="Z12" s="107">
        <f t="shared" si="13"/>
        <v>154062.5</v>
      </c>
      <c r="AA12" s="107">
        <f t="shared" si="4"/>
        <v>17587.5</v>
      </c>
      <c r="AB12" s="112">
        <f>[2]행동력!$BA13/Y12</f>
        <v>0.41202862443128246</v>
      </c>
      <c r="AC12" s="141">
        <f t="shared" ref="AC12:AC51" si="23">T12/Y12</f>
        <v>6.1353662811749303E-3</v>
      </c>
      <c r="AD12" s="108">
        <f t="shared" si="5"/>
        <v>179.84292411694014</v>
      </c>
      <c r="AE12" s="113">
        <f t="shared" si="21"/>
        <v>2.9973820686156691</v>
      </c>
      <c r="AF12" s="63">
        <f t="shared" si="6"/>
        <v>12077.589053641967</v>
      </c>
      <c r="AK12" s="230"/>
      <c r="AL12" s="107"/>
      <c r="AM12" s="107"/>
      <c r="AN12" s="97">
        <f t="shared" si="7"/>
        <v>12.195121951219512</v>
      </c>
      <c r="AO12" s="96">
        <f t="shared" si="16"/>
        <v>61.043480000000002</v>
      </c>
      <c r="AP12" s="96">
        <f t="shared" si="17"/>
        <v>47560.975609756097</v>
      </c>
      <c r="AQ12" s="96">
        <f t="shared" si="18"/>
        <v>87902.611199999999</v>
      </c>
      <c r="AR12" s="107"/>
    </row>
    <row r="13" spans="1:44" s="122" customFormat="1" x14ac:dyDescent="0.2">
      <c r="A13" s="118">
        <f>[1]exp_table_hero!A12</f>
        <v>11</v>
      </c>
      <c r="B13" s="119">
        <f>[1]exp_table_hero!B12</f>
        <v>12700</v>
      </c>
      <c r="C13" s="119">
        <f t="shared" si="0"/>
        <v>7501.0098073226391</v>
      </c>
      <c r="D13" s="119">
        <f t="shared" si="1"/>
        <v>83.757758315418101</v>
      </c>
      <c r="E13" s="120"/>
      <c r="F13" s="120">
        <f t="shared" si="8"/>
        <v>0</v>
      </c>
      <c r="G13" s="120"/>
      <c r="H13" s="121">
        <f t="shared" si="19"/>
        <v>385.5871270454976</v>
      </c>
      <c r="I13" s="122" t="s">
        <v>116</v>
      </c>
      <c r="L13" s="122">
        <v>11</v>
      </c>
      <c r="M13" s="123">
        <f t="shared" si="9"/>
        <v>121</v>
      </c>
      <c r="N13" s="124">
        <f>[2]행동력!$AB14*$I$17</f>
        <v>60345.45457826068</v>
      </c>
      <c r="O13" s="136"/>
      <c r="P13" s="125">
        <f>'계정 경험치 테이블'!B12/N13</f>
        <v>0.29082554970631291</v>
      </c>
      <c r="Q13" s="125">
        <f t="shared" si="20"/>
        <v>17.449532982378773</v>
      </c>
      <c r="R13" s="125">
        <f>P13/[2]행동력!$M$2</f>
        <v>1.8176596856644557E-2</v>
      </c>
      <c r="S13" s="126">
        <f t="shared" si="22"/>
        <v>1046.9719789427263</v>
      </c>
      <c r="T13" s="127">
        <f>S13*[2]행동력!$BA$2</f>
        <v>209.39439578854527</v>
      </c>
      <c r="U13" s="128">
        <v>5</v>
      </c>
      <c r="V13" s="129">
        <f t="shared" si="2"/>
        <v>1.6666666666666667</v>
      </c>
      <c r="W13" s="129">
        <f t="shared" si="12"/>
        <v>2.5</v>
      </c>
      <c r="X13" s="208">
        <v>8.5102040816326507</v>
      </c>
      <c r="Y13" s="124">
        <f t="shared" si="3"/>
        <v>31750</v>
      </c>
      <c r="Z13" s="124">
        <f t="shared" si="13"/>
        <v>185812.5</v>
      </c>
      <c r="AA13" s="124">
        <f t="shared" si="4"/>
        <v>19050</v>
      </c>
      <c r="AB13" s="114">
        <f>[2]행동력!$BA14/Y13</f>
        <v>0.59063069348997155</v>
      </c>
      <c r="AC13" s="142">
        <f t="shared" si="23"/>
        <v>6.5950990799541814E-3</v>
      </c>
      <c r="AD13" s="125">
        <f t="shared" si="5"/>
        <v>209.39439578854527</v>
      </c>
      <c r="AE13" s="130">
        <f t="shared" si="21"/>
        <v>3.4899065964757545</v>
      </c>
      <c r="AF13" s="63">
        <f t="shared" si="6"/>
        <v>18752.524518306596</v>
      </c>
      <c r="AG13" s="210"/>
      <c r="AH13" s="122">
        <f>1/117.211</f>
        <v>8.5316224586429595E-3</v>
      </c>
      <c r="AI13" s="122">
        <f>1/0.384</f>
        <v>2.6041666666666665</v>
      </c>
      <c r="AK13" s="127"/>
      <c r="AL13" s="124"/>
      <c r="AM13" s="124"/>
      <c r="AN13" s="97">
        <f t="shared" si="7"/>
        <v>14.756097560975611</v>
      </c>
      <c r="AO13" s="96">
        <f t="shared" si="16"/>
        <v>67.147828000000004</v>
      </c>
      <c r="AP13" s="96">
        <f t="shared" si="17"/>
        <v>51248.780487804877</v>
      </c>
      <c r="AQ13" s="96">
        <f t="shared" si="18"/>
        <v>96692.872320000009</v>
      </c>
      <c r="AR13" s="124"/>
    </row>
    <row r="14" spans="1:44" s="41" customFormat="1" x14ac:dyDescent="0.2">
      <c r="A14" s="91">
        <f>[1]exp_table_hero!A13</f>
        <v>12</v>
      </c>
      <c r="B14" s="92">
        <f>[1]exp_table_hero!B13</f>
        <v>13675</v>
      </c>
      <c r="C14" s="92">
        <f t="shared" si="0"/>
        <v>9217.7381972892235</v>
      </c>
      <c r="D14" s="92">
        <f t="shared" si="1"/>
        <v>83.566523594382772</v>
      </c>
      <c r="E14" s="93">
        <f t="shared" si="8"/>
        <v>1.3927753932397129</v>
      </c>
      <c r="F14" s="93">
        <f t="shared" si="8"/>
        <v>2.3212923220661881E-2</v>
      </c>
      <c r="G14" s="93"/>
      <c r="H14" s="94">
        <f t="shared" si="19"/>
        <v>469.15365063988037</v>
      </c>
      <c r="I14" s="41" t="s">
        <v>68</v>
      </c>
      <c r="J14" s="41" t="s">
        <v>55</v>
      </c>
      <c r="K14" s="41" t="s">
        <v>64</v>
      </c>
      <c r="L14" s="41">
        <v>12</v>
      </c>
      <c r="M14" s="95">
        <f t="shared" si="9"/>
        <v>144</v>
      </c>
      <c r="N14" s="96">
        <f>[2]행동력!$AB15*$I$17</f>
        <v>58157.259521642751</v>
      </c>
      <c r="O14" s="134"/>
      <c r="P14" s="97">
        <f>'계정 경험치 테이블'!B13/N14</f>
        <v>0.34819384830992817</v>
      </c>
      <c r="Q14" s="97">
        <f t="shared" si="20"/>
        <v>20.89163089859569</v>
      </c>
      <c r="R14" s="125">
        <f>P14/[2]행동력!$M$2</f>
        <v>2.176211551937051E-2</v>
      </c>
      <c r="S14" s="62">
        <f t="shared" si="22"/>
        <v>1253.4978539157414</v>
      </c>
      <c r="T14" s="127">
        <f>S14*[2]행동력!$BA$2</f>
        <v>250.69957078314829</v>
      </c>
      <c r="U14" s="76">
        <v>6</v>
      </c>
      <c r="V14" s="98">
        <f t="shared" si="2"/>
        <v>2</v>
      </c>
      <c r="W14" s="98">
        <f t="shared" si="12"/>
        <v>3</v>
      </c>
      <c r="X14" s="208">
        <v>9.0612244897959151</v>
      </c>
      <c r="Y14" s="96">
        <f t="shared" si="3"/>
        <v>41025</v>
      </c>
      <c r="Z14" s="96">
        <f t="shared" si="13"/>
        <v>226837.5</v>
      </c>
      <c r="AA14" s="96">
        <f t="shared" si="4"/>
        <v>27350</v>
      </c>
      <c r="AB14" s="99">
        <f>[2]행동력!$BA15/Y14</f>
        <v>0.6740576378273655</v>
      </c>
      <c r="AC14" s="140">
        <f t="shared" si="23"/>
        <v>6.1108975206129994E-3</v>
      </c>
      <c r="AD14" s="97">
        <f t="shared" si="5"/>
        <v>250.69957078314829</v>
      </c>
      <c r="AE14" s="100">
        <f t="shared" si="21"/>
        <v>4.1783261797191384</v>
      </c>
      <c r="AF14" s="63">
        <f t="shared" si="6"/>
        <v>27653.214591867669</v>
      </c>
      <c r="AG14" s="41" t="s">
        <v>170</v>
      </c>
      <c r="AK14" s="63"/>
      <c r="AL14" s="96"/>
      <c r="AM14" s="96"/>
      <c r="AN14" s="97">
        <f t="shared" si="7"/>
        <v>17.560975609756099</v>
      </c>
      <c r="AO14" s="96">
        <f t="shared" si="16"/>
        <v>73.252175999999992</v>
      </c>
      <c r="AP14" s="96">
        <f t="shared" si="17"/>
        <v>55287.804878048781</v>
      </c>
      <c r="AQ14" s="96">
        <f t="shared" si="18"/>
        <v>105483.13343999999</v>
      </c>
      <c r="AR14" s="96"/>
    </row>
    <row r="15" spans="1:44" s="41" customFormat="1" x14ac:dyDescent="0.2">
      <c r="A15" s="91">
        <f>[1]exp_table_hero!A14</f>
        <v>13</v>
      </c>
      <c r="B15" s="92">
        <f>[1]exp_table_hero!B14</f>
        <v>14650</v>
      </c>
      <c r="C15" s="92">
        <f t="shared" si="0"/>
        <v>13669.935444800409</v>
      </c>
      <c r="D15" s="92">
        <f t="shared" si="1"/>
        <v>99.823175604963509</v>
      </c>
      <c r="E15" s="93">
        <f t="shared" si="8"/>
        <v>1.6637195934160585</v>
      </c>
      <c r="F15" s="93">
        <f t="shared" si="8"/>
        <v>2.772865989026764E-2</v>
      </c>
      <c r="G15" s="93"/>
      <c r="H15" s="94">
        <f t="shared" si="19"/>
        <v>568.97682624484389</v>
      </c>
      <c r="I15" s="131">
        <v>1</v>
      </c>
      <c r="J15" s="131"/>
      <c r="K15" s="131"/>
      <c r="L15" s="41">
        <v>13</v>
      </c>
      <c r="M15" s="95">
        <f t="shared" si="9"/>
        <v>169</v>
      </c>
      <c r="N15" s="96">
        <f>[2]행동력!$AB16*$I$17</f>
        <v>55898.842790596871</v>
      </c>
      <c r="O15" s="134"/>
      <c r="P15" s="97">
        <f>'계정 경험치 테이블'!B14/N15</f>
        <v>0.41592989835401462</v>
      </c>
      <c r="Q15" s="97">
        <f t="shared" si="20"/>
        <v>24.955793901240877</v>
      </c>
      <c r="R15" s="125">
        <f>P15/[2]행동력!$M$2</f>
        <v>2.5995618647125913E-2</v>
      </c>
      <c r="S15" s="62">
        <f t="shared" si="22"/>
        <v>1497.3476340744526</v>
      </c>
      <c r="T15" s="127">
        <f>S15*[2]행동력!$BA$2</f>
        <v>299.46952681489051</v>
      </c>
      <c r="U15" s="76">
        <v>6</v>
      </c>
      <c r="V15" s="98">
        <f t="shared" si="2"/>
        <v>2</v>
      </c>
      <c r="W15" s="98">
        <f t="shared" si="12"/>
        <v>3</v>
      </c>
      <c r="X15" s="208">
        <v>9.6122448979591795</v>
      </c>
      <c r="Y15" s="96">
        <f t="shared" si="3"/>
        <v>43950</v>
      </c>
      <c r="Z15" s="96">
        <f t="shared" si="13"/>
        <v>270787.5</v>
      </c>
      <c r="AA15" s="96">
        <f t="shared" si="4"/>
        <v>29300</v>
      </c>
      <c r="AB15" s="99">
        <f>[2]행동력!$BA16/Y15</f>
        <v>0.93310139554951599</v>
      </c>
      <c r="AC15" s="140">
        <f t="shared" si="23"/>
        <v>6.8138686419770313E-3</v>
      </c>
      <c r="AD15" s="97">
        <f t="shared" ref="AD15:AD52" si="24">Y15*$AC15</f>
        <v>299.46952681489051</v>
      </c>
      <c r="AE15" s="100">
        <f t="shared" si="21"/>
        <v>4.9911587802481749</v>
      </c>
      <c r="AF15" s="63">
        <f t="shared" si="6"/>
        <v>41009.806334401226</v>
      </c>
      <c r="AG15" s="41" t="s">
        <v>171</v>
      </c>
      <c r="AK15" s="63"/>
      <c r="AL15" s="96"/>
      <c r="AM15" s="96"/>
      <c r="AN15" s="97">
        <f t="shared" si="7"/>
        <v>20.609756097560979</v>
      </c>
      <c r="AO15" s="96">
        <f t="shared" si="16"/>
        <v>79.356524000000007</v>
      </c>
      <c r="AP15" s="96">
        <f t="shared" si="17"/>
        <v>59678.048780487807</v>
      </c>
      <c r="AQ15" s="96">
        <f t="shared" si="18"/>
        <v>114273.39456000002</v>
      </c>
      <c r="AR15" s="96"/>
    </row>
    <row r="16" spans="1:44" s="41" customFormat="1" x14ac:dyDescent="0.2">
      <c r="A16" s="91">
        <f>[1]exp_table_hero!A15</f>
        <v>14</v>
      </c>
      <c r="B16" s="92">
        <f>[1]exp_table_hero!B15</f>
        <v>15625</v>
      </c>
      <c r="C16" s="92">
        <f t="shared" si="0"/>
        <v>18615.354556203125</v>
      </c>
      <c r="D16" s="92">
        <f t="shared" si="1"/>
        <v>120.93939450810201</v>
      </c>
      <c r="E16" s="93">
        <f t="shared" si="8"/>
        <v>2.0156565751350337</v>
      </c>
      <c r="F16" s="93">
        <f t="shared" si="8"/>
        <v>3.359427625225056E-2</v>
      </c>
      <c r="G16" s="93"/>
      <c r="H16" s="94">
        <f t="shared" si="19"/>
        <v>689.91622075294595</v>
      </c>
      <c r="I16" s="41" t="s">
        <v>85</v>
      </c>
      <c r="L16" s="41">
        <v>14</v>
      </c>
      <c r="M16" s="95">
        <f t="shared" si="9"/>
        <v>196</v>
      </c>
      <c r="N16" s="96">
        <f>[2]행동력!$AB17*$I$17</f>
        <v>53580.555999607641</v>
      </c>
      <c r="O16" s="134"/>
      <c r="P16" s="97">
        <f>'계정 경험치 테이블'!B15/N16</f>
        <v>0.50391414378375832</v>
      </c>
      <c r="Q16" s="97">
        <f t="shared" si="20"/>
        <v>30.234848627025499</v>
      </c>
      <c r="R16" s="125">
        <f>P16/[2]행동력!$M$2</f>
        <v>3.1494633986484895E-2</v>
      </c>
      <c r="S16" s="62">
        <f t="shared" si="22"/>
        <v>1814.09091762153</v>
      </c>
      <c r="T16" s="127">
        <f>S16*[2]행동력!$BA$2</f>
        <v>362.81818352430605</v>
      </c>
      <c r="U16" s="76">
        <v>6</v>
      </c>
      <c r="V16" s="98">
        <f t="shared" si="2"/>
        <v>2</v>
      </c>
      <c r="W16" s="98">
        <f t="shared" si="12"/>
        <v>3</v>
      </c>
      <c r="X16" s="208">
        <v>10.163265306122446</v>
      </c>
      <c r="Y16" s="96">
        <f t="shared" si="3"/>
        <v>46875</v>
      </c>
      <c r="Z16" s="96">
        <f t="shared" si="13"/>
        <v>317662.5</v>
      </c>
      <c r="AA16" s="96">
        <f t="shared" si="4"/>
        <v>31250</v>
      </c>
      <c r="AB16" s="99">
        <f>[2]행동력!$BA17/Y16</f>
        <v>1.1913826915970001</v>
      </c>
      <c r="AC16" s="140">
        <f t="shared" si="23"/>
        <v>7.7401212485185287E-3</v>
      </c>
      <c r="AD16" s="97">
        <f t="shared" si="24"/>
        <v>362.81818352430605</v>
      </c>
      <c r="AE16" s="100">
        <f t="shared" si="21"/>
        <v>6.0469697254051011</v>
      </c>
      <c r="AF16" s="63">
        <f t="shared" si="6"/>
        <v>55846.063668609379</v>
      </c>
      <c r="AG16" s="41" t="s">
        <v>172</v>
      </c>
      <c r="AK16" s="63"/>
      <c r="AL16" s="96"/>
      <c r="AM16" s="96"/>
      <c r="AN16" s="97">
        <f t="shared" si="7"/>
        <v>23.902439024390247</v>
      </c>
      <c r="AO16" s="96">
        <f t="shared" si="16"/>
        <v>85.460872000000009</v>
      </c>
      <c r="AP16" s="96">
        <f t="shared" si="17"/>
        <v>64419.512195121955</v>
      </c>
      <c r="AQ16" s="96">
        <f t="shared" si="18"/>
        <v>123063.65568000001</v>
      </c>
      <c r="AR16" s="96"/>
    </row>
    <row r="17" spans="1:44" s="105" customFormat="1" x14ac:dyDescent="0.2">
      <c r="A17" s="101">
        <f>[1]exp_table_hero!A16</f>
        <v>15</v>
      </c>
      <c r="B17" s="102">
        <f>[1]exp_table_hero!B16</f>
        <v>16600</v>
      </c>
      <c r="C17" s="102">
        <f t="shared" si="0"/>
        <v>21841.139130176583</v>
      </c>
      <c r="D17" s="102">
        <f t="shared" si="1"/>
        <v>126.52785170868863</v>
      </c>
      <c r="E17" s="103">
        <f t="shared" si="8"/>
        <v>2.1087975284781439</v>
      </c>
      <c r="F17" s="103">
        <f t="shared" si="8"/>
        <v>3.5146625474635734E-2</v>
      </c>
      <c r="G17" s="103"/>
      <c r="H17" s="104">
        <f t="shared" si="19"/>
        <v>816.44407246163462</v>
      </c>
      <c r="I17" s="233">
        <v>1500</v>
      </c>
      <c r="L17" s="105">
        <v>15</v>
      </c>
      <c r="M17" s="106">
        <f t="shared" si="9"/>
        <v>225</v>
      </c>
      <c r="N17" s="107">
        <f>[2]행동력!$AB18*$I$17</f>
        <v>51214.020569314867</v>
      </c>
      <c r="O17" s="135"/>
      <c r="P17" s="108">
        <f>'계정 경험치 테이블'!B16/N17</f>
        <v>0.61506594580612517</v>
      </c>
      <c r="Q17" s="108">
        <f t="shared" si="20"/>
        <v>36.903956748367513</v>
      </c>
      <c r="R17" s="125">
        <f>P17/[2]행동력!$M$2</f>
        <v>3.8441621612882823E-2</v>
      </c>
      <c r="S17" s="109">
        <f t="shared" si="22"/>
        <v>2214.2374049020509</v>
      </c>
      <c r="T17" s="127">
        <f>S17*[2]행동력!$BA$2</f>
        <v>442.84748098041018</v>
      </c>
      <c r="U17" s="110">
        <v>7</v>
      </c>
      <c r="V17" s="111">
        <f t="shared" si="2"/>
        <v>2.3333333333333335</v>
      </c>
      <c r="W17" s="111">
        <f t="shared" si="12"/>
        <v>3.5</v>
      </c>
      <c r="X17" s="208">
        <v>10.71428571428571</v>
      </c>
      <c r="Y17" s="107">
        <f t="shared" si="3"/>
        <v>58100</v>
      </c>
      <c r="Z17" s="107">
        <f t="shared" si="13"/>
        <v>375762.5</v>
      </c>
      <c r="AA17" s="107">
        <f t="shared" si="4"/>
        <v>41500</v>
      </c>
      <c r="AB17" s="112">
        <f>[2]행동력!$BA18/Y17</f>
        <v>1.3157312729022039</v>
      </c>
      <c r="AC17" s="141">
        <f t="shared" si="23"/>
        <v>7.6221597414872664E-3</v>
      </c>
      <c r="AD17" s="108">
        <f t="shared" si="24"/>
        <v>442.84748098041018</v>
      </c>
      <c r="AE17" s="113">
        <f t="shared" si="21"/>
        <v>7.3807913496735029</v>
      </c>
      <c r="AF17" s="63">
        <f t="shared" si="6"/>
        <v>76443.986955618049</v>
      </c>
      <c r="AG17" s="105" t="s">
        <v>173</v>
      </c>
      <c r="AK17" s="230"/>
      <c r="AL17" s="107"/>
      <c r="AM17" s="107"/>
      <c r="AN17" s="97">
        <f t="shared" si="7"/>
        <v>27.439024390243905</v>
      </c>
      <c r="AO17" s="96">
        <f t="shared" si="16"/>
        <v>91.565219999999997</v>
      </c>
      <c r="AP17" s="96">
        <f t="shared" si="17"/>
        <v>69512.195121951227</v>
      </c>
      <c r="AQ17" s="96">
        <f t="shared" si="18"/>
        <v>131853.91680000001</v>
      </c>
      <c r="AR17" s="107"/>
    </row>
    <row r="18" spans="1:44" s="122" customFormat="1" x14ac:dyDescent="0.2">
      <c r="A18" s="118">
        <f>[1]exp_table_hero!A17</f>
        <v>16</v>
      </c>
      <c r="B18" s="119">
        <f>[1]exp_table_hero!B17</f>
        <v>17575</v>
      </c>
      <c r="C18" s="119">
        <f t="shared" si="0"/>
        <v>29902.633877175886</v>
      </c>
      <c r="D18" s="119">
        <f t="shared" si="1"/>
        <v>158.04102687205884</v>
      </c>
      <c r="E18" s="120"/>
      <c r="F18" s="120">
        <f t="shared" si="8"/>
        <v>0</v>
      </c>
      <c r="G18" s="120"/>
      <c r="H18" s="121">
        <f t="shared" si="19"/>
        <v>974.48509933369348</v>
      </c>
      <c r="I18" s="122" t="s">
        <v>118</v>
      </c>
      <c r="L18" s="122">
        <v>16</v>
      </c>
      <c r="M18" s="123">
        <f t="shared" si="9"/>
        <v>256</v>
      </c>
      <c r="N18" s="124">
        <f>[2]행동력!$AB19*$I$17</f>
        <v>48811.918442739356</v>
      </c>
      <c r="O18" s="136"/>
      <c r="P18" s="125">
        <f>'계정 경험치 테이블'!B17/N18</f>
        <v>0.76825499173917489</v>
      </c>
      <c r="Q18" s="125">
        <f t="shared" si="20"/>
        <v>46.095299504350493</v>
      </c>
      <c r="R18" s="125">
        <f>P18/[2]행동력!$M$2</f>
        <v>4.801593698369843E-2</v>
      </c>
      <c r="S18" s="126">
        <f t="shared" si="22"/>
        <v>2765.7179702610297</v>
      </c>
      <c r="T18" s="127">
        <f>S18*[2]행동력!$BA$2</f>
        <v>553.14359405220591</v>
      </c>
      <c r="U18" s="128">
        <v>7</v>
      </c>
      <c r="V18" s="129">
        <f t="shared" si="2"/>
        <v>2.3333333333333335</v>
      </c>
      <c r="W18" s="129">
        <f t="shared" si="12"/>
        <v>3.5</v>
      </c>
      <c r="X18" s="208">
        <v>11.265306122448976</v>
      </c>
      <c r="Y18" s="124">
        <f t="shared" si="3"/>
        <v>61512.5</v>
      </c>
      <c r="Z18" s="124">
        <f t="shared" si="13"/>
        <v>437275</v>
      </c>
      <c r="AA18" s="124">
        <f t="shared" si="4"/>
        <v>43937.5</v>
      </c>
      <c r="AB18" s="114">
        <f>[2]행동력!$BA19/Y18</f>
        <v>1.7014300925846877</v>
      </c>
      <c r="AC18" s="142">
        <f t="shared" si="23"/>
        <v>8.9923770624215551E-3</v>
      </c>
      <c r="AD18" s="125">
        <f t="shared" si="24"/>
        <v>553.14359405220591</v>
      </c>
      <c r="AE18" s="130">
        <f t="shared" si="21"/>
        <v>9.2190599008700982</v>
      </c>
      <c r="AF18" s="63">
        <f t="shared" si="6"/>
        <v>104659.2185701156</v>
      </c>
      <c r="AG18" s="122" t="s">
        <v>174</v>
      </c>
      <c r="AK18" s="127"/>
      <c r="AL18" s="124"/>
      <c r="AM18" s="124"/>
      <c r="AN18" s="97">
        <f t="shared" si="7"/>
        <v>31.219512195121954</v>
      </c>
      <c r="AO18" s="96">
        <f t="shared" si="16"/>
        <v>97.669567999999998</v>
      </c>
      <c r="AP18" s="96">
        <f t="shared" si="17"/>
        <v>74956.097560975613</v>
      </c>
      <c r="AQ18" s="96">
        <f t="shared" si="18"/>
        <v>140644.17791999999</v>
      </c>
      <c r="AR18" s="124"/>
    </row>
    <row r="19" spans="1:44" s="41" customFormat="1" x14ac:dyDescent="0.2">
      <c r="A19" s="91">
        <f>[1]exp_table_hero!A18</f>
        <v>17</v>
      </c>
      <c r="B19" s="92">
        <f>[1]exp_table_hero!B18</f>
        <v>18550</v>
      </c>
      <c r="C19" s="92">
        <f t="shared" si="0"/>
        <v>39294.545666053156</v>
      </c>
      <c r="D19" s="92">
        <f t="shared" si="1"/>
        <v>192.90813636871769</v>
      </c>
      <c r="E19" s="93">
        <f t="shared" si="8"/>
        <v>3.2151356061452949</v>
      </c>
      <c r="F19" s="93">
        <f t="shared" si="8"/>
        <v>5.3585593435754912E-2</v>
      </c>
      <c r="G19" s="93"/>
      <c r="H19" s="94">
        <f t="shared" si="19"/>
        <v>1167.3932357024112</v>
      </c>
      <c r="L19" s="41">
        <v>17</v>
      </c>
      <c r="M19" s="95">
        <f t="shared" si="9"/>
        <v>289</v>
      </c>
      <c r="N19" s="96">
        <f>[2]행동력!$AB20*$I$17</f>
        <v>46387.734581953817</v>
      </c>
      <c r="O19" s="134"/>
      <c r="P19" s="97">
        <f>'계정 경험치 테이블'!B18/N19</f>
        <v>0.93774788512571106</v>
      </c>
      <c r="Q19" s="97">
        <f t="shared" si="20"/>
        <v>56.264873107542662</v>
      </c>
      <c r="R19" s="125">
        <f>P19/[2]행동력!$M$2</f>
        <v>5.8609242820356941E-2</v>
      </c>
      <c r="S19" s="62">
        <f t="shared" si="22"/>
        <v>3375.8923864525595</v>
      </c>
      <c r="T19" s="127">
        <f>S19*[2]행동력!$BA$2</f>
        <v>675.17847729051198</v>
      </c>
      <c r="U19" s="76">
        <v>7</v>
      </c>
      <c r="V19" s="98">
        <f t="shared" si="2"/>
        <v>2.3333333333333335</v>
      </c>
      <c r="W19" s="98">
        <f t="shared" si="12"/>
        <v>3.5</v>
      </c>
      <c r="X19" s="208">
        <v>11.81632653061224</v>
      </c>
      <c r="Y19" s="96">
        <f t="shared" si="3"/>
        <v>64925</v>
      </c>
      <c r="Z19" s="96">
        <f t="shared" si="13"/>
        <v>502200</v>
      </c>
      <c r="AA19" s="96">
        <f t="shared" si="4"/>
        <v>46375</v>
      </c>
      <c r="AB19" s="99">
        <f>[2]행동력!$BA20/Y19</f>
        <v>2.1183043485742941</v>
      </c>
      <c r="AC19" s="140">
        <f t="shared" si="23"/>
        <v>1.0399360451143811E-2</v>
      </c>
      <c r="AD19" s="97">
        <f t="shared" si="24"/>
        <v>675.17847729051198</v>
      </c>
      <c r="AE19" s="100">
        <f t="shared" si="21"/>
        <v>11.252974621508534</v>
      </c>
      <c r="AF19" s="63">
        <f t="shared" si="6"/>
        <v>137530.90983118603</v>
      </c>
      <c r="AG19" s="41">
        <f>2.604*117.211</f>
        <v>305.217444</v>
      </c>
      <c r="AK19" s="63"/>
      <c r="AL19" s="96"/>
      <c r="AM19" s="96"/>
      <c r="AN19" s="97">
        <f t="shared" si="7"/>
        <v>35.243902439024396</v>
      </c>
      <c r="AO19" s="96">
        <f t="shared" si="16"/>
        <v>103.773916</v>
      </c>
      <c r="AP19" s="96">
        <f t="shared" si="17"/>
        <v>80751.219512195123</v>
      </c>
      <c r="AQ19" s="96">
        <f t="shared" si="18"/>
        <v>149434.43904</v>
      </c>
      <c r="AR19" s="96"/>
    </row>
    <row r="20" spans="1:44" s="41" customFormat="1" x14ac:dyDescent="0.2">
      <c r="A20" s="91">
        <f>[1]exp_table_hero!A19</f>
        <v>18</v>
      </c>
      <c r="B20" s="92">
        <f>[1]exp_table_hero!B19</f>
        <v>19525</v>
      </c>
      <c r="C20" s="92">
        <f t="shared" si="0"/>
        <v>53793.199025466492</v>
      </c>
      <c r="D20" s="92">
        <f t="shared" si="1"/>
        <v>238.6831623320958</v>
      </c>
      <c r="E20" s="93">
        <f t="shared" ref="E20:F35" si="25">D20/60</f>
        <v>3.97805270553493</v>
      </c>
      <c r="F20" s="93">
        <f t="shared" si="25"/>
        <v>6.630087842558216E-2</v>
      </c>
      <c r="G20" s="93"/>
      <c r="H20" s="94">
        <f t="shared" si="19"/>
        <v>1406.0763980345071</v>
      </c>
      <c r="I20" s="41" t="s">
        <v>91</v>
      </c>
      <c r="L20" s="41">
        <v>18</v>
      </c>
      <c r="M20" s="95">
        <f t="shared" si="9"/>
        <v>324</v>
      </c>
      <c r="N20" s="96">
        <f>[2]행동력!$AB21*$I$17</f>
        <v>43955.461578940987</v>
      </c>
      <c r="O20" s="134"/>
      <c r="P20" s="97">
        <f>'계정 경험치 테이블'!B19/N20</f>
        <v>1.1602653724476879</v>
      </c>
      <c r="Q20" s="97">
        <f t="shared" si="20"/>
        <v>69.615922346861268</v>
      </c>
      <c r="R20" s="125">
        <f>P20/[2]행동력!$M$2</f>
        <v>7.2516585777980494E-2</v>
      </c>
      <c r="S20" s="62">
        <f t="shared" si="22"/>
        <v>4176.9553408116763</v>
      </c>
      <c r="T20" s="127">
        <f>S20*[2]행동력!$BA$2</f>
        <v>835.39106816233527</v>
      </c>
      <c r="U20" s="76">
        <v>7</v>
      </c>
      <c r="V20" s="98">
        <f t="shared" si="2"/>
        <v>2.3333333333333335</v>
      </c>
      <c r="W20" s="98">
        <f t="shared" si="12"/>
        <v>3.5</v>
      </c>
      <c r="X20" s="208">
        <v>12.367346938775505</v>
      </c>
      <c r="Y20" s="96">
        <f t="shared" si="3"/>
        <v>68337.5</v>
      </c>
      <c r="Z20" s="96">
        <f t="shared" si="13"/>
        <v>570537.5</v>
      </c>
      <c r="AA20" s="96">
        <f t="shared" si="4"/>
        <v>48812.5</v>
      </c>
      <c r="AB20" s="99">
        <f>[2]행동력!$BA21/Y20</f>
        <v>2.7550934199982837</v>
      </c>
      <c r="AC20" s="140">
        <f t="shared" si="23"/>
        <v>1.2224489748122704E-2</v>
      </c>
      <c r="AD20" s="97">
        <f t="shared" si="24"/>
        <v>835.39106816233527</v>
      </c>
      <c r="AE20" s="100">
        <f t="shared" si="21"/>
        <v>13.923184469372254</v>
      </c>
      <c r="AF20" s="63">
        <f t="shared" si="6"/>
        <v>188276.19658913271</v>
      </c>
      <c r="AG20" s="41" t="s">
        <v>175</v>
      </c>
      <c r="AH20" s="41" t="s">
        <v>176</v>
      </c>
      <c r="AK20" s="63"/>
      <c r="AL20" s="96"/>
      <c r="AM20" s="96"/>
      <c r="AN20" s="97">
        <f t="shared" si="7"/>
        <v>39.512195121951223</v>
      </c>
      <c r="AO20" s="96">
        <f t="shared" si="16"/>
        <v>109.878264</v>
      </c>
      <c r="AP20" s="96">
        <f t="shared" si="17"/>
        <v>86897.560975609755</v>
      </c>
      <c r="AQ20" s="96">
        <f t="shared" si="18"/>
        <v>158224.70016000001</v>
      </c>
      <c r="AR20" s="96"/>
    </row>
    <row r="21" spans="1:44" s="41" customFormat="1" x14ac:dyDescent="0.2">
      <c r="A21" s="91">
        <f>[1]exp_table_hero!A20</f>
        <v>19</v>
      </c>
      <c r="B21" s="92">
        <f>[1]exp_table_hero!B20</f>
        <v>20500</v>
      </c>
      <c r="C21" s="92">
        <f t="shared" si="0"/>
        <v>76174.718553957224</v>
      </c>
      <c r="D21" s="92">
        <f t="shared" si="1"/>
        <v>304.63876705023546</v>
      </c>
      <c r="E21" s="93">
        <f t="shared" si="25"/>
        <v>5.0773127841705907</v>
      </c>
      <c r="F21" s="93">
        <f t="shared" si="25"/>
        <v>8.4621879736176506E-2</v>
      </c>
      <c r="G21" s="93"/>
      <c r="H21" s="94">
        <f t="shared" si="19"/>
        <v>1710.7151650847425</v>
      </c>
      <c r="I21" s="41" t="s">
        <v>90</v>
      </c>
      <c r="L21" s="41">
        <v>19</v>
      </c>
      <c r="M21" s="95">
        <f t="shared" si="9"/>
        <v>361</v>
      </c>
      <c r="N21" s="96">
        <f>[2]행동력!$AB22*$I$17</f>
        <v>41529.279723425119</v>
      </c>
      <c r="O21" s="134"/>
      <c r="P21" s="97">
        <f>'계정 경험치 테이블'!B20/N21</f>
        <v>1.480882895383089</v>
      </c>
      <c r="Q21" s="97">
        <f t="shared" si="20"/>
        <v>88.85297372298534</v>
      </c>
      <c r="R21" s="125">
        <f>P21/[2]행동력!$M$2</f>
        <v>9.2555180961443065E-2</v>
      </c>
      <c r="S21" s="62">
        <f t="shared" si="22"/>
        <v>5331.1784233791204</v>
      </c>
      <c r="T21" s="127">
        <f>S21*[2]행동력!$BA$2</f>
        <v>1066.2356846758241</v>
      </c>
      <c r="U21" s="76">
        <v>7</v>
      </c>
      <c r="V21" s="98">
        <f t="shared" si="2"/>
        <v>2.3333333333333335</v>
      </c>
      <c r="W21" s="98">
        <f t="shared" si="12"/>
        <v>3.5</v>
      </c>
      <c r="X21" s="208">
        <v>12.918367346938771</v>
      </c>
      <c r="Y21" s="96">
        <f t="shared" si="3"/>
        <v>71750</v>
      </c>
      <c r="Z21" s="96">
        <f t="shared" si="13"/>
        <v>642287.5</v>
      </c>
      <c r="AA21" s="96">
        <f t="shared" si="4"/>
        <v>51250</v>
      </c>
      <c r="AB21" s="99">
        <f>[2]행동력!$BA22/Y21</f>
        <v>3.7158399294613282</v>
      </c>
      <c r="AC21" s="140">
        <f t="shared" si="23"/>
        <v>1.4860427660987096E-2</v>
      </c>
      <c r="AD21" s="97">
        <f t="shared" si="24"/>
        <v>1066.2356846758241</v>
      </c>
      <c r="AE21" s="100">
        <f t="shared" si="21"/>
        <v>17.770594744597069</v>
      </c>
      <c r="AF21" s="63">
        <f t="shared" si="6"/>
        <v>266611.51493885031</v>
      </c>
      <c r="AG21" s="41">
        <f>1.8*60*60</f>
        <v>6480</v>
      </c>
      <c r="AH21" s="96">
        <f>AG21*305.21</f>
        <v>1977760.7999999998</v>
      </c>
      <c r="AK21" s="100">
        <f>E27/[2]행동력!$F$28</f>
        <v>0.15060876968922945</v>
      </c>
      <c r="AL21" s="96">
        <f>AK21*[2]행동력!$AT$28</f>
        <v>554496</v>
      </c>
      <c r="AM21" s="96"/>
      <c r="AN21" s="97">
        <f t="shared" si="7"/>
        <v>44.024390243902445</v>
      </c>
      <c r="AO21" s="96">
        <f t="shared" si="16"/>
        <v>115.982612</v>
      </c>
      <c r="AP21" s="96">
        <f t="shared" si="17"/>
        <v>93395.121951219524</v>
      </c>
      <c r="AQ21" s="96">
        <f t="shared" si="18"/>
        <v>167014.96128000002</v>
      </c>
      <c r="AR21" s="96"/>
    </row>
    <row r="22" spans="1:44" s="105" customFormat="1" x14ac:dyDescent="0.2">
      <c r="A22" s="101">
        <f>[1]exp_table_hero!A21</f>
        <v>20</v>
      </c>
      <c r="B22" s="102">
        <f>[1]exp_table_hero!B21</f>
        <v>21475</v>
      </c>
      <c r="C22" s="102">
        <f t="shared" si="0"/>
        <v>90736.188272859872</v>
      </c>
      <c r="D22" s="102">
        <f t="shared" si="1"/>
        <v>345.06355254987915</v>
      </c>
      <c r="E22" s="103">
        <f t="shared" si="25"/>
        <v>5.7510592091646524</v>
      </c>
      <c r="F22" s="103">
        <f t="shared" si="25"/>
        <v>9.5850986819410872E-2</v>
      </c>
      <c r="G22" s="103"/>
      <c r="H22" s="104">
        <f t="shared" si="19"/>
        <v>2055.7787176346214</v>
      </c>
      <c r="I22" s="106" t="s">
        <v>122</v>
      </c>
      <c r="L22" s="105">
        <v>20</v>
      </c>
      <c r="M22" s="106">
        <f t="shared" si="9"/>
        <v>400</v>
      </c>
      <c r="N22" s="107">
        <f>[2]행동력!$AB23*$I$17</f>
        <v>39123.227881474289</v>
      </c>
      <c r="O22" s="135"/>
      <c r="P22" s="108">
        <f>'계정 경험치 테이블'!B21/N22</f>
        <v>1.9170197363882173</v>
      </c>
      <c r="Q22" s="108">
        <f t="shared" si="20"/>
        <v>115.02118418329304</v>
      </c>
      <c r="R22" s="125">
        <f>P22/[2]행동력!$M$2</f>
        <v>0.11981373352426358</v>
      </c>
      <c r="S22" s="109">
        <f t="shared" si="22"/>
        <v>6901.2710509975823</v>
      </c>
      <c r="T22" s="127">
        <f>S22*[2]행동력!$BA$2</f>
        <v>1380.2542101995166</v>
      </c>
      <c r="U22" s="110">
        <v>8</v>
      </c>
      <c r="V22" s="111">
        <f t="shared" si="2"/>
        <v>2.6666666666666665</v>
      </c>
      <c r="W22" s="111">
        <f t="shared" si="12"/>
        <v>4</v>
      </c>
      <c r="X22" s="208">
        <v>13.469387755102035</v>
      </c>
      <c r="Y22" s="107">
        <f t="shared" si="3"/>
        <v>85900</v>
      </c>
      <c r="Z22" s="107">
        <f t="shared" si="13"/>
        <v>728187.5</v>
      </c>
      <c r="AA22" s="107">
        <f t="shared" si="4"/>
        <v>64425</v>
      </c>
      <c r="AB22" s="112">
        <f>[2]행동력!$BA23/Y22</f>
        <v>4.2252008508898662</v>
      </c>
      <c r="AC22" s="141">
        <f t="shared" si="23"/>
        <v>1.6068151457503104E-2</v>
      </c>
      <c r="AD22" s="108">
        <f t="shared" si="24"/>
        <v>1380.2542101995166</v>
      </c>
      <c r="AE22" s="113">
        <f t="shared" si="21"/>
        <v>23.00423683665861</v>
      </c>
      <c r="AF22" s="63">
        <f t="shared" si="6"/>
        <v>362944.75309143949</v>
      </c>
      <c r="AK22" s="230">
        <f>[2]행동력!$AQ$28*F27</f>
        <v>703885.30612012325</v>
      </c>
      <c r="AL22" s="107"/>
      <c r="AM22" s="107">
        <f>540*0.75</f>
        <v>405</v>
      </c>
      <c r="AN22" s="97">
        <f t="shared" si="7"/>
        <v>48.780487804878049</v>
      </c>
      <c r="AO22" s="96">
        <f t="shared" si="16"/>
        <v>122.08696</v>
      </c>
      <c r="AP22" s="96">
        <f t="shared" si="17"/>
        <v>100243.90243902439</v>
      </c>
      <c r="AQ22" s="96">
        <f t="shared" si="18"/>
        <v>175805.2224</v>
      </c>
      <c r="AR22" s="107"/>
    </row>
    <row r="23" spans="1:44" s="122" customFormat="1" x14ac:dyDescent="0.2">
      <c r="A23" s="118">
        <f>[1]exp_table_hero!A22</f>
        <v>21</v>
      </c>
      <c r="B23" s="119">
        <f>[1]exp_table_hero!B22</f>
        <v>22450</v>
      </c>
      <c r="C23" s="119">
        <f t="shared" si="0"/>
        <v>132157.343662317</v>
      </c>
      <c r="D23" s="119">
        <f t="shared" si="1"/>
        <v>460.88690663203693</v>
      </c>
      <c r="E23" s="120">
        <f t="shared" si="25"/>
        <v>7.6814484438672821</v>
      </c>
      <c r="F23" s="120">
        <f t="shared" si="25"/>
        <v>0.12802414073112137</v>
      </c>
      <c r="G23" s="120"/>
      <c r="H23" s="121">
        <f t="shared" si="19"/>
        <v>2516.6656242666586</v>
      </c>
      <c r="I23" s="106" t="s">
        <v>123</v>
      </c>
      <c r="L23" s="122">
        <v>21</v>
      </c>
      <c r="M23" s="123">
        <f t="shared" si="9"/>
        <v>441</v>
      </c>
      <c r="N23" s="124">
        <f>[2]행동력!$AB24*$I$17</f>
        <v>36750.881303562332</v>
      </c>
      <c r="O23" s="136"/>
      <c r="P23" s="125">
        <f>'계정 경험치 테이블'!B22/N23</f>
        <v>2.5604828146224268</v>
      </c>
      <c r="Q23" s="125">
        <f t="shared" si="20"/>
        <v>153.62896887734561</v>
      </c>
      <c r="R23" s="125">
        <f>P23/[2]행동력!$M$2</f>
        <v>0.16003017591390167</v>
      </c>
      <c r="S23" s="126">
        <f t="shared" si="22"/>
        <v>9217.7381326407376</v>
      </c>
      <c r="T23" s="127">
        <f>S23*[2]행동력!$BA$2</f>
        <v>1843.5476265281477</v>
      </c>
      <c r="U23" s="128">
        <v>8</v>
      </c>
      <c r="V23" s="129">
        <f t="shared" si="2"/>
        <v>2.6666666666666665</v>
      </c>
      <c r="W23" s="129">
        <f t="shared" si="12"/>
        <v>4</v>
      </c>
      <c r="X23" s="208">
        <v>14.020408163265301</v>
      </c>
      <c r="Y23" s="124">
        <f t="shared" si="3"/>
        <v>89800</v>
      </c>
      <c r="Z23" s="124">
        <f t="shared" si="13"/>
        <v>817987.5</v>
      </c>
      <c r="AA23" s="124">
        <f t="shared" si="4"/>
        <v>67350</v>
      </c>
      <c r="AB23" s="114">
        <f>[2]행동력!$BA24/Y23</f>
        <v>5.8867413658047658</v>
      </c>
      <c r="AC23" s="142">
        <f t="shared" si="23"/>
        <v>2.0529483591627481E-2</v>
      </c>
      <c r="AD23" s="125">
        <f t="shared" si="24"/>
        <v>1843.5476265281477</v>
      </c>
      <c r="AE23" s="130">
        <f t="shared" si="21"/>
        <v>30.725793775469128</v>
      </c>
      <c r="AF23" s="63">
        <f t="shared" si="6"/>
        <v>528629.37464926799</v>
      </c>
      <c r="AJ23" s="122" t="s">
        <v>168</v>
      </c>
      <c r="AK23" s="127"/>
      <c r="AL23" s="124"/>
      <c r="AM23" s="124">
        <f>540/1.47</f>
        <v>367.34693877551024</v>
      </c>
      <c r="AN23" s="97">
        <f t="shared" si="7"/>
        <v>53.780487804878057</v>
      </c>
      <c r="AO23" s="96">
        <f t="shared" si="16"/>
        <v>128.19130799999999</v>
      </c>
      <c r="AP23" s="96">
        <f t="shared" si="17"/>
        <v>107443.9024390244</v>
      </c>
      <c r="AQ23" s="96">
        <f t="shared" si="18"/>
        <v>184595.48351999998</v>
      </c>
      <c r="AR23" s="124"/>
    </row>
    <row r="24" spans="1:44" s="41" customFormat="1" x14ac:dyDescent="0.2">
      <c r="A24" s="91">
        <f>[1]exp_table_hero!A23</f>
        <v>22</v>
      </c>
      <c r="B24" s="92">
        <f>[1]exp_table_hero!B23</f>
        <v>23425</v>
      </c>
      <c r="C24" s="92">
        <f t="shared" si="0"/>
        <v>184375.24909426103</v>
      </c>
      <c r="D24" s="92">
        <f t="shared" si="1"/>
        <v>600.78340791003609</v>
      </c>
      <c r="E24" s="93">
        <f t="shared" si="25"/>
        <v>10.013056798500601</v>
      </c>
      <c r="F24" s="93">
        <f t="shared" si="25"/>
        <v>0.16688427997501001</v>
      </c>
      <c r="G24" s="93"/>
      <c r="H24" s="94">
        <f t="shared" si="19"/>
        <v>3117.4490321766948</v>
      </c>
      <c r="L24" s="41">
        <v>22</v>
      </c>
      <c r="M24" s="95">
        <f t="shared" si="9"/>
        <v>484</v>
      </c>
      <c r="N24" s="96">
        <f>[2]행동력!$AB25*$I$17</f>
        <v>34425.051903392465</v>
      </c>
      <c r="O24" s="134"/>
      <c r="P24" s="97">
        <f>'계정 경험치 테이블'!B23/N24</f>
        <v>3.3376855995002006</v>
      </c>
      <c r="Q24" s="97">
        <f t="shared" si="20"/>
        <v>200.26113597001205</v>
      </c>
      <c r="R24" s="125">
        <f>P24/[2]행동력!$M$2</f>
        <v>0.20860534996876254</v>
      </c>
      <c r="S24" s="62">
        <f t="shared" si="22"/>
        <v>12015.668158200722</v>
      </c>
      <c r="T24" s="127">
        <f>S24*[2]행동력!$BA$2</f>
        <v>2403.1336316401444</v>
      </c>
      <c r="U24" s="76">
        <v>8</v>
      </c>
      <c r="V24" s="98">
        <f t="shared" si="2"/>
        <v>2.6666666666666665</v>
      </c>
      <c r="W24" s="98">
        <f t="shared" si="12"/>
        <v>4</v>
      </c>
      <c r="X24" s="208">
        <v>14.571428571428566</v>
      </c>
      <c r="Y24" s="96">
        <f t="shared" si="3"/>
        <v>93700</v>
      </c>
      <c r="Z24" s="96">
        <f t="shared" si="13"/>
        <v>911687.5</v>
      </c>
      <c r="AA24" s="96">
        <f t="shared" si="4"/>
        <v>70275</v>
      </c>
      <c r="AB24" s="99">
        <f>[2]행동력!$BA25/Y24</f>
        <v>7.8708750947389978</v>
      </c>
      <c r="AC24" s="140">
        <f t="shared" si="23"/>
        <v>2.5647103859553301E-2</v>
      </c>
      <c r="AD24" s="97">
        <f t="shared" si="24"/>
        <v>2403.1336316401444</v>
      </c>
      <c r="AE24" s="100">
        <f t="shared" si="21"/>
        <v>40.052227194002405</v>
      </c>
      <c r="AF24" s="63">
        <f t="shared" si="6"/>
        <v>737500.99637704412</v>
      </c>
      <c r="AJ24" s="41" t="s">
        <v>169</v>
      </c>
      <c r="AK24" s="63"/>
      <c r="AL24" s="96"/>
      <c r="AM24" s="134">
        <f>300/367</f>
        <v>0.81743869209809261</v>
      </c>
      <c r="AN24" s="97">
        <f t="shared" si="7"/>
        <v>59.024390243902445</v>
      </c>
      <c r="AO24" s="96">
        <f t="shared" si="16"/>
        <v>134.29565600000001</v>
      </c>
      <c r="AP24" s="96">
        <f t="shared" si="17"/>
        <v>114995.12195121952</v>
      </c>
      <c r="AQ24" s="96">
        <f t="shared" si="18"/>
        <v>193385.74464000002</v>
      </c>
      <c r="AR24" s="96"/>
    </row>
    <row r="25" spans="1:44" s="41" customFormat="1" x14ac:dyDescent="0.2">
      <c r="A25" s="91">
        <f>[1]exp_table_hero!A24</f>
        <v>23</v>
      </c>
      <c r="B25" s="92">
        <f>[1]exp_table_hero!B24</f>
        <v>24400</v>
      </c>
      <c r="C25" s="92">
        <f t="shared" si="0"/>
        <v>231343.10717130487</v>
      </c>
      <c r="D25" s="92">
        <f t="shared" si="1"/>
        <v>759.57338839071008</v>
      </c>
      <c r="E25" s="93">
        <f t="shared" si="25"/>
        <v>12.659556473178501</v>
      </c>
      <c r="F25" s="93">
        <f t="shared" si="25"/>
        <v>0.21099260788630836</v>
      </c>
      <c r="G25" s="93"/>
      <c r="H25" s="94">
        <f t="shared" si="19"/>
        <v>3877.0224205674049</v>
      </c>
      <c r="L25" s="41">
        <v>23</v>
      </c>
      <c r="M25" s="95">
        <f t="shared" si="9"/>
        <v>529</v>
      </c>
      <c r="N25" s="96">
        <f>[2]행동력!$AB26*$I$17</f>
        <v>32157.524701794493</v>
      </c>
      <c r="O25" s="134"/>
      <c r="P25" s="97">
        <f>'계정 경험치 테이블'!B24/N25</f>
        <v>4.2198521577261667</v>
      </c>
      <c r="Q25" s="97">
        <f t="shared" si="20"/>
        <v>253.19112946357001</v>
      </c>
      <c r="R25" s="125">
        <f>P25/[2]행동력!$M$2</f>
        <v>0.26374075985788542</v>
      </c>
      <c r="S25" s="62">
        <f t="shared" si="22"/>
        <v>15191.4677678142</v>
      </c>
      <c r="T25" s="127">
        <f>S25*[2]행동력!$BA$2</f>
        <v>3038.2935535628403</v>
      </c>
      <c r="U25" s="76">
        <v>8</v>
      </c>
      <c r="V25" s="98">
        <f t="shared" si="2"/>
        <v>2.6666666666666665</v>
      </c>
      <c r="W25" s="98">
        <f t="shared" si="12"/>
        <v>4</v>
      </c>
      <c r="X25" s="208">
        <v>15.12244897959183</v>
      </c>
      <c r="Y25" s="96">
        <f t="shared" si="3"/>
        <v>97600</v>
      </c>
      <c r="Z25" s="96">
        <f t="shared" si="13"/>
        <v>1009287.5</v>
      </c>
      <c r="AA25" s="96">
        <f t="shared" si="4"/>
        <v>73200</v>
      </c>
      <c r="AB25" s="99">
        <f>[2]행동력!$BA26/Y25</f>
        <v>9.4812748840698724</v>
      </c>
      <c r="AC25" s="140">
        <f t="shared" si="23"/>
        <v>3.1130056901258609E-2</v>
      </c>
      <c r="AD25" s="97">
        <f t="shared" si="24"/>
        <v>3038.2935535628403</v>
      </c>
      <c r="AE25" s="100">
        <f t="shared" si="21"/>
        <v>50.638225892714004</v>
      </c>
      <c r="AF25" s="63">
        <f t="shared" si="6"/>
        <v>925372.42868521949</v>
      </c>
      <c r="AK25" s="63"/>
      <c r="AL25" s="96"/>
      <c r="AM25" s="134">
        <f>0.82/1.47</f>
        <v>0.55782312925170063</v>
      </c>
      <c r="AN25" s="97">
        <f t="shared" si="7"/>
        <v>64.512195121951223</v>
      </c>
      <c r="AO25" s="96">
        <f t="shared" si="16"/>
        <v>140.400004</v>
      </c>
      <c r="AP25" s="96">
        <f t="shared" si="17"/>
        <v>122897.56097560975</v>
      </c>
      <c r="AQ25" s="96">
        <f t="shared" si="18"/>
        <v>202176.00576</v>
      </c>
      <c r="AR25" s="96"/>
    </row>
    <row r="26" spans="1:44" s="41" customFormat="1" x14ac:dyDescent="0.2">
      <c r="A26" s="91">
        <f>[1]exp_table_hero!A25</f>
        <v>24</v>
      </c>
      <c r="B26" s="92">
        <f>[1]exp_table_hero!B25</f>
        <v>25375</v>
      </c>
      <c r="C26" s="92">
        <f t="shared" si="0"/>
        <v>285299.61986933689</v>
      </c>
      <c r="D26" s="92">
        <f t="shared" si="1"/>
        <v>940.2900390014297</v>
      </c>
      <c r="E26" s="93">
        <f t="shared" si="25"/>
        <v>15.671500650023829</v>
      </c>
      <c r="F26" s="93">
        <f t="shared" si="25"/>
        <v>0.26119167750039712</v>
      </c>
      <c r="G26" s="93"/>
      <c r="H26" s="94">
        <f t="shared" si="19"/>
        <v>4817.312459568835</v>
      </c>
      <c r="L26" s="41">
        <v>24</v>
      </c>
      <c r="M26" s="95">
        <f t="shared" si="9"/>
        <v>576</v>
      </c>
      <c r="N26" s="96">
        <f>[2]행동력!$AB27*$I$17</f>
        <v>29958.841242129944</v>
      </c>
      <c r="O26" s="134"/>
      <c r="P26" s="97">
        <f>'계정 경험치 테이블'!B25/N26</f>
        <v>5.2238335500079423</v>
      </c>
      <c r="Q26" s="97">
        <f t="shared" si="20"/>
        <v>313.43001300047655</v>
      </c>
      <c r="R26" s="125">
        <f>P26/[2]행동력!$M$2</f>
        <v>0.32648959687549639</v>
      </c>
      <c r="S26" s="62">
        <f t="shared" si="22"/>
        <v>18805.800780028592</v>
      </c>
      <c r="T26" s="127">
        <f>S26*[2]행동력!$BA$2</f>
        <v>3761.1601560057188</v>
      </c>
      <c r="U26" s="76">
        <v>8</v>
      </c>
      <c r="V26" s="98">
        <f t="shared" si="2"/>
        <v>2.6666666666666665</v>
      </c>
      <c r="W26" s="98">
        <f t="shared" si="12"/>
        <v>4</v>
      </c>
      <c r="X26" s="208">
        <v>15.673469387755096</v>
      </c>
      <c r="Y26" s="96">
        <f t="shared" si="3"/>
        <v>101500</v>
      </c>
      <c r="Z26" s="96">
        <f t="shared" si="13"/>
        <v>1110787.5</v>
      </c>
      <c r="AA26" s="96">
        <f t="shared" si="4"/>
        <v>76125</v>
      </c>
      <c r="AB26" s="99">
        <f>[2]행동력!$BA27/Y26</f>
        <v>11.243334773175839</v>
      </c>
      <c r="AC26" s="140">
        <f t="shared" si="23"/>
        <v>3.7055765083800186E-2</v>
      </c>
      <c r="AD26" s="97">
        <f t="shared" si="24"/>
        <v>3761.1601560057188</v>
      </c>
      <c r="AE26" s="100">
        <f t="shared" si="21"/>
        <v>62.686002600095314</v>
      </c>
      <c r="AF26" s="63">
        <f t="shared" si="6"/>
        <v>1141198.4794773476</v>
      </c>
      <c r="AK26" s="63">
        <f>[2]행동력!$AT$28*33</f>
        <v>121496032.65306124</v>
      </c>
      <c r="AL26" s="96"/>
      <c r="AM26" s="96">
        <f>300*2.8</f>
        <v>840</v>
      </c>
      <c r="AN26" s="97">
        <f t="shared" si="7"/>
        <v>70.243902439024396</v>
      </c>
      <c r="AO26" s="96">
        <f t="shared" si="16"/>
        <v>146.50435199999998</v>
      </c>
      <c r="AP26" s="96">
        <f t="shared" si="17"/>
        <v>131151.21951219512</v>
      </c>
      <c r="AQ26" s="96">
        <f t="shared" si="18"/>
        <v>210966.26687999998</v>
      </c>
      <c r="AR26" s="96"/>
    </row>
    <row r="27" spans="1:44" s="215" customFormat="1" x14ac:dyDescent="0.2">
      <c r="A27" s="211">
        <f>[1]exp_table_hero!A26</f>
        <v>25</v>
      </c>
      <c r="B27" s="212">
        <f>[1]exp_table_hero!B26</f>
        <v>26350</v>
      </c>
      <c r="C27" s="212">
        <f t="shared" si="0"/>
        <v>316748.38775405532</v>
      </c>
      <c r="D27" s="212">
        <f t="shared" si="1"/>
        <v>1037.4257369452994</v>
      </c>
      <c r="E27" s="213">
        <f t="shared" si="25"/>
        <v>17.290428949088323</v>
      </c>
      <c r="F27" s="213">
        <f t="shared" si="25"/>
        <v>0.28817381581813872</v>
      </c>
      <c r="G27" s="213"/>
      <c r="H27" s="214">
        <f t="shared" si="19"/>
        <v>5854.738196514134</v>
      </c>
      <c r="L27" s="215">
        <v>25</v>
      </c>
      <c r="M27" s="216">
        <f t="shared" si="9"/>
        <v>625</v>
      </c>
      <c r="N27" s="217">
        <f>[2]행동력!$AB28*$I$17</f>
        <v>27838.137200101839</v>
      </c>
      <c r="O27" s="218"/>
      <c r="P27" s="219">
        <f>'계정 경험치 테이블'!B26/N27</f>
        <v>6.4839108559081202</v>
      </c>
      <c r="Q27" s="219">
        <f t="shared" si="20"/>
        <v>389.03465135448721</v>
      </c>
      <c r="R27" s="220">
        <f>P27/[2]행동력!$M$2</f>
        <v>0.40524442849425751</v>
      </c>
      <c r="S27" s="221">
        <f t="shared" si="22"/>
        <v>23342.079081269232</v>
      </c>
      <c r="T27" s="222">
        <f>S27*[2]행동력!$BA$2</f>
        <v>4668.415816253847</v>
      </c>
      <c r="U27" s="223">
        <v>9</v>
      </c>
      <c r="V27" s="224">
        <f t="shared" si="2"/>
        <v>3</v>
      </c>
      <c r="W27" s="224">
        <f t="shared" si="12"/>
        <v>4.5</v>
      </c>
      <c r="X27" s="225">
        <v>16.224489795918359</v>
      </c>
      <c r="Y27" s="217">
        <f t="shared" si="3"/>
        <v>118575</v>
      </c>
      <c r="Z27" s="217">
        <f t="shared" si="13"/>
        <v>1229362.5</v>
      </c>
      <c r="AA27" s="217">
        <f t="shared" si="4"/>
        <v>92225</v>
      </c>
      <c r="AB27" s="226">
        <f>[2]행동력!$BA28/Y27</f>
        <v>12.020811679470791</v>
      </c>
      <c r="AC27" s="227">
        <f t="shared" si="23"/>
        <v>3.9370995709499028E-2</v>
      </c>
      <c r="AD27" s="219">
        <f t="shared" si="24"/>
        <v>4668.415816253847</v>
      </c>
      <c r="AE27" s="228">
        <f t="shared" si="21"/>
        <v>77.806930270897453</v>
      </c>
      <c r="AF27" s="229">
        <f t="shared" si="6"/>
        <v>1425367.7448932491</v>
      </c>
      <c r="AK27" s="232">
        <f>[2]행동력!$BA$28/W27</f>
        <v>316748.38775405538</v>
      </c>
      <c r="AL27" s="217"/>
      <c r="AM27" s="217"/>
      <c r="AN27" s="97">
        <f t="shared" si="7"/>
        <v>76.219512195121965</v>
      </c>
      <c r="AO27" s="96">
        <f t="shared" si="16"/>
        <v>152.6087</v>
      </c>
      <c r="AP27" s="96">
        <f t="shared" si="17"/>
        <v>139756.09756097564</v>
      </c>
      <c r="AQ27" s="96">
        <f t="shared" si="18"/>
        <v>219756.52799999999</v>
      </c>
      <c r="AR27" s="217"/>
    </row>
    <row r="28" spans="1:44" s="122" customFormat="1" x14ac:dyDescent="0.2">
      <c r="A28" s="118">
        <f>[1]exp_table_hero!A27</f>
        <v>26</v>
      </c>
      <c r="B28" s="119">
        <f>[1]exp_table_hero!B27</f>
        <v>27325</v>
      </c>
      <c r="C28" s="119">
        <f t="shared" si="0"/>
        <v>365206.13079071441</v>
      </c>
      <c r="D28" s="119">
        <f t="shared" si="1"/>
        <v>1218.4611968994723</v>
      </c>
      <c r="E28" s="120">
        <f t="shared" si="25"/>
        <v>20.307686614991205</v>
      </c>
      <c r="F28" s="120">
        <f t="shared" si="25"/>
        <v>0.33846144358318675</v>
      </c>
      <c r="G28" s="120"/>
      <c r="H28" s="121">
        <f t="shared" si="19"/>
        <v>7073.1993934136062</v>
      </c>
      <c r="L28" s="122">
        <v>26</v>
      </c>
      <c r="M28" s="123">
        <f t="shared" si="9"/>
        <v>676</v>
      </c>
      <c r="N28" s="124">
        <f>[2]행동력!$AB29*$I$17</f>
        <v>25803.037536199783</v>
      </c>
      <c r="O28" s="136"/>
      <c r="P28" s="125">
        <f>'계정 경험치 테이블'!B27/N28</f>
        <v>7.6153824806217019</v>
      </c>
      <c r="Q28" s="125">
        <f t="shared" si="20"/>
        <v>456.9229488373021</v>
      </c>
      <c r="R28" s="125">
        <f>P28/[2]행동력!$M$2</f>
        <v>0.47596140503885637</v>
      </c>
      <c r="S28" s="126">
        <f t="shared" si="22"/>
        <v>27415.376930238126</v>
      </c>
      <c r="T28" s="127">
        <f>S28*[2]행동력!$BA$2</f>
        <v>5483.0753860476252</v>
      </c>
      <c r="U28" s="128">
        <v>9</v>
      </c>
      <c r="V28" s="129">
        <f t="shared" si="2"/>
        <v>3</v>
      </c>
      <c r="W28" s="129">
        <f t="shared" si="12"/>
        <v>4.5</v>
      </c>
      <c r="X28" s="208">
        <v>16.775510204081627</v>
      </c>
      <c r="Y28" s="124">
        <f t="shared" si="3"/>
        <v>122962.5</v>
      </c>
      <c r="Z28" s="124">
        <f t="shared" si="13"/>
        <v>1352325</v>
      </c>
      <c r="AA28" s="124">
        <f t="shared" si="4"/>
        <v>95637.5</v>
      </c>
      <c r="AB28" s="114">
        <f>[2]행동력!$BA29/Y28</f>
        <v>13.365274685844993</v>
      </c>
      <c r="AC28" s="142">
        <f t="shared" si="23"/>
        <v>4.4591443619376843E-2</v>
      </c>
      <c r="AD28" s="125">
        <f t="shared" si="24"/>
        <v>5483.0753860476252</v>
      </c>
      <c r="AE28" s="130">
        <f t="shared" si="21"/>
        <v>91.384589767460426</v>
      </c>
      <c r="AF28" s="63">
        <f t="shared" si="6"/>
        <v>1643427.5885582149</v>
      </c>
      <c r="AJ28" s="122">
        <v>3681697.9591836738</v>
      </c>
      <c r="AK28" s="127">
        <f>AJ28*33</f>
        <v>121496032.65306124</v>
      </c>
      <c r="AL28" s="124"/>
      <c r="AM28" s="124"/>
      <c r="AN28" s="97">
        <f t="shared" si="7"/>
        <v>82.439024390243915</v>
      </c>
      <c r="AO28" s="96">
        <f t="shared" si="16"/>
        <v>158.71304800000001</v>
      </c>
      <c r="AP28" s="96">
        <f t="shared" si="17"/>
        <v>148712.19512195123</v>
      </c>
      <c r="AQ28" s="96">
        <f t="shared" si="18"/>
        <v>228546.78912000003</v>
      </c>
      <c r="AR28" s="124"/>
    </row>
    <row r="29" spans="1:44" s="41" customFormat="1" x14ac:dyDescent="0.2">
      <c r="A29" s="91">
        <f>[1]exp_table_hero!A28</f>
        <v>27</v>
      </c>
      <c r="B29" s="92">
        <f>[1]exp_table_hero!B28</f>
        <v>28300</v>
      </c>
      <c r="C29" s="92">
        <f t="shared" si="0"/>
        <v>436804.19136569928</v>
      </c>
      <c r="D29" s="92">
        <f t="shared" si="1"/>
        <v>1478.6495593163361</v>
      </c>
      <c r="E29" s="93">
        <f t="shared" si="25"/>
        <v>24.644159321938936</v>
      </c>
      <c r="F29" s="93">
        <f t="shared" si="25"/>
        <v>0.41073598869898226</v>
      </c>
      <c r="G29" s="93"/>
      <c r="H29" s="94">
        <f t="shared" si="19"/>
        <v>8551.8489527299425</v>
      </c>
      <c r="L29" s="41">
        <v>27</v>
      </c>
      <c r="M29" s="95">
        <f t="shared" si="9"/>
        <v>729</v>
      </c>
      <c r="N29" s="96">
        <f>[2]행동력!$AB30*$I$17</f>
        <v>23859.608774584802</v>
      </c>
      <c r="O29" s="134"/>
      <c r="P29" s="97">
        <f>'계정 경험치 테이블'!B28/N29</f>
        <v>9.2415597457271002</v>
      </c>
      <c r="Q29" s="97">
        <f t="shared" si="20"/>
        <v>554.493584743626</v>
      </c>
      <c r="R29" s="125">
        <f>P29/[2]행동력!$M$2</f>
        <v>0.57759748410794376</v>
      </c>
      <c r="S29" s="62">
        <f t="shared" si="22"/>
        <v>33269.615084617559</v>
      </c>
      <c r="T29" s="127">
        <f>S29*[2]행동력!$BA$2</f>
        <v>6653.9230169235125</v>
      </c>
      <c r="U29" s="76">
        <v>9</v>
      </c>
      <c r="V29" s="98">
        <f t="shared" si="2"/>
        <v>3</v>
      </c>
      <c r="W29" s="98">
        <f t="shared" si="12"/>
        <v>4.5</v>
      </c>
      <c r="X29" s="208">
        <v>17.326530612244891</v>
      </c>
      <c r="Y29" s="96">
        <f t="shared" si="3"/>
        <v>127350</v>
      </c>
      <c r="Z29" s="96">
        <f t="shared" si="13"/>
        <v>1479675</v>
      </c>
      <c r="AA29" s="96">
        <f t="shared" si="4"/>
        <v>99050</v>
      </c>
      <c r="AB29" s="99">
        <f>[2]행동력!$BA30/Y29</f>
        <v>15.434777080060044</v>
      </c>
      <c r="AC29" s="140">
        <f t="shared" si="23"/>
        <v>5.2249101035912938E-2</v>
      </c>
      <c r="AD29" s="97">
        <f t="shared" si="24"/>
        <v>6653.9230169235125</v>
      </c>
      <c r="AE29" s="100">
        <f t="shared" si="21"/>
        <v>110.89871694872521</v>
      </c>
      <c r="AF29" s="63">
        <f t="shared" si="6"/>
        <v>1965618.8611456465</v>
      </c>
      <c r="AK29" s="63"/>
      <c r="AL29" s="96"/>
      <c r="AM29" s="96"/>
      <c r="AN29" s="97">
        <f t="shared" si="7"/>
        <v>88.902439024390247</v>
      </c>
      <c r="AO29" s="96">
        <f t="shared" si="16"/>
        <v>164.817396</v>
      </c>
      <c r="AP29" s="96">
        <f>30000+$AP$2*AN29</f>
        <v>158019.51219512196</v>
      </c>
      <c r="AQ29" s="96">
        <f t="shared" si="18"/>
        <v>237337.05024000001</v>
      </c>
      <c r="AR29" s="96"/>
    </row>
    <row r="30" spans="1:44" s="41" customFormat="1" x14ac:dyDescent="0.2">
      <c r="A30" s="91">
        <f>[1]exp_table_hero!A29</f>
        <v>28</v>
      </c>
      <c r="B30" s="92">
        <f>[1]exp_table_hero!B29</f>
        <v>29275</v>
      </c>
      <c r="C30" s="92">
        <f t="shared" si="0"/>
        <v>522390.76907898142</v>
      </c>
      <c r="D30" s="92">
        <f t="shared" si="1"/>
        <v>1777.1829863317466</v>
      </c>
      <c r="E30" s="93">
        <f t="shared" si="25"/>
        <v>29.619716438862444</v>
      </c>
      <c r="F30" s="93">
        <f t="shared" si="25"/>
        <v>0.49366194064770741</v>
      </c>
      <c r="G30" s="93"/>
      <c r="H30" s="94">
        <f t="shared" si="19"/>
        <v>10329.03193906169</v>
      </c>
      <c r="L30" s="41">
        <v>28</v>
      </c>
      <c r="M30" s="95">
        <f t="shared" si="9"/>
        <v>784</v>
      </c>
      <c r="N30" s="96">
        <f>[2]행동력!$AB31*$I$17</f>
        <v>22012.364680998289</v>
      </c>
      <c r="O30" s="134"/>
      <c r="P30" s="97">
        <f>'계정 경험치 테이블'!B29/N30</f>
        <v>11.107393664573415</v>
      </c>
      <c r="Q30" s="97">
        <f t="shared" si="20"/>
        <v>666.44361987440493</v>
      </c>
      <c r="R30" s="125">
        <f>P30/[2]행동력!$M$2</f>
        <v>0.69421210403583844</v>
      </c>
      <c r="S30" s="62">
        <f t="shared" si="22"/>
        <v>39986.617192464299</v>
      </c>
      <c r="T30" s="127">
        <f>S30*[2]행동력!$BA$2</f>
        <v>7997.3234384928601</v>
      </c>
      <c r="U30" s="76">
        <v>9</v>
      </c>
      <c r="V30" s="98">
        <f t="shared" si="2"/>
        <v>3</v>
      </c>
      <c r="W30" s="98">
        <f t="shared" si="12"/>
        <v>4.5</v>
      </c>
      <c r="X30" s="208">
        <v>17.877551020408156</v>
      </c>
      <c r="Y30" s="96">
        <f t="shared" si="3"/>
        <v>131737.5</v>
      </c>
      <c r="Z30" s="96">
        <f t="shared" si="13"/>
        <v>1611412.5</v>
      </c>
      <c r="AA30" s="96">
        <f t="shared" si="4"/>
        <v>102462.5</v>
      </c>
      <c r="AB30" s="99">
        <f>[2]행동력!$BA31/Y30</f>
        <v>17.844261966831134</v>
      </c>
      <c r="AC30" s="140">
        <f t="shared" si="23"/>
        <v>6.0706506791861542E-2</v>
      </c>
      <c r="AD30" s="97">
        <f t="shared" si="24"/>
        <v>7997.3234384928601</v>
      </c>
      <c r="AE30" s="100">
        <f t="shared" si="21"/>
        <v>133.28872397488101</v>
      </c>
      <c r="AF30" s="63">
        <f t="shared" si="6"/>
        <v>2350758.4608554165</v>
      </c>
      <c r="AK30" s="63"/>
      <c r="AL30" s="96"/>
      <c r="AM30" s="96"/>
      <c r="AN30" s="97">
        <f t="shared" si="7"/>
        <v>95.609756097560989</v>
      </c>
      <c r="AO30" s="96">
        <f t="shared" si="16"/>
        <v>170.92174400000002</v>
      </c>
      <c r="AP30" s="96">
        <f t="shared" si="17"/>
        <v>167678.04878048782</v>
      </c>
      <c r="AQ30" s="96">
        <f t="shared" si="18"/>
        <v>246127.31136000002</v>
      </c>
      <c r="AR30" s="96"/>
    </row>
    <row r="31" spans="1:44" s="41" customFormat="1" x14ac:dyDescent="0.2">
      <c r="A31" s="91">
        <f>[1]exp_table_hero!A30</f>
        <v>29</v>
      </c>
      <c r="B31" s="92">
        <f>[1]exp_table_hero!B30</f>
        <v>30250</v>
      </c>
      <c r="C31" s="92">
        <f t="shared" si="0"/>
        <v>607433.83917940501</v>
      </c>
      <c r="D31" s="92">
        <f t="shared" si="1"/>
        <v>2119.9824183385654</v>
      </c>
      <c r="E31" s="93">
        <f t="shared" si="25"/>
        <v>35.333040305642754</v>
      </c>
      <c r="F31" s="93">
        <f t="shared" si="25"/>
        <v>0.58888400509404593</v>
      </c>
      <c r="G31" s="93"/>
      <c r="H31" s="94">
        <f t="shared" si="19"/>
        <v>12449.014357400254</v>
      </c>
      <c r="L31" s="41">
        <v>29</v>
      </c>
      <c r="M31" s="95">
        <f t="shared" si="9"/>
        <v>841</v>
      </c>
      <c r="N31" s="96">
        <f>[2]행동력!$AB32*$I$17</f>
        <v>20264.319000186733</v>
      </c>
      <c r="O31" s="134"/>
      <c r="P31" s="97">
        <f>'계정 경험치 테이블'!B30/N31</f>
        <v>13.249890114616031</v>
      </c>
      <c r="Q31" s="97">
        <f t="shared" si="20"/>
        <v>794.9934068769619</v>
      </c>
      <c r="R31" s="125">
        <f>P31/[2]행동력!$M$2</f>
        <v>0.82811813216350194</v>
      </c>
      <c r="S31" s="62">
        <f t="shared" si="22"/>
        <v>47699.604412617715</v>
      </c>
      <c r="T31" s="127">
        <f>S31*[2]행동력!$BA$2</f>
        <v>9539.9208825235437</v>
      </c>
      <c r="U31" s="76">
        <v>9</v>
      </c>
      <c r="V31" s="98">
        <f t="shared" si="2"/>
        <v>3</v>
      </c>
      <c r="W31" s="98">
        <f t="shared" si="12"/>
        <v>4.5</v>
      </c>
      <c r="X31" s="208">
        <v>18.42857142857142</v>
      </c>
      <c r="Y31" s="96">
        <f t="shared" si="3"/>
        <v>136125</v>
      </c>
      <c r="Z31" s="96">
        <f t="shared" si="13"/>
        <v>1747537.5</v>
      </c>
      <c r="AA31" s="96">
        <f t="shared" si="4"/>
        <v>105875</v>
      </c>
      <c r="AB31" s="99">
        <f>[2]행동력!$BA32/Y31</f>
        <v>20.080457493534048</v>
      </c>
      <c r="AC31" s="140">
        <f t="shared" si="23"/>
        <v>7.0082063416150919E-2</v>
      </c>
      <c r="AD31" s="97">
        <f t="shared" si="24"/>
        <v>9539.9208825235437</v>
      </c>
      <c r="AE31" s="100">
        <f t="shared" si="21"/>
        <v>158.99868137539241</v>
      </c>
      <c r="AF31" s="63">
        <f t="shared" si="6"/>
        <v>2733452.2763073226</v>
      </c>
      <c r="AK31" s="63"/>
      <c r="AL31" s="96"/>
      <c r="AM31" s="96"/>
      <c r="AN31" s="97">
        <f t="shared" si="7"/>
        <v>102.56097560975611</v>
      </c>
      <c r="AO31" s="96">
        <f t="shared" si="16"/>
        <v>177.02609199999998</v>
      </c>
      <c r="AP31" s="96">
        <f t="shared" si="17"/>
        <v>177687.8048780488</v>
      </c>
      <c r="AQ31" s="96">
        <f t="shared" si="18"/>
        <v>254917.57247999997</v>
      </c>
      <c r="AR31" s="96"/>
    </row>
    <row r="32" spans="1:44" s="105" customFormat="1" x14ac:dyDescent="0.2">
      <c r="A32" s="101">
        <f>[1]exp_table_hero!A31</f>
        <v>30</v>
      </c>
      <c r="B32" s="102">
        <f>[1]exp_table_hero!B31</f>
        <v>31225</v>
      </c>
      <c r="C32" s="102">
        <f t="shared" si="0"/>
        <v>634608.25552738679</v>
      </c>
      <c r="D32" s="102">
        <f t="shared" si="1"/>
        <v>2262.4389264728347</v>
      </c>
      <c r="E32" s="103">
        <f t="shared" si="25"/>
        <v>37.707315441213915</v>
      </c>
      <c r="F32" s="103">
        <f t="shared" si="25"/>
        <v>0.62845525735356522</v>
      </c>
      <c r="G32" s="103"/>
      <c r="H32" s="104">
        <f t="shared" si="19"/>
        <v>14711.453283873088</v>
      </c>
      <c r="L32" s="105">
        <v>30</v>
      </c>
      <c r="M32" s="106">
        <f t="shared" si="9"/>
        <v>900</v>
      </c>
      <c r="N32" s="107">
        <f>[2]행동력!$AB33*$I$17</f>
        <v>18617.077131741855</v>
      </c>
      <c r="O32" s="135"/>
      <c r="P32" s="108">
        <f>'계정 경험치 테이블'!B31/N32</f>
        <v>15.711381433839129</v>
      </c>
      <c r="Q32" s="108">
        <f t="shared" si="20"/>
        <v>942.68288603034773</v>
      </c>
      <c r="R32" s="125">
        <f>P32/[2]행동력!$M$2</f>
        <v>0.98196133961494558</v>
      </c>
      <c r="S32" s="109">
        <f t="shared" si="22"/>
        <v>56560.973161820861</v>
      </c>
      <c r="T32" s="127">
        <f>S32*[2]행동력!$BA$2</f>
        <v>11312.194632364173</v>
      </c>
      <c r="U32" s="110">
        <v>10</v>
      </c>
      <c r="V32" s="111">
        <f t="shared" si="2"/>
        <v>3.3333333333333335</v>
      </c>
      <c r="W32" s="111">
        <f t="shared" si="12"/>
        <v>5</v>
      </c>
      <c r="X32" s="208">
        <v>18.979591836734684</v>
      </c>
      <c r="Y32" s="107">
        <f t="shared" si="3"/>
        <v>156125</v>
      </c>
      <c r="Z32" s="107">
        <f t="shared" si="13"/>
        <v>1903662.5</v>
      </c>
      <c r="AA32" s="107">
        <f t="shared" si="4"/>
        <v>124900</v>
      </c>
      <c r="AB32" s="112">
        <f>[2]행동력!$BA33/Y32</f>
        <v>20.3237231554007</v>
      </c>
      <c r="AC32" s="141">
        <f t="shared" si="23"/>
        <v>7.2456010455495101E-2</v>
      </c>
      <c r="AD32" s="108">
        <f t="shared" si="24"/>
        <v>11312.194632364173</v>
      </c>
      <c r="AE32" s="113">
        <f t="shared" si="21"/>
        <v>188.53657720606955</v>
      </c>
      <c r="AF32" s="63">
        <f t="shared" si="6"/>
        <v>3173041.2776369341</v>
      </c>
      <c r="AK32" s="230"/>
      <c r="AL32" s="107"/>
      <c r="AM32" s="107"/>
      <c r="AN32" s="97">
        <f t="shared" si="7"/>
        <v>109.75609756097562</v>
      </c>
      <c r="AO32" s="96">
        <f t="shared" si="16"/>
        <v>183.13043999999999</v>
      </c>
      <c r="AP32" s="96">
        <f t="shared" si="17"/>
        <v>188048.78048780488</v>
      </c>
      <c r="AQ32" s="96">
        <f t="shared" si="18"/>
        <v>263707.83360000001</v>
      </c>
      <c r="AR32" s="107"/>
    </row>
    <row r="33" spans="1:44" s="122" customFormat="1" x14ac:dyDescent="0.2">
      <c r="A33" s="118">
        <f>[1]exp_table_hero!A32</f>
        <v>31</v>
      </c>
      <c r="B33" s="119">
        <f>[1]exp_table_hero!B32</f>
        <v>32200</v>
      </c>
      <c r="C33" s="119">
        <f t="shared" si="0"/>
        <v>758665.77224952285</v>
      </c>
      <c r="D33" s="119">
        <f t="shared" si="1"/>
        <v>2737.2805230440063</v>
      </c>
      <c r="E33" s="120">
        <f t="shared" si="25"/>
        <v>45.621342050733439</v>
      </c>
      <c r="F33" s="120">
        <f t="shared" si="25"/>
        <v>0.76035570084555737</v>
      </c>
      <c r="G33" s="120"/>
      <c r="H33" s="121">
        <f t="shared" si="19"/>
        <v>17448.733806917095</v>
      </c>
      <c r="L33" s="122">
        <v>31</v>
      </c>
      <c r="M33" s="123">
        <f t="shared" si="9"/>
        <v>961</v>
      </c>
      <c r="N33" s="124">
        <f>[2]행동력!$AB34*$I$17</f>
        <v>17070.957691992746</v>
      </c>
      <c r="O33" s="136"/>
      <c r="P33" s="125">
        <f>'계정 경험치 테이블'!B32/N33</f>
        <v>19.008892521138929</v>
      </c>
      <c r="Q33" s="125">
        <f t="shared" si="20"/>
        <v>1140.5335512683357</v>
      </c>
      <c r="R33" s="125">
        <f>P33/[2]행동력!$M$2</f>
        <v>1.188055782571183</v>
      </c>
      <c r="S33" s="126">
        <f t="shared" si="22"/>
        <v>68432.013076100149</v>
      </c>
      <c r="T33" s="127">
        <f>S33*[2]행동력!$BA$2</f>
        <v>13686.402615220031</v>
      </c>
      <c r="U33" s="128">
        <v>10</v>
      </c>
      <c r="V33" s="129">
        <f t="shared" si="2"/>
        <v>3.3333333333333335</v>
      </c>
      <c r="W33" s="129">
        <f t="shared" si="12"/>
        <v>5</v>
      </c>
      <c r="X33" s="208">
        <v>19.530612244897952</v>
      </c>
      <c r="Y33" s="124">
        <f t="shared" si="3"/>
        <v>161000</v>
      </c>
      <c r="Z33" s="124">
        <f t="shared" si="13"/>
        <v>2064662.5</v>
      </c>
      <c r="AA33" s="124">
        <f t="shared" si="4"/>
        <v>128800</v>
      </c>
      <c r="AB33" s="114">
        <f>[2]행동력!$BA34/Y33</f>
        <v>23.561048827624933</v>
      </c>
      <c r="AC33" s="142">
        <f t="shared" si="23"/>
        <v>8.5008711895776592E-2</v>
      </c>
      <c r="AD33" s="125">
        <f t="shared" si="24"/>
        <v>13686.402615220031</v>
      </c>
      <c r="AE33" s="130">
        <f t="shared" si="21"/>
        <v>228.10671025366719</v>
      </c>
      <c r="AF33" s="63">
        <f t="shared" si="6"/>
        <v>3793328.8612476145</v>
      </c>
      <c r="AI33" s="122">
        <f>1/50</f>
        <v>0.02</v>
      </c>
      <c r="AK33" s="127"/>
      <c r="AL33" s="124"/>
      <c r="AM33" s="124"/>
      <c r="AN33" s="97">
        <f t="shared" si="7"/>
        <v>117.19512195121952</v>
      </c>
      <c r="AO33" s="96">
        <f t="shared" si="16"/>
        <v>189.23478800000001</v>
      </c>
      <c r="AP33" s="96">
        <f t="shared" si="17"/>
        <v>198760.9756097561</v>
      </c>
      <c r="AQ33" s="96">
        <f t="shared" si="18"/>
        <v>272498.09471999999</v>
      </c>
      <c r="AR33" s="124"/>
    </row>
    <row r="34" spans="1:44" s="41" customFormat="1" x14ac:dyDescent="0.2">
      <c r="A34" s="91">
        <f>[1]exp_table_hero!A33</f>
        <v>32</v>
      </c>
      <c r="B34" s="92">
        <f>[1]exp_table_hero!B33</f>
        <v>33175</v>
      </c>
      <c r="C34" s="92">
        <f t="shared" si="0"/>
        <v>924064.42331872485</v>
      </c>
      <c r="D34" s="92">
        <f t="shared" si="1"/>
        <v>3432.9303931125401</v>
      </c>
      <c r="E34" s="93">
        <f t="shared" si="25"/>
        <v>57.21550655187567</v>
      </c>
      <c r="F34" s="93">
        <f t="shared" si="25"/>
        <v>0.95359177586459454</v>
      </c>
      <c r="G34" s="93">
        <f>F34/24</f>
        <v>3.9732990661024772E-2</v>
      </c>
      <c r="H34" s="94">
        <f t="shared" si="19"/>
        <v>20881.664200029634</v>
      </c>
      <c r="L34" s="41">
        <v>32</v>
      </c>
      <c r="M34" s="95">
        <f t="shared" si="9"/>
        <v>1024</v>
      </c>
      <c r="N34" s="96">
        <f>[2]행동력!$AB35*$I$17</f>
        <v>15625.13475589761</v>
      </c>
      <c r="O34" s="134"/>
      <c r="P34" s="97">
        <f>'계정 경험치 테이블'!B33/N34</f>
        <v>23.839794396614863</v>
      </c>
      <c r="Q34" s="97">
        <f t="shared" si="20"/>
        <v>1430.3876637968917</v>
      </c>
      <c r="R34" s="125">
        <f>P34/[2]행동력!$M$2</f>
        <v>1.4899871497884289</v>
      </c>
      <c r="S34" s="62">
        <f t="shared" si="22"/>
        <v>85823.259827813497</v>
      </c>
      <c r="T34" s="127">
        <f>S34*[2]행동력!$BA$2</f>
        <v>17164.651965562702</v>
      </c>
      <c r="U34" s="76">
        <v>10</v>
      </c>
      <c r="V34" s="98">
        <f t="shared" si="2"/>
        <v>3.3333333333333335</v>
      </c>
      <c r="W34" s="98">
        <f t="shared" si="12"/>
        <v>5</v>
      </c>
      <c r="X34" s="208">
        <v>20.081632653061217</v>
      </c>
      <c r="Y34" s="96">
        <f t="shared" si="3"/>
        <v>165875</v>
      </c>
      <c r="Z34" s="96">
        <f t="shared" si="13"/>
        <v>2230537.5</v>
      </c>
      <c r="AA34" s="96">
        <f t="shared" si="4"/>
        <v>132700</v>
      </c>
      <c r="AB34" s="99">
        <f>[2]행동력!$BA35/Y34</f>
        <v>27.854240341182361</v>
      </c>
      <c r="AC34" s="140">
        <f t="shared" si="23"/>
        <v>0.1034794391292401</v>
      </c>
      <c r="AD34" s="97">
        <f t="shared" si="24"/>
        <v>17164.651965562702</v>
      </c>
      <c r="AE34" s="100">
        <f t="shared" si="21"/>
        <v>286.07753275937836</v>
      </c>
      <c r="AF34" s="63">
        <f t="shared" si="6"/>
        <v>4620322.1165936245</v>
      </c>
      <c r="AI34" s="41">
        <f>AG19*AI33</f>
        <v>6.1043488799999999</v>
      </c>
      <c r="AK34" s="63"/>
      <c r="AL34" s="96"/>
      <c r="AM34" s="96"/>
      <c r="AN34" s="97">
        <f t="shared" si="7"/>
        <v>124.87804878048782</v>
      </c>
      <c r="AO34" s="96">
        <f t="shared" si="16"/>
        <v>195.339136</v>
      </c>
      <c r="AP34" s="96">
        <f t="shared" si="17"/>
        <v>209824.39024390245</v>
      </c>
      <c r="AQ34" s="96">
        <f t="shared" si="18"/>
        <v>281288.35583999997</v>
      </c>
      <c r="AR34" s="96"/>
    </row>
    <row r="35" spans="1:44" s="41" customFormat="1" x14ac:dyDescent="0.2">
      <c r="A35" s="91">
        <f>[1]exp_table_hero!A34</f>
        <v>33</v>
      </c>
      <c r="B35" s="92">
        <f>[1]exp_table_hero!B34</f>
        <v>34150</v>
      </c>
      <c r="C35" s="92">
        <f t="shared" si="0"/>
        <v>1172024.2806300372</v>
      </c>
      <c r="D35" s="92">
        <f t="shared" si="1"/>
        <v>4462.4714895526467</v>
      </c>
      <c r="E35" s="93">
        <f t="shared" si="25"/>
        <v>74.374524825877444</v>
      </c>
      <c r="F35" s="93">
        <f t="shared" si="25"/>
        <v>1.239575413764624</v>
      </c>
      <c r="G35" s="93">
        <f t="shared" ref="G35:G51" si="26">F35/24</f>
        <v>5.1648975573525997E-2</v>
      </c>
      <c r="H35" s="94">
        <f t="shared" si="19"/>
        <v>25344.135689582283</v>
      </c>
      <c r="L35" s="41">
        <v>33</v>
      </c>
      <c r="M35" s="95">
        <f t="shared" si="9"/>
        <v>1089</v>
      </c>
      <c r="N35" s="96">
        <f>[2]행동력!$AB36*$I$17</f>
        <v>14277.792059661366</v>
      </c>
      <c r="O35" s="134"/>
      <c r="P35" s="97">
        <f>'계정 경험치 테이블'!B34/N35</f>
        <v>30.9893853441156</v>
      </c>
      <c r="Q35" s="97">
        <f t="shared" si="20"/>
        <v>1859.3631206469361</v>
      </c>
      <c r="R35" s="125">
        <f>P35/[2]행동력!$M$2</f>
        <v>1.936836584007225</v>
      </c>
      <c r="S35" s="62">
        <f t="shared" si="22"/>
        <v>111561.78723881616</v>
      </c>
      <c r="T35" s="127">
        <f>S35*[2]행동력!$BA$2</f>
        <v>22312.357447763236</v>
      </c>
      <c r="U35" s="76">
        <v>10</v>
      </c>
      <c r="V35" s="98">
        <f t="shared" si="2"/>
        <v>3.3333333333333335</v>
      </c>
      <c r="W35" s="98">
        <f t="shared" si="12"/>
        <v>5</v>
      </c>
      <c r="X35" s="208">
        <v>20.632653061224481</v>
      </c>
      <c r="Y35" s="96">
        <f t="shared" si="3"/>
        <v>170750</v>
      </c>
      <c r="Z35" s="96">
        <f t="shared" si="13"/>
        <v>2401287.5</v>
      </c>
      <c r="AA35" s="96">
        <f t="shared" si="4"/>
        <v>136600</v>
      </c>
      <c r="AB35" s="99">
        <f>[2]행동력!$BA36/Y35</f>
        <v>34.319891087263166</v>
      </c>
      <c r="AC35" s="140">
        <f t="shared" si="23"/>
        <v>0.13067266440856945</v>
      </c>
      <c r="AD35" s="97">
        <f t="shared" si="24"/>
        <v>22312.357447763232</v>
      </c>
      <c r="AE35" s="100">
        <f t="shared" si="21"/>
        <v>371.87262412938719</v>
      </c>
      <c r="AF35" s="63">
        <f t="shared" si="6"/>
        <v>5860121.4031501859</v>
      </c>
      <c r="AK35" s="63"/>
      <c r="AL35" s="96"/>
      <c r="AM35" s="96"/>
      <c r="AN35" s="97">
        <f t="shared" si="7"/>
        <v>132.80487804878049</v>
      </c>
      <c r="AO35" s="96">
        <f t="shared" si="16"/>
        <v>201.44348400000001</v>
      </c>
      <c r="AP35" s="96">
        <f t="shared" si="17"/>
        <v>221239.02439024393</v>
      </c>
      <c r="AQ35" s="96">
        <f t="shared" si="18"/>
        <v>290078.61696000001</v>
      </c>
      <c r="AR35" s="96"/>
    </row>
    <row r="36" spans="1:44" s="41" customFormat="1" x14ac:dyDescent="0.2">
      <c r="A36" s="91">
        <f>[1]exp_table_hero!A35</f>
        <v>34</v>
      </c>
      <c r="B36" s="92">
        <f>[1]exp_table_hero!B35</f>
        <v>35125</v>
      </c>
      <c r="C36" s="92">
        <f t="shared" si="0"/>
        <v>1251903.2188011752</v>
      </c>
      <c r="D36" s="92">
        <f t="shared" si="1"/>
        <v>4840.4967453707814</v>
      </c>
      <c r="E36" s="93">
        <f t="shared" ref="E36:F51" si="27">D36/60</f>
        <v>80.674945756179696</v>
      </c>
      <c r="F36" s="93">
        <f t="shared" si="27"/>
        <v>1.3445824292696615</v>
      </c>
      <c r="G36" s="93">
        <f t="shared" si="26"/>
        <v>5.60242678862359E-2</v>
      </c>
      <c r="H36" s="94">
        <f t="shared" si="19"/>
        <v>30184.632434953062</v>
      </c>
      <c r="L36" s="41">
        <v>34</v>
      </c>
      <c r="M36" s="95">
        <f t="shared" si="9"/>
        <v>1156</v>
      </c>
      <c r="N36" s="96">
        <f>[2]행동력!$AB37*$I$17</f>
        <v>13026.2814012992</v>
      </c>
      <c r="O36" s="134"/>
      <c r="P36" s="97">
        <f>'계정 경험치 테이블'!B35/N36</f>
        <v>36.976016804915695</v>
      </c>
      <c r="Q36" s="97">
        <f t="shared" si="20"/>
        <v>2218.5610082949415</v>
      </c>
      <c r="R36" s="125">
        <f>P36/[2]행동력!$M$2</f>
        <v>2.3110010503072309</v>
      </c>
      <c r="S36" s="62">
        <f t="shared" si="22"/>
        <v>133113.66049769649</v>
      </c>
      <c r="T36" s="127">
        <f>S36*[2]행동력!$BA$2</f>
        <v>26622.732099539298</v>
      </c>
      <c r="U36" s="76">
        <v>11</v>
      </c>
      <c r="V36" s="98">
        <f t="shared" si="2"/>
        <v>3.6666666666666665</v>
      </c>
      <c r="W36" s="98">
        <f t="shared" si="12"/>
        <v>5.5</v>
      </c>
      <c r="X36" s="208">
        <v>21.183673469387745</v>
      </c>
      <c r="Y36" s="96">
        <f t="shared" si="3"/>
        <v>193187.5</v>
      </c>
      <c r="Z36" s="96">
        <f t="shared" si="13"/>
        <v>2594475</v>
      </c>
      <c r="AA36" s="96">
        <f t="shared" si="4"/>
        <v>158062.5</v>
      </c>
      <c r="AB36" s="99">
        <f>[2]행동력!$BA37/Y36</f>
        <v>35.641372777257658</v>
      </c>
      <c r="AC36" s="140">
        <f t="shared" si="23"/>
        <v>0.13780773652301156</v>
      </c>
      <c r="AD36" s="97">
        <f t="shared" si="24"/>
        <v>26622.732099539298</v>
      </c>
      <c r="AE36" s="100">
        <f t="shared" si="21"/>
        <v>443.71220165898831</v>
      </c>
      <c r="AF36" s="63">
        <f t="shared" si="6"/>
        <v>6885467.7034064634</v>
      </c>
      <c r="AK36" s="63"/>
      <c r="AL36" s="96"/>
      <c r="AM36" s="96"/>
      <c r="AN36" s="97">
        <f t="shared" si="7"/>
        <v>140.97560975609758</v>
      </c>
      <c r="AO36" s="96">
        <f t="shared" si="16"/>
        <v>207.547832</v>
      </c>
      <c r="AP36" s="96">
        <f t="shared" si="17"/>
        <v>233004.87804878052</v>
      </c>
      <c r="AQ36" s="96">
        <f t="shared" si="18"/>
        <v>298868.87807999999</v>
      </c>
      <c r="AR36" s="96"/>
    </row>
    <row r="37" spans="1:44" s="105" customFormat="1" x14ac:dyDescent="0.2">
      <c r="A37" s="101">
        <f>[1]exp_table_hero!A36</f>
        <v>35</v>
      </c>
      <c r="B37" s="102">
        <f>[1]exp_table_hero!B36</f>
        <v>36100</v>
      </c>
      <c r="C37" s="102">
        <f t="shared" si="0"/>
        <v>1448450.1570099611</v>
      </c>
      <c r="D37" s="102">
        <f t="shared" si="1"/>
        <v>5770.719313794958</v>
      </c>
      <c r="E37" s="103">
        <f t="shared" si="27"/>
        <v>96.178655229915961</v>
      </c>
      <c r="F37" s="103">
        <f t="shared" si="27"/>
        <v>1.6029775871652661</v>
      </c>
      <c r="G37" s="103">
        <f t="shared" si="26"/>
        <v>6.6790732798552757E-2</v>
      </c>
      <c r="H37" s="104">
        <f t="shared" si="19"/>
        <v>35955.35174874802</v>
      </c>
      <c r="L37" s="105">
        <v>35</v>
      </c>
      <c r="M37" s="106">
        <f t="shared" si="9"/>
        <v>1225</v>
      </c>
      <c r="N37" s="107">
        <f>[2]행동력!$AB38*$I$17</f>
        <v>11867.278725850681</v>
      </c>
      <c r="O37" s="135"/>
      <c r="P37" s="108">
        <f>'계정 경험치 테이블'!B36/N37</f>
        <v>44.081883647044819</v>
      </c>
      <c r="Q37" s="108">
        <f t="shared" si="20"/>
        <v>2644.9130188226891</v>
      </c>
      <c r="R37" s="125">
        <f>P37/[2]행동력!$M$2</f>
        <v>2.7551177279403012</v>
      </c>
      <c r="S37" s="109">
        <f t="shared" si="22"/>
        <v>158694.78112936133</v>
      </c>
      <c r="T37" s="127">
        <f>S37*[2]행동력!$BA$2</f>
        <v>31738.956225872269</v>
      </c>
      <c r="U37" s="110">
        <v>11</v>
      </c>
      <c r="V37" s="111">
        <f t="shared" si="2"/>
        <v>3.6666666666666665</v>
      </c>
      <c r="W37" s="111">
        <f t="shared" si="12"/>
        <v>5.5</v>
      </c>
      <c r="X37" s="208">
        <v>21.73469387755101</v>
      </c>
      <c r="Y37" s="107">
        <f t="shared" si="3"/>
        <v>198550</v>
      </c>
      <c r="Z37" s="107">
        <f t="shared" si="13"/>
        <v>2793025</v>
      </c>
      <c r="AA37" s="107">
        <f t="shared" si="4"/>
        <v>162450</v>
      </c>
      <c r="AB37" s="112">
        <f>[2]행동력!$BA38/Y37</f>
        <v>40.123273047367341</v>
      </c>
      <c r="AC37" s="141">
        <f t="shared" si="23"/>
        <v>0.15985372060373845</v>
      </c>
      <c r="AD37" s="108">
        <f t="shared" si="24"/>
        <v>31738.956225872269</v>
      </c>
      <c r="AE37" s="113">
        <f t="shared" si="21"/>
        <v>528.98260376453777</v>
      </c>
      <c r="AF37" s="63">
        <f t="shared" si="6"/>
        <v>7966475.863554786</v>
      </c>
      <c r="AK37" s="230"/>
      <c r="AL37" s="107"/>
      <c r="AM37" s="107"/>
      <c r="AN37" s="97">
        <f t="shared" si="7"/>
        <v>149.39024390243904</v>
      </c>
      <c r="AO37" s="96">
        <f t="shared" si="16"/>
        <v>213.65217999999999</v>
      </c>
      <c r="AP37" s="96">
        <f t="shared" si="17"/>
        <v>245121.95121951221</v>
      </c>
      <c r="AQ37" s="96">
        <f t="shared" si="18"/>
        <v>307659.13919999998</v>
      </c>
      <c r="AR37" s="107"/>
    </row>
    <row r="38" spans="1:44" s="122" customFormat="1" x14ac:dyDescent="0.2">
      <c r="A38" s="118">
        <f>[1]exp_table_hero!A37</f>
        <v>36</v>
      </c>
      <c r="B38" s="119">
        <f>[1]exp_table_hero!B37</f>
        <v>37075</v>
      </c>
      <c r="C38" s="119">
        <f t="shared" si="0"/>
        <v>1687863.4835489455</v>
      </c>
      <c r="D38" s="119">
        <f t="shared" si="1"/>
        <v>6873.9522260203248</v>
      </c>
      <c r="E38" s="120">
        <f t="shared" si="27"/>
        <v>114.56587043367207</v>
      </c>
      <c r="F38" s="120">
        <f t="shared" si="27"/>
        <v>1.9094311738945347</v>
      </c>
      <c r="G38" s="120">
        <f t="shared" si="26"/>
        <v>7.955963224560561E-2</v>
      </c>
      <c r="H38" s="121">
        <f t="shared" si="19"/>
        <v>42829.303974768343</v>
      </c>
      <c r="L38" s="122">
        <v>36</v>
      </c>
      <c r="M38" s="123">
        <f t="shared" si="9"/>
        <v>1296</v>
      </c>
      <c r="N38" s="124">
        <f>[2]행동력!$AB39*$I$17</f>
        <v>10796.932762939534</v>
      </c>
      <c r="O38" s="136"/>
      <c r="P38" s="125">
        <f>'계정 경험치 테이블'!B37/N38</f>
        <v>52.509357282099714</v>
      </c>
      <c r="Q38" s="125">
        <f t="shared" si="20"/>
        <v>3150.5614369259829</v>
      </c>
      <c r="R38" s="125">
        <f>P38/[2]행동력!$M$2</f>
        <v>3.2818348301312321</v>
      </c>
      <c r="S38" s="126">
        <f t="shared" si="22"/>
        <v>189033.68621555896</v>
      </c>
      <c r="T38" s="127">
        <f>S38*[2]행동력!$BA$2</f>
        <v>37806.737243111791</v>
      </c>
      <c r="U38" s="128">
        <v>11</v>
      </c>
      <c r="V38" s="129">
        <f t="shared" si="2"/>
        <v>3.6666666666666665</v>
      </c>
      <c r="W38" s="129">
        <f t="shared" si="12"/>
        <v>5.5</v>
      </c>
      <c r="X38" s="208">
        <v>22.285714285714278</v>
      </c>
      <c r="Y38" s="124">
        <f t="shared" si="3"/>
        <v>203912.5</v>
      </c>
      <c r="Z38" s="124">
        <f t="shared" si="13"/>
        <v>2996937.5</v>
      </c>
      <c r="AA38" s="124">
        <f t="shared" si="4"/>
        <v>166837.5</v>
      </c>
      <c r="AB38" s="114">
        <f>[2]행동력!$BA39/Y38</f>
        <v>45.525650264300623</v>
      </c>
      <c r="AC38" s="142">
        <f t="shared" si="23"/>
        <v>0.18540666826757451</v>
      </c>
      <c r="AD38" s="125">
        <f t="shared" si="24"/>
        <v>37806.737243111791</v>
      </c>
      <c r="AE38" s="130">
        <f t="shared" si="21"/>
        <v>630.11228738519651</v>
      </c>
      <c r="AF38" s="63">
        <f t="shared" si="6"/>
        <v>9283249.1595192011</v>
      </c>
      <c r="AK38" s="127"/>
      <c r="AL38" s="124"/>
      <c r="AM38" s="124"/>
      <c r="AN38" s="97">
        <f t="shared" si="7"/>
        <v>158.04878048780489</v>
      </c>
      <c r="AO38" s="96">
        <f t="shared" si="16"/>
        <v>219.756528</v>
      </c>
      <c r="AP38" s="96">
        <f t="shared" si="17"/>
        <v>257590.24390243905</v>
      </c>
      <c r="AQ38" s="96">
        <f t="shared" si="18"/>
        <v>316449.40032000002</v>
      </c>
      <c r="AR38" s="124"/>
    </row>
    <row r="39" spans="1:44" s="41" customFormat="1" x14ac:dyDescent="0.2">
      <c r="A39" s="91">
        <f>[1]exp_table_hero!A38</f>
        <v>37</v>
      </c>
      <c r="B39" s="92">
        <f>[1]exp_table_hero!B38</f>
        <v>38050</v>
      </c>
      <c r="C39" s="92">
        <f t="shared" si="0"/>
        <v>1982768.414680081</v>
      </c>
      <c r="D39" s="92">
        <f t="shared" si="1"/>
        <v>8181.2890748752297</v>
      </c>
      <c r="E39" s="93">
        <f t="shared" si="27"/>
        <v>136.35481791458716</v>
      </c>
      <c r="F39" s="93">
        <f t="shared" si="27"/>
        <v>2.2725802985764525</v>
      </c>
      <c r="G39" s="93">
        <f t="shared" si="26"/>
        <v>9.4690845774018859E-2</v>
      </c>
      <c r="H39" s="94">
        <f t="shared" si="19"/>
        <v>51010.593049643576</v>
      </c>
      <c r="L39" s="41">
        <v>37</v>
      </c>
      <c r="M39" s="95">
        <f t="shared" si="9"/>
        <v>1369</v>
      </c>
      <c r="N39" s="96">
        <f>[2]행동력!$AB40*$I$17</f>
        <v>9811.0024640525753</v>
      </c>
      <c r="O39" s="134"/>
      <c r="P39" s="97">
        <f>'계정 경험치 테이블'!B38/N39</f>
        <v>62.495958210852436</v>
      </c>
      <c r="Q39" s="97">
        <f t="shared" si="20"/>
        <v>3749.7574926511461</v>
      </c>
      <c r="R39" s="125">
        <f>P39/[2]행동력!$M$2</f>
        <v>3.9059973881782772</v>
      </c>
      <c r="S39" s="62">
        <f t="shared" si="22"/>
        <v>224985.44955906877</v>
      </c>
      <c r="T39" s="127">
        <f>S39*[2]행동력!$BA$2</f>
        <v>44997.08991181376</v>
      </c>
      <c r="U39" s="76">
        <v>11</v>
      </c>
      <c r="V39" s="98">
        <f t="shared" si="2"/>
        <v>3.6666666666666665</v>
      </c>
      <c r="W39" s="98">
        <f t="shared" si="12"/>
        <v>5.5</v>
      </c>
      <c r="X39" s="208">
        <v>22.836734693877542</v>
      </c>
      <c r="Y39" s="96">
        <f t="shared" si="3"/>
        <v>209275</v>
      </c>
      <c r="Z39" s="96">
        <f t="shared" si="13"/>
        <v>3206212.5</v>
      </c>
      <c r="AA39" s="96">
        <f t="shared" si="4"/>
        <v>171225</v>
      </c>
      <c r="AB39" s="99">
        <f>[2]행동력!$BA40/Y39</f>
        <v>52.109550977137474</v>
      </c>
      <c r="AC39" s="140">
        <f t="shared" si="23"/>
        <v>0.21501416753942784</v>
      </c>
      <c r="AD39" s="97">
        <f t="shared" si="24"/>
        <v>44997.08991181376</v>
      </c>
      <c r="AE39" s="100">
        <f t="shared" si="21"/>
        <v>749.95149853022929</v>
      </c>
      <c r="AF39" s="63">
        <f t="shared" si="6"/>
        <v>10905226.280740445</v>
      </c>
      <c r="AK39" s="63"/>
      <c r="AL39" s="96"/>
      <c r="AM39" s="96"/>
      <c r="AN39" s="97">
        <f t="shared" si="7"/>
        <v>166.95121951219514</v>
      </c>
      <c r="AO39" s="96">
        <f t="shared" si="16"/>
        <v>225.86087599999999</v>
      </c>
      <c r="AP39" s="96">
        <f t="shared" si="17"/>
        <v>270409.75609756098</v>
      </c>
      <c r="AQ39" s="96">
        <f t="shared" si="18"/>
        <v>325239.66144</v>
      </c>
      <c r="AR39" s="96"/>
    </row>
    <row r="40" spans="1:44" s="41" customFormat="1" x14ac:dyDescent="0.2">
      <c r="A40" s="91">
        <f>[1]exp_table_hero!A39</f>
        <v>38</v>
      </c>
      <c r="B40" s="92">
        <f>[1]exp_table_hero!B39</f>
        <v>39025</v>
      </c>
      <c r="C40" s="92">
        <f t="shared" si="0"/>
        <v>2089258.0322364522</v>
      </c>
      <c r="D40" s="92">
        <f t="shared" si="1"/>
        <v>8918.4246520677134</v>
      </c>
      <c r="E40" s="93">
        <f t="shared" si="27"/>
        <v>148.64041086779523</v>
      </c>
      <c r="F40" s="93">
        <f t="shared" si="27"/>
        <v>2.4773401811299203</v>
      </c>
      <c r="G40" s="93">
        <f t="shared" si="26"/>
        <v>0.10322250754708001</v>
      </c>
      <c r="H40" s="94">
        <f t="shared" si="19"/>
        <v>59929.017701711287</v>
      </c>
      <c r="L40" s="41">
        <v>38</v>
      </c>
      <c r="M40" s="95">
        <f t="shared" si="9"/>
        <v>1444</v>
      </c>
      <c r="N40" s="96">
        <f>[2]행동력!$AB41*$I$17</f>
        <v>8904.9807671567924</v>
      </c>
      <c r="O40" s="134"/>
      <c r="P40" s="97">
        <f>'계정 경험치 테이블'!B39/N40</f>
        <v>74.320205433897613</v>
      </c>
      <c r="Q40" s="97">
        <f t="shared" si="20"/>
        <v>4459.2123260338567</v>
      </c>
      <c r="R40" s="125">
        <f>P40/[2]행동력!$M$2</f>
        <v>4.6450128396186008</v>
      </c>
      <c r="S40" s="62">
        <f t="shared" si="22"/>
        <v>267552.73956203141</v>
      </c>
      <c r="T40" s="127">
        <f>S40*[2]행동력!$BA$2</f>
        <v>53510.547912406284</v>
      </c>
      <c r="U40" s="76">
        <v>12</v>
      </c>
      <c r="V40" s="98">
        <f t="shared" si="2"/>
        <v>4</v>
      </c>
      <c r="W40" s="98">
        <f t="shared" si="12"/>
        <v>6</v>
      </c>
      <c r="X40" s="208">
        <v>23.387755102040806</v>
      </c>
      <c r="Y40" s="96">
        <f t="shared" si="3"/>
        <v>234150</v>
      </c>
      <c r="Z40" s="96">
        <f t="shared" si="13"/>
        <v>3440362.5</v>
      </c>
      <c r="AA40" s="96">
        <f t="shared" si="4"/>
        <v>195125</v>
      </c>
      <c r="AB40" s="99">
        <f>[2]행동력!$BA41/Y40</f>
        <v>53.536400569800186</v>
      </c>
      <c r="AC40" s="140">
        <f t="shared" si="23"/>
        <v>0.22853106091140843</v>
      </c>
      <c r="AD40" s="97">
        <f t="shared" si="24"/>
        <v>53510.547912406284</v>
      </c>
      <c r="AE40" s="100">
        <f t="shared" si="21"/>
        <v>891.84246520677141</v>
      </c>
      <c r="AF40" s="63">
        <f t="shared" si="6"/>
        <v>12535548.193418713</v>
      </c>
      <c r="AK40" s="63"/>
      <c r="AL40" s="96"/>
      <c r="AM40" s="96"/>
      <c r="AN40" s="97">
        <f t="shared" si="7"/>
        <v>176.09756097560978</v>
      </c>
      <c r="AO40" s="96">
        <f t="shared" si="16"/>
        <v>231.96522400000001</v>
      </c>
      <c r="AP40" s="96">
        <f t="shared" si="17"/>
        <v>283580.4878048781</v>
      </c>
      <c r="AQ40" s="96">
        <f t="shared" si="18"/>
        <v>334029.92256000004</v>
      </c>
      <c r="AR40" s="96"/>
    </row>
    <row r="41" spans="1:44" s="41" customFormat="1" x14ac:dyDescent="0.2">
      <c r="A41" s="91">
        <f>[1]exp_table_hero!A40</f>
        <v>39</v>
      </c>
      <c r="B41" s="92">
        <f>[1]exp_table_hero!B40</f>
        <v>40000</v>
      </c>
      <c r="C41" s="92">
        <f t="shared" si="0"/>
        <v>2432689.0470766812</v>
      </c>
      <c r="D41" s="92">
        <f t="shared" si="1"/>
        <v>10597.008331765554</v>
      </c>
      <c r="E41" s="93">
        <f t="shared" si="27"/>
        <v>176.6168055294259</v>
      </c>
      <c r="F41" s="93">
        <f t="shared" si="27"/>
        <v>2.9436134254904318</v>
      </c>
      <c r="G41" s="93">
        <f t="shared" si="26"/>
        <v>0.12265055939543466</v>
      </c>
      <c r="H41" s="94">
        <f t="shared" si="19"/>
        <v>70526.026033476839</v>
      </c>
      <c r="L41" s="41">
        <v>39</v>
      </c>
      <c r="M41" s="95">
        <f t="shared" si="9"/>
        <v>1521</v>
      </c>
      <c r="N41" s="96">
        <f>[2]행동력!$AB42*$I$17</f>
        <v>8074.2033337388712</v>
      </c>
      <c r="O41" s="134"/>
      <c r="P41" s="97">
        <f>'계정 경험치 테이블'!B40/N41</f>
        <v>88.308402764712923</v>
      </c>
      <c r="Q41" s="97">
        <f t="shared" si="20"/>
        <v>5298.5041658827759</v>
      </c>
      <c r="R41" s="125">
        <f>P41/[2]행동력!$M$2</f>
        <v>5.5192751727945577</v>
      </c>
      <c r="S41" s="62">
        <f t="shared" si="22"/>
        <v>317910.24995296658</v>
      </c>
      <c r="T41" s="127">
        <f>S41*[2]행동력!$BA$2</f>
        <v>63582.049990593317</v>
      </c>
      <c r="U41" s="76">
        <v>12</v>
      </c>
      <c r="V41" s="98">
        <f t="shared" si="2"/>
        <v>4</v>
      </c>
      <c r="W41" s="98">
        <f t="shared" si="12"/>
        <v>6</v>
      </c>
      <c r="X41" s="208">
        <v>23.938775510204071</v>
      </c>
      <c r="Y41" s="96">
        <f t="shared" si="3"/>
        <v>240000</v>
      </c>
      <c r="Z41" s="96">
        <f t="shared" si="13"/>
        <v>3680362.5</v>
      </c>
      <c r="AA41" s="96">
        <f t="shared" si="4"/>
        <v>200000</v>
      </c>
      <c r="AB41" s="99">
        <f>[2]행동력!$BA42/Y41</f>
        <v>60.817226176917032</v>
      </c>
      <c r="AC41" s="140">
        <f t="shared" si="23"/>
        <v>0.26492520829413885</v>
      </c>
      <c r="AD41" s="97">
        <f t="shared" si="24"/>
        <v>63582.049990593325</v>
      </c>
      <c r="AE41" s="100">
        <f t="shared" si="21"/>
        <v>1059.7008331765553</v>
      </c>
      <c r="AF41" s="63">
        <f t="shared" si="6"/>
        <v>14596134.282460088</v>
      </c>
      <c r="AK41" s="63"/>
      <c r="AL41" s="96"/>
      <c r="AM41" s="96"/>
      <c r="AN41" s="97">
        <f t="shared" si="7"/>
        <v>185.48780487804879</v>
      </c>
      <c r="AO41" s="96">
        <f t="shared" si="16"/>
        <v>238.06957199999999</v>
      </c>
      <c r="AP41" s="96">
        <f t="shared" si="17"/>
        <v>297102.43902439025</v>
      </c>
      <c r="AQ41" s="96">
        <f t="shared" si="18"/>
        <v>342820.18368000002</v>
      </c>
      <c r="AR41" s="96"/>
    </row>
    <row r="42" spans="1:44" s="105" customFormat="1" x14ac:dyDescent="0.2">
      <c r="A42" s="101">
        <f>[1]exp_table_hero!A41</f>
        <v>40</v>
      </c>
      <c r="B42" s="102">
        <f>[1]exp_table_hero!B41</f>
        <v>40975</v>
      </c>
      <c r="C42" s="102">
        <f t="shared" si="0"/>
        <v>2855275.6729015359</v>
      </c>
      <c r="D42" s="102">
        <f t="shared" si="1"/>
        <v>12581.100888612142</v>
      </c>
      <c r="E42" s="103">
        <f t="shared" si="27"/>
        <v>209.68501481020238</v>
      </c>
      <c r="F42" s="103">
        <f t="shared" si="27"/>
        <v>3.4947502468367064</v>
      </c>
      <c r="G42" s="103">
        <f t="shared" si="26"/>
        <v>0.14561459361819609</v>
      </c>
      <c r="H42" s="104">
        <f t="shared" si="19"/>
        <v>83107.126922088981</v>
      </c>
      <c r="L42" s="105">
        <v>40</v>
      </c>
      <c r="M42" s="106">
        <f t="shared" si="9"/>
        <v>1600</v>
      </c>
      <c r="N42" s="107">
        <f>[2]행동력!$AB43*$I$17</f>
        <v>7313.9418254955854</v>
      </c>
      <c r="O42" s="135"/>
      <c r="P42" s="108">
        <f>'계정 경험치 테이블'!B41/N42</f>
        <v>104.84250740510116</v>
      </c>
      <c r="Q42" s="108">
        <f t="shared" si="20"/>
        <v>6290.5504443060699</v>
      </c>
      <c r="R42" s="125">
        <f>P42/[2]행동력!$M$2</f>
        <v>6.5526567128188224</v>
      </c>
      <c r="S42" s="109">
        <f t="shared" si="22"/>
        <v>377433.02665836422</v>
      </c>
      <c r="T42" s="127">
        <f>S42*[2]행동력!$BA$2</f>
        <v>75486.60533167285</v>
      </c>
      <c r="U42" s="110">
        <v>12</v>
      </c>
      <c r="V42" s="111">
        <f t="shared" si="2"/>
        <v>4</v>
      </c>
      <c r="W42" s="111">
        <f t="shared" si="12"/>
        <v>6</v>
      </c>
      <c r="X42" s="208">
        <v>24.489795918367335</v>
      </c>
      <c r="Y42" s="107">
        <f t="shared" si="3"/>
        <v>245850</v>
      </c>
      <c r="Z42" s="107">
        <f t="shared" si="13"/>
        <v>3926212.5</v>
      </c>
      <c r="AA42" s="107">
        <f t="shared" si="4"/>
        <v>204875</v>
      </c>
      <c r="AB42" s="112">
        <f>[2]행동력!$BA43/Y42</f>
        <v>69.683359924381591</v>
      </c>
      <c r="AC42" s="141">
        <f t="shared" si="23"/>
        <v>0.30704334078370082</v>
      </c>
      <c r="AD42" s="108">
        <f t="shared" si="24"/>
        <v>75486.60533167285</v>
      </c>
      <c r="AE42" s="113">
        <f t="shared" si="21"/>
        <v>1258.1100888612141</v>
      </c>
      <c r="AF42" s="63">
        <f t="shared" si="6"/>
        <v>17131654.037409212</v>
      </c>
      <c r="AK42" s="230"/>
      <c r="AL42" s="107"/>
      <c r="AM42" s="107"/>
      <c r="AN42" s="97">
        <f t="shared" si="7"/>
        <v>195.1219512195122</v>
      </c>
      <c r="AO42" s="96">
        <f t="shared" si="16"/>
        <v>244.17392000000001</v>
      </c>
      <c r="AP42" s="96">
        <f t="shared" si="17"/>
        <v>310975.60975609755</v>
      </c>
      <c r="AQ42" s="96">
        <f t="shared" si="18"/>
        <v>351610.4448</v>
      </c>
      <c r="AR42" s="107"/>
    </row>
    <row r="43" spans="1:44" s="122" customFormat="1" x14ac:dyDescent="0.2">
      <c r="A43" s="118">
        <f>[1]exp_table_hero!A42</f>
        <v>41</v>
      </c>
      <c r="B43" s="119">
        <f>[1]exp_table_hero!B42</f>
        <v>41950</v>
      </c>
      <c r="C43" s="119">
        <f t="shared" si="0"/>
        <v>3287286.9633242055</v>
      </c>
      <c r="D43" s="119">
        <f t="shared" si="1"/>
        <v>14924.309772001756</v>
      </c>
      <c r="E43" s="120">
        <f t="shared" si="27"/>
        <v>248.73849620002926</v>
      </c>
      <c r="F43" s="120">
        <f t="shared" si="27"/>
        <v>4.1456416033338206</v>
      </c>
      <c r="G43" s="120">
        <f t="shared" si="26"/>
        <v>0.17273506680557585</v>
      </c>
      <c r="H43" s="121">
        <f t="shared" si="19"/>
        <v>98031.436694090735</v>
      </c>
      <c r="L43" s="122">
        <v>41</v>
      </c>
      <c r="M43" s="123">
        <f t="shared" si="9"/>
        <v>1681</v>
      </c>
      <c r="N43" s="124">
        <f>[2]행동력!$AB44*$I$17</f>
        <v>6619.4820068217741</v>
      </c>
      <c r="O43" s="136"/>
      <c r="P43" s="125">
        <f>'계정 경험치 테이블'!B42/N43</f>
        <v>124.36924810001463</v>
      </c>
      <c r="Q43" s="125">
        <f t="shared" si="20"/>
        <v>7462.1548860008779</v>
      </c>
      <c r="R43" s="125">
        <f>P43/[2]행동력!$M$2</f>
        <v>7.7730780062509144</v>
      </c>
      <c r="S43" s="126">
        <f t="shared" si="22"/>
        <v>447729.29316005268</v>
      </c>
      <c r="T43" s="127">
        <f>S43*[2]행동력!$BA$2</f>
        <v>89545.858632010539</v>
      </c>
      <c r="U43" s="128">
        <v>12</v>
      </c>
      <c r="V43" s="129">
        <f t="shared" si="2"/>
        <v>4</v>
      </c>
      <c r="W43" s="129">
        <f t="shared" si="12"/>
        <v>6</v>
      </c>
      <c r="X43" s="208">
        <v>25.040816326530603</v>
      </c>
      <c r="Y43" s="124">
        <f t="shared" si="3"/>
        <v>251700</v>
      </c>
      <c r="Z43" s="124">
        <f t="shared" si="13"/>
        <v>4177912.5</v>
      </c>
      <c r="AA43" s="124">
        <f t="shared" si="4"/>
        <v>209750</v>
      </c>
      <c r="AB43" s="114">
        <f>[2]행동력!$BA44/Y43</f>
        <v>78.362025347418481</v>
      </c>
      <c r="AC43" s="142">
        <f t="shared" si="23"/>
        <v>0.35576423771160326</v>
      </c>
      <c r="AD43" s="125">
        <f t="shared" si="24"/>
        <v>89545.858632010539</v>
      </c>
      <c r="AE43" s="130">
        <f t="shared" si="21"/>
        <v>1492.4309772001757</v>
      </c>
      <c r="AF43" s="63">
        <f t="shared" si="6"/>
        <v>19723721.779945232</v>
      </c>
      <c r="AK43" s="127"/>
      <c r="AL43" s="124"/>
      <c r="AM43" s="124"/>
      <c r="AN43" s="97">
        <f t="shared" si="7"/>
        <v>205.00000000000003</v>
      </c>
      <c r="AO43" s="96">
        <f t="shared" si="16"/>
        <v>250.278268</v>
      </c>
      <c r="AP43" s="96">
        <f t="shared" si="17"/>
        <v>325200.00000000006</v>
      </c>
      <c r="AQ43" s="96">
        <f t="shared" si="18"/>
        <v>360400.70591999998</v>
      </c>
      <c r="AR43" s="124"/>
    </row>
    <row r="44" spans="1:44" s="41" customFormat="1" x14ac:dyDescent="0.2">
      <c r="A44" s="91">
        <f>[1]exp_table_hero!A43</f>
        <v>42</v>
      </c>
      <c r="B44" s="92">
        <f>[1]exp_table_hero!B43</f>
        <v>42925</v>
      </c>
      <c r="C44" s="92">
        <f t="shared" si="0"/>
        <v>3536574.7275674604</v>
      </c>
      <c r="D44" s="92">
        <f t="shared" si="1"/>
        <v>16328.568227593314</v>
      </c>
      <c r="E44" s="93">
        <f t="shared" si="27"/>
        <v>272.1428037932219</v>
      </c>
      <c r="F44" s="93">
        <f t="shared" si="27"/>
        <v>4.5357133965536987</v>
      </c>
      <c r="G44" s="93">
        <f t="shared" si="26"/>
        <v>0.18898805818973743</v>
      </c>
      <c r="H44" s="94">
        <f t="shared" si="19"/>
        <v>114360.00492168404</v>
      </c>
      <c r="L44" s="41">
        <v>42</v>
      </c>
      <c r="M44" s="95">
        <f t="shared" si="9"/>
        <v>1764</v>
      </c>
      <c r="N44" s="96">
        <f>[2]행동력!$AB45*$I$17</f>
        <v>5986.1874848311572</v>
      </c>
      <c r="O44" s="134"/>
      <c r="P44" s="97">
        <f>'계정 경험치 테이블'!B43/N44</f>
        <v>147.41068538799519</v>
      </c>
      <c r="Q44" s="97">
        <f t="shared" si="20"/>
        <v>8844.6411232797109</v>
      </c>
      <c r="R44" s="125">
        <f>P44/[2]행동력!$M$2</f>
        <v>9.2131678367496992</v>
      </c>
      <c r="S44" s="62">
        <f t="shared" si="22"/>
        <v>530678.46739678271</v>
      </c>
      <c r="T44" s="127">
        <f>S44*[2]행동력!$BA$2</f>
        <v>106135.69347935655</v>
      </c>
      <c r="U44" s="76">
        <v>13</v>
      </c>
      <c r="V44" s="98">
        <f t="shared" si="2"/>
        <v>4.333333333333333</v>
      </c>
      <c r="W44" s="98">
        <f t="shared" si="12"/>
        <v>6.5</v>
      </c>
      <c r="X44" s="208">
        <v>25.591836734693867</v>
      </c>
      <c r="Y44" s="96">
        <f t="shared" si="3"/>
        <v>279012.5</v>
      </c>
      <c r="Z44" s="96">
        <f t="shared" si="13"/>
        <v>4456925</v>
      </c>
      <c r="AA44" s="96">
        <f t="shared" si="4"/>
        <v>236087.5</v>
      </c>
      <c r="AB44" s="99">
        <f>[2]행동력!$BA45/Y44</f>
        <v>82.389626734244857</v>
      </c>
      <c r="AC44" s="140">
        <f t="shared" si="23"/>
        <v>0.38039762906449187</v>
      </c>
      <c r="AD44" s="97">
        <f t="shared" si="24"/>
        <v>106135.69347935655</v>
      </c>
      <c r="AE44" s="100">
        <f t="shared" si="21"/>
        <v>1768.9282246559424</v>
      </c>
      <c r="AF44" s="63">
        <f t="shared" si="6"/>
        <v>22987735.729188494</v>
      </c>
      <c r="AK44" s="63"/>
      <c r="AL44" s="96"/>
      <c r="AM44" s="96"/>
      <c r="AN44" s="97">
        <f t="shared" si="7"/>
        <v>215.12195121951223</v>
      </c>
      <c r="AO44" s="96">
        <f t="shared" si="16"/>
        <v>256.38261599999998</v>
      </c>
      <c r="AP44" s="96">
        <f t="shared" si="17"/>
        <v>339775.6097560976</v>
      </c>
      <c r="AQ44" s="96">
        <f t="shared" si="18"/>
        <v>369190.96703999996</v>
      </c>
      <c r="AR44" s="96"/>
    </row>
    <row r="45" spans="1:44" s="41" customFormat="1" x14ac:dyDescent="0.2">
      <c r="A45" s="91">
        <f>[1]exp_table_hero!A44</f>
        <v>43</v>
      </c>
      <c r="B45" s="92">
        <f>[1]exp_table_hero!B44</f>
        <v>43900</v>
      </c>
      <c r="C45" s="92">
        <f t="shared" si="0"/>
        <v>4154025.8586160471</v>
      </c>
      <c r="D45" s="92">
        <f t="shared" si="1"/>
        <v>19337.69745685935</v>
      </c>
      <c r="E45" s="93">
        <f t="shared" si="27"/>
        <v>322.29495761432253</v>
      </c>
      <c r="F45" s="93">
        <f t="shared" si="27"/>
        <v>5.3715826269053757</v>
      </c>
      <c r="G45" s="93">
        <f t="shared" si="26"/>
        <v>0.22381594278772399</v>
      </c>
      <c r="H45" s="94">
        <f t="shared" si="19"/>
        <v>133697.70237854338</v>
      </c>
      <c r="L45" s="41">
        <v>43</v>
      </c>
      <c r="M45" s="95">
        <f t="shared" si="9"/>
        <v>1849</v>
      </c>
      <c r="N45" s="96">
        <f>[2]행동력!$AB46*$I$17</f>
        <v>5409.5502521547714</v>
      </c>
      <c r="O45" s="134"/>
      <c r="P45" s="97">
        <f>'계정 경험치 테이블'!B44/N45</f>
        <v>174.57643537442465</v>
      </c>
      <c r="Q45" s="97">
        <f t="shared" si="20"/>
        <v>10474.586122465478</v>
      </c>
      <c r="R45" s="125">
        <f>P45/[2]행동력!$M$2</f>
        <v>10.91102721090154</v>
      </c>
      <c r="S45" s="62">
        <f t="shared" si="22"/>
        <v>628475.16734792874</v>
      </c>
      <c r="T45" s="127">
        <f>S45*[2]행동력!$BA$2</f>
        <v>125695.03346958576</v>
      </c>
      <c r="U45" s="76">
        <v>13</v>
      </c>
      <c r="V45" s="98">
        <f t="shared" si="2"/>
        <v>4.333333333333333</v>
      </c>
      <c r="W45" s="98">
        <f t="shared" si="12"/>
        <v>6.5</v>
      </c>
      <c r="X45" s="208">
        <v>26.142857142857132</v>
      </c>
      <c r="Y45" s="96">
        <f t="shared" si="3"/>
        <v>285350</v>
      </c>
      <c r="Z45" s="96">
        <f t="shared" si="13"/>
        <v>4742275</v>
      </c>
      <c r="AA45" s="96">
        <f t="shared" si="4"/>
        <v>241450</v>
      </c>
      <c r="AB45" s="99">
        <f>[2]행동력!$BA46/Y45</f>
        <v>94.624734820411092</v>
      </c>
      <c r="AC45" s="140">
        <f t="shared" si="23"/>
        <v>0.44049424730886899</v>
      </c>
      <c r="AD45" s="97">
        <f t="shared" si="24"/>
        <v>125695.03346958576</v>
      </c>
      <c r="AE45" s="100">
        <f t="shared" si="21"/>
        <v>2094.917224493096</v>
      </c>
      <c r="AF45" s="63">
        <f t="shared" si="6"/>
        <v>27001168.081004307</v>
      </c>
      <c r="AK45" s="63"/>
      <c r="AL45" s="96"/>
      <c r="AM45" s="96"/>
      <c r="AN45" s="97">
        <f t="shared" si="7"/>
        <v>225.48780487804879</v>
      </c>
      <c r="AO45" s="96">
        <f t="shared" si="16"/>
        <v>262.486964</v>
      </c>
      <c r="AP45" s="96">
        <f t="shared" si="17"/>
        <v>354702.43902439025</v>
      </c>
      <c r="AQ45" s="96">
        <f t="shared" si="18"/>
        <v>377981.22816</v>
      </c>
      <c r="AR45" s="96"/>
    </row>
    <row r="46" spans="1:44" s="41" customFormat="1" x14ac:dyDescent="0.2">
      <c r="A46" s="91">
        <f>[1]exp_table_hero!A45</f>
        <v>44</v>
      </c>
      <c r="B46" s="92">
        <f>[1]exp_table_hero!B45</f>
        <v>44875</v>
      </c>
      <c r="C46" s="92">
        <f t="shared" si="0"/>
        <v>4795205.5266974699</v>
      </c>
      <c r="D46" s="92">
        <f t="shared" si="1"/>
        <v>22882.46528645639</v>
      </c>
      <c r="E46" s="93">
        <f t="shared" si="27"/>
        <v>381.37442144093984</v>
      </c>
      <c r="F46" s="93">
        <f t="shared" si="27"/>
        <v>6.3562403573489972</v>
      </c>
      <c r="G46" s="93">
        <f t="shared" si="26"/>
        <v>0.26484334822287486</v>
      </c>
      <c r="H46" s="94">
        <f t="shared" si="19"/>
        <v>156580.16766499978</v>
      </c>
      <c r="L46" s="41">
        <v>44</v>
      </c>
      <c r="M46" s="95">
        <f t="shared" si="9"/>
        <v>1936</v>
      </c>
      <c r="N46" s="96">
        <f>[2]행동력!$AB47*$I$17</f>
        <v>4885.2294063723957</v>
      </c>
      <c r="O46" s="134"/>
      <c r="P46" s="97">
        <f>'계정 경험치 테이블'!B45/N46</f>
        <v>206.57781161384241</v>
      </c>
      <c r="Q46" s="97">
        <f t="shared" si="20"/>
        <v>12394.668696830544</v>
      </c>
      <c r="R46" s="125">
        <f>P46/[2]행동력!$M$2</f>
        <v>12.911113225865151</v>
      </c>
      <c r="S46" s="62">
        <f t="shared" si="22"/>
        <v>743680.12180983264</v>
      </c>
      <c r="T46" s="127">
        <f>S46*[2]행동력!$BA$2</f>
        <v>148736.02436196653</v>
      </c>
      <c r="U46" s="76">
        <v>13</v>
      </c>
      <c r="V46" s="98">
        <f t="shared" si="2"/>
        <v>4.333333333333333</v>
      </c>
      <c r="W46" s="98">
        <f t="shared" si="12"/>
        <v>6.5</v>
      </c>
      <c r="X46" s="208">
        <v>26.693877551020396</v>
      </c>
      <c r="Y46" s="96">
        <f t="shared" si="3"/>
        <v>291687.5</v>
      </c>
      <c r="Z46" s="96">
        <f t="shared" si="13"/>
        <v>5033962.5</v>
      </c>
      <c r="AA46" s="96">
        <f t="shared" si="4"/>
        <v>246812.5</v>
      </c>
      <c r="AB46" s="99">
        <f>[2]행동력!$BA47/Y46</f>
        <v>106.85694767013861</v>
      </c>
      <c r="AC46" s="140">
        <f t="shared" si="23"/>
        <v>0.50991566097952956</v>
      </c>
      <c r="AD46" s="97">
        <f t="shared" si="24"/>
        <v>148736.02436196653</v>
      </c>
      <c r="AE46" s="100">
        <f t="shared" si="21"/>
        <v>2478.933739366109</v>
      </c>
      <c r="AF46" s="63">
        <f t="shared" si="6"/>
        <v>31168835.923533555</v>
      </c>
      <c r="AK46" s="63"/>
      <c r="AL46" s="96"/>
      <c r="AM46" s="96"/>
      <c r="AN46" s="97">
        <f t="shared" si="7"/>
        <v>236.09756097560978</v>
      </c>
      <c r="AO46" s="96">
        <f t="shared" si="16"/>
        <v>268.59131200000002</v>
      </c>
      <c r="AP46" s="96">
        <f t="shared" si="17"/>
        <v>369980.4878048781</v>
      </c>
      <c r="AQ46" s="96">
        <f t="shared" si="18"/>
        <v>386771.48928000004</v>
      </c>
      <c r="AR46" s="96"/>
    </row>
    <row r="47" spans="1:44" s="105" customFormat="1" x14ac:dyDescent="0.2">
      <c r="A47" s="101">
        <f>[1]exp_table_hero!A46</f>
        <v>45</v>
      </c>
      <c r="B47" s="102">
        <f>[1]exp_table_hero!B46</f>
        <v>45850</v>
      </c>
      <c r="C47" s="102">
        <f t="shared" si="0"/>
        <v>5599784.6611374505</v>
      </c>
      <c r="D47" s="102">
        <f t="shared" si="1"/>
        <v>27054.739684510252</v>
      </c>
      <c r="E47" s="103">
        <f t="shared" si="27"/>
        <v>450.91232807517088</v>
      </c>
      <c r="F47" s="103">
        <f t="shared" si="27"/>
        <v>7.5152054679195146</v>
      </c>
      <c r="G47" s="103">
        <f t="shared" si="26"/>
        <v>0.31313356116331309</v>
      </c>
      <c r="H47" s="104">
        <f t="shared" si="19"/>
        <v>183634.90734951003</v>
      </c>
      <c r="L47" s="105">
        <v>45</v>
      </c>
      <c r="M47" s="106">
        <f t="shared" si="9"/>
        <v>2025</v>
      </c>
      <c r="N47" s="107">
        <f>[2]행동력!$AB48*$I$17</f>
        <v>4409.0795125940167</v>
      </c>
      <c r="O47" s="135"/>
      <c r="P47" s="108">
        <f>'계정 경험치 테이블'!B46/N47</f>
        <v>244.24417770738421</v>
      </c>
      <c r="Q47" s="108">
        <f t="shared" si="20"/>
        <v>14654.650662443053</v>
      </c>
      <c r="R47" s="125">
        <f>P47/[2]행동력!$M$2</f>
        <v>15.265261106711513</v>
      </c>
      <c r="S47" s="109">
        <f t="shared" si="22"/>
        <v>879279.03974658321</v>
      </c>
      <c r="T47" s="127">
        <f>S47*[2]행동력!$BA$2</f>
        <v>175855.80794931666</v>
      </c>
      <c r="U47" s="110">
        <v>13</v>
      </c>
      <c r="V47" s="111">
        <f t="shared" si="2"/>
        <v>4.333333333333333</v>
      </c>
      <c r="W47" s="111">
        <f t="shared" si="12"/>
        <v>6.5</v>
      </c>
      <c r="X47" s="208">
        <v>27.24489795918366</v>
      </c>
      <c r="Y47" s="107">
        <f t="shared" si="3"/>
        <v>298025</v>
      </c>
      <c r="Z47" s="107">
        <f t="shared" si="13"/>
        <v>5331987.5</v>
      </c>
      <c r="AA47" s="107">
        <f t="shared" si="4"/>
        <v>252175</v>
      </c>
      <c r="AB47" s="112">
        <f>[2]행동력!$BA48/Y47</f>
        <v>122.13270798554963</v>
      </c>
      <c r="AC47" s="141">
        <f t="shared" si="23"/>
        <v>0.59007065833173944</v>
      </c>
      <c r="AD47" s="108">
        <f t="shared" si="24"/>
        <v>175855.80794931666</v>
      </c>
      <c r="AE47" s="113">
        <f t="shared" si="21"/>
        <v>2930.930132488611</v>
      </c>
      <c r="AF47" s="63">
        <f t="shared" si="6"/>
        <v>36398600.297393426</v>
      </c>
      <c r="AK47" s="230"/>
      <c r="AL47" s="107"/>
      <c r="AM47" s="107"/>
      <c r="AN47" s="97">
        <f t="shared" si="7"/>
        <v>246.95121951219514</v>
      </c>
      <c r="AO47" s="96">
        <f t="shared" si="16"/>
        <v>274.69566000000003</v>
      </c>
      <c r="AP47" s="96">
        <f t="shared" si="17"/>
        <v>385609.75609756098</v>
      </c>
      <c r="AQ47" s="96">
        <f t="shared" si="18"/>
        <v>395561.75040000002</v>
      </c>
      <c r="AR47" s="107"/>
    </row>
    <row r="48" spans="1:44" s="122" customFormat="1" x14ac:dyDescent="0.2">
      <c r="A48" s="118">
        <f>[1]exp_table_hero!A47</f>
        <v>46</v>
      </c>
      <c r="B48" s="119">
        <f>[1]exp_table_hero!B47</f>
        <v>46825</v>
      </c>
      <c r="C48" s="119">
        <f t="shared" si="0"/>
        <v>6117646.9951704359</v>
      </c>
      <c r="D48" s="119">
        <f t="shared" si="1"/>
        <v>29678.589956721873</v>
      </c>
      <c r="E48" s="120">
        <f t="shared" si="27"/>
        <v>494.64316594536456</v>
      </c>
      <c r="F48" s="120">
        <f t="shared" si="27"/>
        <v>8.2440527657560754</v>
      </c>
      <c r="G48" s="120">
        <f t="shared" si="26"/>
        <v>0.34350219857316983</v>
      </c>
      <c r="H48" s="121">
        <f t="shared" si="19"/>
        <v>213313.4973062319</v>
      </c>
      <c r="L48" s="122">
        <v>46</v>
      </c>
      <c r="M48" s="123">
        <f t="shared" si="9"/>
        <v>2116</v>
      </c>
      <c r="N48" s="124">
        <f>[2]행동력!$AB49*$I$17</f>
        <v>3977.1700802539631</v>
      </c>
      <c r="O48" s="136"/>
      <c r="P48" s="125">
        <f>'계정 경험치 테이블'!B47/N48</f>
        <v>288.54184680146267</v>
      </c>
      <c r="Q48" s="125">
        <f t="shared" si="20"/>
        <v>17312.510808087762</v>
      </c>
      <c r="R48" s="125">
        <f>P48/[2]행동력!$M$2</f>
        <v>18.033865425091417</v>
      </c>
      <c r="S48" s="126">
        <f t="shared" si="22"/>
        <v>1038750.6484852657</v>
      </c>
      <c r="T48" s="127">
        <f>S48*[2]행동력!$BA$2</f>
        <v>207750.12969705314</v>
      </c>
      <c r="U48" s="128">
        <v>14</v>
      </c>
      <c r="V48" s="129">
        <f t="shared" si="2"/>
        <v>4.666666666666667</v>
      </c>
      <c r="W48" s="129">
        <f t="shared" si="12"/>
        <v>7</v>
      </c>
      <c r="X48" s="208">
        <v>27.795918367346925</v>
      </c>
      <c r="Y48" s="124">
        <f t="shared" si="3"/>
        <v>327775</v>
      </c>
      <c r="Z48" s="124">
        <f t="shared" si="13"/>
        <v>5659762.5</v>
      </c>
      <c r="AA48" s="124">
        <f t="shared" si="4"/>
        <v>280950</v>
      </c>
      <c r="AB48" s="114">
        <f>[2]행동력!$BA49/Y48</f>
        <v>130.64916166941669</v>
      </c>
      <c r="AC48" s="142">
        <f t="shared" si="23"/>
        <v>0.63381932635818206</v>
      </c>
      <c r="AD48" s="125">
        <f t="shared" si="24"/>
        <v>207750.12969705311</v>
      </c>
      <c r="AE48" s="130">
        <f t="shared" si="21"/>
        <v>3462.5021616175518</v>
      </c>
      <c r="AF48" s="63">
        <f t="shared" si="6"/>
        <v>42823528.966193058</v>
      </c>
      <c r="AK48" s="127"/>
      <c r="AL48" s="124"/>
      <c r="AM48" s="124"/>
      <c r="AN48" s="97">
        <f t="shared" si="7"/>
        <v>258.04878048780489</v>
      </c>
      <c r="AO48" s="96">
        <f t="shared" si="16"/>
        <v>280.80000799999999</v>
      </c>
      <c r="AP48" s="96">
        <f t="shared" si="17"/>
        <v>401590.24390243902</v>
      </c>
      <c r="AQ48" s="96">
        <f t="shared" si="18"/>
        <v>404352.01152</v>
      </c>
      <c r="AR48" s="124"/>
    </row>
    <row r="49" spans="1:44" s="41" customFormat="1" x14ac:dyDescent="0.2">
      <c r="A49" s="91">
        <f>[1]exp_table_hero!A48</f>
        <v>47</v>
      </c>
      <c r="B49" s="92">
        <f>[1]exp_table_hero!B48</f>
        <v>47800</v>
      </c>
      <c r="C49" s="92">
        <f t="shared" si="0"/>
        <v>7083789.8369789729</v>
      </c>
      <c r="D49" s="92">
        <f t="shared" si="1"/>
        <v>35032.722594457817</v>
      </c>
      <c r="E49" s="93">
        <f t="shared" si="27"/>
        <v>583.87870990763031</v>
      </c>
      <c r="F49" s="93">
        <f t="shared" si="27"/>
        <v>9.731311831793839</v>
      </c>
      <c r="G49" s="93">
        <f t="shared" si="26"/>
        <v>0.40547132632474331</v>
      </c>
      <c r="H49" s="94">
        <f t="shared" si="19"/>
        <v>248346.21990068973</v>
      </c>
      <c r="L49" s="41">
        <v>47</v>
      </c>
      <c r="M49" s="95">
        <f t="shared" si="9"/>
        <v>2209</v>
      </c>
      <c r="N49" s="96">
        <f>[2]행동력!$AB50*$I$17</f>
        <v>3585.7975665426752</v>
      </c>
      <c r="O49" s="134"/>
      <c r="P49" s="97">
        <f>'계정 경험치 테이블'!B48/N49</f>
        <v>340.59591411278433</v>
      </c>
      <c r="Q49" s="97">
        <f t="shared" si="20"/>
        <v>20435.75484676706</v>
      </c>
      <c r="R49" s="125">
        <f>P49/[2]행동력!$M$2</f>
        <v>21.287244632049021</v>
      </c>
      <c r="S49" s="62">
        <f t="shared" si="22"/>
        <v>1226145.2908060236</v>
      </c>
      <c r="T49" s="127">
        <f>S49*[2]행동력!$BA$2</f>
        <v>245229.05816120474</v>
      </c>
      <c r="U49" s="76">
        <v>14</v>
      </c>
      <c r="V49" s="98">
        <f t="shared" si="2"/>
        <v>4.666666666666667</v>
      </c>
      <c r="W49" s="98">
        <f t="shared" si="12"/>
        <v>7</v>
      </c>
      <c r="X49" s="208">
        <v>28.346938775510193</v>
      </c>
      <c r="Y49" s="96">
        <f t="shared" si="3"/>
        <v>334600</v>
      </c>
      <c r="Z49" s="96">
        <f t="shared" si="13"/>
        <v>5994362.5</v>
      </c>
      <c r="AA49" s="96">
        <f t="shared" si="4"/>
        <v>286800</v>
      </c>
      <c r="AB49" s="99">
        <f>[2]행동력!$BA50/Y49</f>
        <v>148.1964401041626</v>
      </c>
      <c r="AC49" s="140">
        <f t="shared" si="23"/>
        <v>0.73290214632756945</v>
      </c>
      <c r="AD49" s="97">
        <f t="shared" si="24"/>
        <v>245229.05816120474</v>
      </c>
      <c r="AE49" s="100">
        <f t="shared" si="21"/>
        <v>4087.1509693534122</v>
      </c>
      <c r="AF49" s="63">
        <f t="shared" si="6"/>
        <v>49586528.858852811</v>
      </c>
      <c r="AK49" s="63"/>
      <c r="AL49" s="96"/>
      <c r="AM49" s="96"/>
      <c r="AN49" s="97">
        <f t="shared" si="7"/>
        <v>269.39024390243907</v>
      </c>
      <c r="AO49" s="96">
        <f t="shared" si="16"/>
        <v>286.90435600000001</v>
      </c>
      <c r="AP49" s="96">
        <f t="shared" si="17"/>
        <v>417921.95121951227</v>
      </c>
      <c r="AQ49" s="96">
        <f t="shared" si="18"/>
        <v>413142.27263999998</v>
      </c>
      <c r="AR49" s="96"/>
    </row>
    <row r="50" spans="1:44" s="41" customFormat="1" x14ac:dyDescent="0.2">
      <c r="A50" s="91">
        <f>[1]exp_table_hero!A49</f>
        <v>48</v>
      </c>
      <c r="B50" s="92">
        <f>[1]exp_table_hero!B49</f>
        <v>48775</v>
      </c>
      <c r="C50" s="92">
        <f t="shared" si="0"/>
        <v>8291912.0997028789</v>
      </c>
      <c r="D50" s="92">
        <f t="shared" si="1"/>
        <v>41319.305055177152</v>
      </c>
      <c r="E50" s="93">
        <f t="shared" si="27"/>
        <v>688.65508425295252</v>
      </c>
      <c r="F50" s="93">
        <f t="shared" si="27"/>
        <v>11.477584737549209</v>
      </c>
      <c r="G50" s="93">
        <f t="shared" si="26"/>
        <v>0.47823269739788371</v>
      </c>
      <c r="H50" s="94">
        <f t="shared" si="19"/>
        <v>289665.52495586686</v>
      </c>
      <c r="L50" s="41">
        <v>48</v>
      </c>
      <c r="M50" s="95">
        <f t="shared" si="9"/>
        <v>2304</v>
      </c>
      <c r="N50" s="96">
        <f>[2]행동력!$AB51*$I$17</f>
        <v>3231.4912182154794</v>
      </c>
      <c r="O50" s="134"/>
      <c r="P50" s="97">
        <f>'계정 경험치 테이블'!B49/N50</f>
        <v>401.71546581422228</v>
      </c>
      <c r="Q50" s="97">
        <f t="shared" si="20"/>
        <v>24102.927948853336</v>
      </c>
      <c r="R50" s="125">
        <f>P50/[2]행동력!$M$2</f>
        <v>25.107216613388893</v>
      </c>
      <c r="S50" s="62">
        <f t="shared" si="22"/>
        <v>1446175.6769312001</v>
      </c>
      <c r="T50" s="127">
        <f>S50*[2]행동력!$BA$2</f>
        <v>289235.13538624003</v>
      </c>
      <c r="U50" s="76">
        <v>14</v>
      </c>
      <c r="V50" s="98">
        <f t="shared" si="2"/>
        <v>4.666666666666667</v>
      </c>
      <c r="W50" s="98">
        <f t="shared" si="12"/>
        <v>7</v>
      </c>
      <c r="X50" s="208">
        <v>28.897959183673457</v>
      </c>
      <c r="Y50" s="96">
        <f t="shared" si="3"/>
        <v>341425</v>
      </c>
      <c r="Z50" s="96">
        <f t="shared" si="13"/>
        <v>6335787.5</v>
      </c>
      <c r="AA50" s="96">
        <f t="shared" si="4"/>
        <v>292650</v>
      </c>
      <c r="AB50" s="99">
        <f>[2]행동력!$BA51/Y50</f>
        <v>170.00332341779352</v>
      </c>
      <c r="AC50" s="140">
        <f t="shared" si="23"/>
        <v>0.84714105700004405</v>
      </c>
      <c r="AD50" s="97">
        <f t="shared" si="24"/>
        <v>289235.13538624003</v>
      </c>
      <c r="AE50" s="100">
        <f t="shared" si="21"/>
        <v>4820.585589770667</v>
      </c>
      <c r="AF50" s="63">
        <f t="shared" si="6"/>
        <v>58043384.697920151</v>
      </c>
      <c r="AK50" s="63"/>
      <c r="AL50" s="96"/>
      <c r="AM50" s="96"/>
      <c r="AN50" s="97">
        <f t="shared" si="7"/>
        <v>280.97560975609758</v>
      </c>
      <c r="AO50" s="96">
        <f t="shared" si="16"/>
        <v>293.00870399999997</v>
      </c>
      <c r="AP50" s="96">
        <f t="shared" si="17"/>
        <v>434604.87804878049</v>
      </c>
      <c r="AQ50" s="96">
        <f t="shared" si="18"/>
        <v>421932.53375999996</v>
      </c>
      <c r="AR50" s="96"/>
    </row>
    <row r="51" spans="1:44" s="41" customFormat="1" x14ac:dyDescent="0.2">
      <c r="A51" s="91">
        <f>[1]exp_table_hero!A50</f>
        <v>49</v>
      </c>
      <c r="B51" s="92">
        <f>[1]exp_table_hero!B50</f>
        <v>49750</v>
      </c>
      <c r="C51" s="92">
        <f t="shared" si="0"/>
        <v>9774252.7956503741</v>
      </c>
      <c r="D51" s="92">
        <f t="shared" si="1"/>
        <v>48694.90352257718</v>
      </c>
      <c r="E51" s="93">
        <f t="shared" si="27"/>
        <v>811.58172537628639</v>
      </c>
      <c r="F51" s="93">
        <f t="shared" si="27"/>
        <v>13.526362089604772</v>
      </c>
      <c r="G51" s="93">
        <f t="shared" si="26"/>
        <v>0.56359842040019881</v>
      </c>
      <c r="H51" s="94">
        <f t="shared" si="19"/>
        <v>338360.42847844405</v>
      </c>
      <c r="L51" s="41">
        <v>49</v>
      </c>
      <c r="M51" s="95">
        <f t="shared" si="9"/>
        <v>2401</v>
      </c>
      <c r="N51" s="96">
        <f>[2]행동력!$AB52*$I$17</f>
        <v>2911.0139378635463</v>
      </c>
      <c r="O51" s="134"/>
      <c r="P51" s="97">
        <f>'계정 경험치 테이블'!B50/N51</f>
        <v>473.42267313616696</v>
      </c>
      <c r="Q51" s="97">
        <f t="shared" si="20"/>
        <v>28405.360388170018</v>
      </c>
      <c r="R51" s="125">
        <f>P51/[2]행동력!$M$2</f>
        <v>29.588917071010435</v>
      </c>
      <c r="S51" s="62">
        <f t="shared" si="22"/>
        <v>1704321.6232902012</v>
      </c>
      <c r="T51" s="127">
        <f>S51*[2]행동력!$BA$2</f>
        <v>340864.32465804025</v>
      </c>
      <c r="U51" s="76">
        <v>14</v>
      </c>
      <c r="V51" s="98">
        <f t="shared" si="2"/>
        <v>4.666666666666667</v>
      </c>
      <c r="W51" s="98">
        <f t="shared" si="12"/>
        <v>7</v>
      </c>
      <c r="X51" s="208">
        <v>29.448979591836721</v>
      </c>
      <c r="Y51" s="96">
        <f t="shared" si="3"/>
        <v>348250</v>
      </c>
      <c r="Z51" s="96">
        <f t="shared" si="13"/>
        <v>6684037.5</v>
      </c>
      <c r="AA51" s="96">
        <f t="shared" si="4"/>
        <v>298500</v>
      </c>
      <c r="AB51" s="99">
        <f>[2]행동력!$BA52/Y51</f>
        <v>196.46739287739445</v>
      </c>
      <c r="AC51" s="140">
        <f t="shared" si="23"/>
        <v>0.97879203060456643</v>
      </c>
      <c r="AD51" s="97">
        <f t="shared" si="24"/>
        <v>340864.32465804025</v>
      </c>
      <c r="AE51" s="100">
        <f t="shared" si="21"/>
        <v>5681.072077634004</v>
      </c>
      <c r="AF51" s="63">
        <f t="shared" si="6"/>
        <v>68419769.569552615</v>
      </c>
      <c r="AK51" s="63"/>
      <c r="AL51" s="96"/>
      <c r="AM51" s="96"/>
      <c r="AN51" s="97">
        <f t="shared" si="7"/>
        <v>292.80487804878049</v>
      </c>
      <c r="AO51" s="96">
        <f t="shared" si="16"/>
        <v>299.11305199999998</v>
      </c>
      <c r="AP51" s="96">
        <f t="shared" si="17"/>
        <v>451639.02439024393</v>
      </c>
      <c r="AQ51" s="96">
        <f t="shared" si="18"/>
        <v>430722.79488</v>
      </c>
      <c r="AR51" s="96"/>
    </row>
    <row r="52" spans="1:44" s="105" customFormat="1" x14ac:dyDescent="0.2">
      <c r="A52" s="101">
        <f>[1]exp_table_hero!A51</f>
        <v>50</v>
      </c>
      <c r="B52" s="102">
        <f>[1]exp_table_hero!B51</f>
        <v>0</v>
      </c>
      <c r="C52" s="102">
        <f t="shared" si="0"/>
        <v>0</v>
      </c>
      <c r="D52" s="102">
        <v>0</v>
      </c>
      <c r="E52" s="103">
        <f>D52/60</f>
        <v>0</v>
      </c>
      <c r="F52" s="103"/>
      <c r="G52" s="103"/>
      <c r="H52" s="104">
        <f t="shared" si="19"/>
        <v>338360.42847844405</v>
      </c>
      <c r="L52" s="105">
        <v>50</v>
      </c>
      <c r="M52" s="106">
        <f t="shared" si="9"/>
        <v>2500</v>
      </c>
      <c r="N52" s="107">
        <f>[2]행동력!$AB53*$I$17</f>
        <v>2621.3592233009867</v>
      </c>
      <c r="O52" s="135"/>
      <c r="P52" s="108">
        <f>'계정 경험치 테이블'!B51/N52</f>
        <v>0</v>
      </c>
      <c r="Q52" s="108">
        <f t="shared" si="20"/>
        <v>0</v>
      </c>
      <c r="R52" s="125">
        <f>P52/[2]행동력!$M$2</f>
        <v>0</v>
      </c>
      <c r="S52" s="109">
        <f t="shared" si="22"/>
        <v>0</v>
      </c>
      <c r="T52" s="127">
        <f>S52*[2]행동력!$BA$2</f>
        <v>0</v>
      </c>
      <c r="U52" s="110">
        <v>15</v>
      </c>
      <c r="V52" s="111">
        <f t="shared" si="2"/>
        <v>5</v>
      </c>
      <c r="W52" s="111">
        <f t="shared" si="12"/>
        <v>7.5</v>
      </c>
      <c r="X52" s="208">
        <v>29.999999999999986</v>
      </c>
      <c r="Y52" s="107">
        <f t="shared" si="3"/>
        <v>0</v>
      </c>
      <c r="Z52" s="107">
        <f t="shared" si="13"/>
        <v>6684037.5</v>
      </c>
      <c r="AA52" s="107">
        <f t="shared" si="4"/>
        <v>0</v>
      </c>
      <c r="AB52" s="112">
        <v>0</v>
      </c>
      <c r="AC52" s="141">
        <v>0</v>
      </c>
      <c r="AD52" s="108">
        <f t="shared" si="24"/>
        <v>0</v>
      </c>
      <c r="AE52" s="113">
        <f t="shared" si="21"/>
        <v>0</v>
      </c>
      <c r="AF52" s="63">
        <f t="shared" si="6"/>
        <v>0</v>
      </c>
      <c r="AK52" s="230"/>
      <c r="AL52" s="107"/>
      <c r="AM52" s="107"/>
      <c r="AN52" s="97">
        <f>POWER(A52,2)/8.2</f>
        <v>304.87804878048786</v>
      </c>
      <c r="AO52" s="96">
        <f t="shared" si="16"/>
        <v>305.2174</v>
      </c>
      <c r="AP52" s="96">
        <f t="shared" si="17"/>
        <v>469024.39024390251</v>
      </c>
      <c r="AQ52" s="96">
        <f t="shared" si="18"/>
        <v>439513.05599999998</v>
      </c>
      <c r="AR52" s="107"/>
    </row>
    <row r="53" spans="1:44" s="84" customFormat="1" x14ac:dyDescent="0.2">
      <c r="A53" s="84" t="s">
        <v>101</v>
      </c>
      <c r="B53" s="85">
        <f>SUM(B3:B52)</f>
        <v>1289200</v>
      </c>
      <c r="C53" s="85">
        <f>SUM(C3:C51)</f>
        <v>73332535.035486013</v>
      </c>
      <c r="D53" s="85">
        <f>SUM(D3:D52)</f>
        <v>338360.42847844405</v>
      </c>
      <c r="E53" s="84">
        <f>D53/60</f>
        <v>5639.3404746407341</v>
      </c>
      <c r="F53" s="84">
        <f>E53/60</f>
        <v>93.989007910678907</v>
      </c>
      <c r="G53" s="84">
        <f>F53/24</f>
        <v>3.9162086629449546</v>
      </c>
      <c r="H53" s="84">
        <f>G53/60</f>
        <v>6.5270144382415907E-2</v>
      </c>
      <c r="N53" s="85"/>
      <c r="O53" s="137"/>
      <c r="P53" s="87">
        <f>SUM(P3:P52)</f>
        <v>3027.1380642231243</v>
      </c>
      <c r="Q53" s="87">
        <f>SUM(Q3:Q52)</f>
        <v>181628.28385338749</v>
      </c>
      <c r="R53" s="87">
        <f>SUM(R3:R52)</f>
        <v>189.19612901394527</v>
      </c>
      <c r="S53" s="87">
        <f>SUM(S3:S52)/60/60/24</f>
        <v>126.15362776301696</v>
      </c>
      <c r="T53" s="87">
        <f>SUM(T3:T52)</f>
        <v>2180081.2854906498</v>
      </c>
      <c r="U53" s="88"/>
      <c r="V53" s="89"/>
      <c r="W53" s="89"/>
      <c r="X53" s="89"/>
      <c r="Y53" s="85">
        <f>SUM(Y3:Y52)</f>
        <v>6684037.5</v>
      </c>
      <c r="AB53" s="85"/>
      <c r="AC53" s="138"/>
      <c r="AD53" s="85"/>
      <c r="AE53" s="90"/>
      <c r="AF53" s="86"/>
      <c r="AK53" s="86"/>
      <c r="AL53" s="85"/>
      <c r="AM53" s="85"/>
      <c r="AN53" s="87"/>
      <c r="AO53" s="85"/>
      <c r="AP53" s="85"/>
      <c r="AQ53" s="85"/>
      <c r="AR53" s="85"/>
    </row>
    <row r="54" spans="1:44" x14ac:dyDescent="0.2">
      <c r="R54" s="56">
        <f>P53/16</f>
        <v>189.19612901394527</v>
      </c>
      <c r="Y54" s="37" t="s">
        <v>114</v>
      </c>
      <c r="Z54" s="37">
        <v>50</v>
      </c>
    </row>
    <row r="55" spans="1:44" x14ac:dyDescent="0.2">
      <c r="I55" s="37" t="s">
        <v>34</v>
      </c>
      <c r="J55" s="37">
        <v>125</v>
      </c>
      <c r="Y55" s="37" t="s">
        <v>113</v>
      </c>
      <c r="Z55" s="37">
        <v>50</v>
      </c>
    </row>
    <row r="56" spans="1:44" x14ac:dyDescent="0.2">
      <c r="Y56" s="37" t="s">
        <v>111</v>
      </c>
      <c r="Z56" s="37">
        <v>10</v>
      </c>
    </row>
    <row r="57" spans="1:44" x14ac:dyDescent="0.2">
      <c r="Y57" s="37" t="s">
        <v>112</v>
      </c>
      <c r="Z57" s="37">
        <v>16</v>
      </c>
    </row>
  </sheetData>
  <mergeCells count="1">
    <mergeCell ref="S1:T1"/>
  </mergeCells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53"/>
  <sheetViews>
    <sheetView workbookViewId="0">
      <selection activeCell="B26" sqref="B26"/>
    </sheetView>
  </sheetViews>
  <sheetFormatPr defaultRowHeight="12" x14ac:dyDescent="0.2"/>
  <cols>
    <col min="1" max="1" width="11.25" style="1" bestFit="1" customWidth="1"/>
    <col min="2" max="4" width="11.5" style="1" bestFit="1" customWidth="1"/>
    <col min="5" max="5" width="11.875" style="1" bestFit="1" customWidth="1"/>
    <col min="6" max="6" width="12.875" style="1" bestFit="1" customWidth="1"/>
    <col min="7" max="7" width="9.75" style="1" bestFit="1" customWidth="1"/>
    <col min="8" max="8" width="9.875" style="1" bestFit="1" customWidth="1"/>
    <col min="9" max="10" width="10" style="1" bestFit="1" customWidth="1"/>
    <col min="11" max="11" width="11.625" style="1" bestFit="1" customWidth="1"/>
    <col min="12" max="13" width="14.875" style="1" bestFit="1" customWidth="1"/>
    <col min="14" max="14" width="15.875" style="1" bestFit="1" customWidth="1"/>
    <col min="15" max="16" width="11.625" style="1" bestFit="1" customWidth="1"/>
    <col min="17" max="16384" width="9" style="1"/>
  </cols>
  <sheetData>
    <row r="1" spans="1:16" x14ac:dyDescent="0.2">
      <c r="A1" s="1" t="s">
        <v>1</v>
      </c>
      <c r="G1" s="1" t="s">
        <v>2</v>
      </c>
      <c r="L1" s="1" t="s">
        <v>3</v>
      </c>
    </row>
    <row r="2" spans="1:16" x14ac:dyDescent="0.2">
      <c r="A2" s="1" t="s">
        <v>6</v>
      </c>
      <c r="B2" s="1" t="s">
        <v>7</v>
      </c>
      <c r="I2" s="1" t="s">
        <v>17</v>
      </c>
      <c r="J2" s="1">
        <f t="shared" ref="J2:O2" si="0">J3/24</f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>P3/24</f>
        <v>0</v>
      </c>
    </row>
    <row r="3" spans="1:16" x14ac:dyDescent="0.2">
      <c r="A3" s="1" t="s">
        <v>9</v>
      </c>
      <c r="B3" s="1" t="s">
        <v>4</v>
      </c>
      <c r="D3" s="1" t="s">
        <v>15</v>
      </c>
      <c r="E3" s="12">
        <f>E4/60</f>
        <v>1</v>
      </c>
      <c r="F3" s="12">
        <f>F4/60</f>
        <v>2</v>
      </c>
      <c r="G3" s="12">
        <f>G4/60</f>
        <v>0</v>
      </c>
      <c r="H3" s="12">
        <f>H4/60</f>
        <v>0</v>
      </c>
      <c r="I3" s="12">
        <f>I4/60</f>
        <v>0</v>
      </c>
      <c r="J3" s="12">
        <f t="shared" ref="J3:O3" si="1">J4/60</f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>P4/60</f>
        <v>0</v>
      </c>
    </row>
    <row r="4" spans="1:16" x14ac:dyDescent="0.2">
      <c r="A4" s="1" t="s">
        <v>8</v>
      </c>
      <c r="B4" s="1" t="s">
        <v>16</v>
      </c>
      <c r="C4" s="1">
        <f t="shared" ref="C4:P4" si="2">C6/60</f>
        <v>5</v>
      </c>
      <c r="D4" s="1">
        <f t="shared" si="2"/>
        <v>30</v>
      </c>
      <c r="E4" s="1">
        <f t="shared" si="2"/>
        <v>60</v>
      </c>
      <c r="F4" s="1">
        <f t="shared" si="2"/>
        <v>120</v>
      </c>
      <c r="G4" s="1">
        <f t="shared" si="2"/>
        <v>0</v>
      </c>
      <c r="H4" s="1">
        <f t="shared" si="2"/>
        <v>0</v>
      </c>
      <c r="I4" s="1">
        <f t="shared" si="2"/>
        <v>0</v>
      </c>
      <c r="J4" s="1">
        <f t="shared" si="2"/>
        <v>0</v>
      </c>
      <c r="K4" s="1">
        <f t="shared" si="2"/>
        <v>0</v>
      </c>
      <c r="L4" s="1">
        <f t="shared" si="2"/>
        <v>0</v>
      </c>
      <c r="M4" s="1">
        <f t="shared" si="2"/>
        <v>0</v>
      </c>
      <c r="N4" s="1">
        <f t="shared" si="2"/>
        <v>0</v>
      </c>
      <c r="O4" s="1">
        <f t="shared" si="2"/>
        <v>0</v>
      </c>
      <c r="P4" s="1">
        <f t="shared" si="2"/>
        <v>0</v>
      </c>
    </row>
    <row r="5" spans="1:16" x14ac:dyDescent="0.2">
      <c r="A5" s="25" t="s">
        <v>27</v>
      </c>
      <c r="B5" s="1">
        <v>1</v>
      </c>
      <c r="C5" s="1">
        <v>2</v>
      </c>
      <c r="D5" s="1">
        <v>3</v>
      </c>
      <c r="E5" s="1">
        <v>4</v>
      </c>
      <c r="F5" s="1">
        <v>5</v>
      </c>
    </row>
    <row r="6" spans="1:16" x14ac:dyDescent="0.2">
      <c r="A6" s="1">
        <v>1</v>
      </c>
      <c r="B6" s="19">
        <v>10</v>
      </c>
      <c r="C6" s="20">
        <v>300</v>
      </c>
      <c r="D6" s="20">
        <v>1800</v>
      </c>
      <c r="E6" s="20">
        <v>3600</v>
      </c>
      <c r="F6" s="20">
        <v>7200</v>
      </c>
      <c r="G6" s="19"/>
      <c r="H6" s="20"/>
      <c r="I6" s="20"/>
      <c r="J6" s="20"/>
      <c r="K6" s="20"/>
      <c r="L6" s="19"/>
      <c r="M6" s="20"/>
      <c r="N6" s="20"/>
      <c r="O6" s="20"/>
      <c r="P6" s="20"/>
    </row>
    <row r="7" spans="1:16" x14ac:dyDescent="0.2">
      <c r="A7" s="1">
        <v>2</v>
      </c>
      <c r="B7" s="20">
        <f>B6*3</f>
        <v>30</v>
      </c>
      <c r="C7" s="20">
        <f t="shared" ref="C7:D10" si="3">C6+300</f>
        <v>600</v>
      </c>
      <c r="D7" s="20">
        <f t="shared" si="3"/>
        <v>2100</v>
      </c>
      <c r="E7" s="20">
        <f t="shared" ref="E7:F10" si="4">E6+300</f>
        <v>3900</v>
      </c>
      <c r="F7" s="20">
        <f t="shared" si="4"/>
        <v>7500</v>
      </c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2">
      <c r="A8" s="1">
        <v>3</v>
      </c>
      <c r="B8" s="20">
        <v>60</v>
      </c>
      <c r="C8" s="20">
        <f t="shared" si="3"/>
        <v>900</v>
      </c>
      <c r="D8" s="20">
        <f t="shared" si="3"/>
        <v>2400</v>
      </c>
      <c r="E8" s="20">
        <f t="shared" si="4"/>
        <v>4200</v>
      </c>
      <c r="F8" s="20">
        <f t="shared" si="4"/>
        <v>7800</v>
      </c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2">
      <c r="A9" s="1">
        <v>4</v>
      </c>
      <c r="B9" s="20">
        <v>120</v>
      </c>
      <c r="C9" s="20">
        <f t="shared" si="3"/>
        <v>1200</v>
      </c>
      <c r="D9" s="20">
        <f t="shared" si="3"/>
        <v>2700</v>
      </c>
      <c r="E9" s="20">
        <f t="shared" si="4"/>
        <v>4500</v>
      </c>
      <c r="F9" s="20">
        <f t="shared" si="4"/>
        <v>8100</v>
      </c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2">
      <c r="A10" s="1">
        <v>5</v>
      </c>
      <c r="B10" s="20">
        <v>250</v>
      </c>
      <c r="C10" s="20">
        <f t="shared" si="3"/>
        <v>1500</v>
      </c>
      <c r="D10" s="20">
        <f t="shared" si="3"/>
        <v>3000</v>
      </c>
      <c r="E10" s="20">
        <f t="shared" si="4"/>
        <v>4800</v>
      </c>
      <c r="F10" s="20">
        <f t="shared" si="4"/>
        <v>8400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x14ac:dyDescent="0.2">
      <c r="A11" s="1" t="s">
        <v>1</v>
      </c>
      <c r="G11" s="1" t="s">
        <v>2</v>
      </c>
      <c r="L11" s="1" t="s">
        <v>3</v>
      </c>
      <c r="M11" s="13" t="s">
        <v>18</v>
      </c>
      <c r="N11" s="13" t="s">
        <v>19</v>
      </c>
      <c r="O11" s="13" t="s">
        <v>15</v>
      </c>
      <c r="P11" s="13" t="s">
        <v>20</v>
      </c>
    </row>
    <row r="12" spans="1:16" x14ac:dyDescent="0.2">
      <c r="A12" s="1" t="s">
        <v>6</v>
      </c>
      <c r="B12" s="1" t="s">
        <v>7</v>
      </c>
      <c r="M12" s="1">
        <f>SUM(B6:P10)</f>
        <v>76970</v>
      </c>
      <c r="N12" s="14">
        <f>M12/60</f>
        <v>1282.8333333333333</v>
      </c>
      <c r="O12" s="14">
        <f>N12/60</f>
        <v>21.380555555555553</v>
      </c>
      <c r="P12" s="14">
        <f>O12/24</f>
        <v>0.89085648148148133</v>
      </c>
    </row>
    <row r="13" spans="1:16" x14ac:dyDescent="0.2">
      <c r="A13" s="1" t="s">
        <v>9</v>
      </c>
      <c r="B13" s="1" t="s">
        <v>10</v>
      </c>
    </row>
    <row r="14" spans="1:16" x14ac:dyDescent="0.2">
      <c r="A14" s="1" t="s">
        <v>8</v>
      </c>
    </row>
    <row r="15" spans="1:16" x14ac:dyDescent="0.2">
      <c r="A15" s="1" t="s">
        <v>28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</row>
    <row r="16" spans="1:16" x14ac:dyDescent="0.2">
      <c r="A16" s="1">
        <v>1</v>
      </c>
      <c r="B16" s="19">
        <v>100</v>
      </c>
      <c r="C16" s="20">
        <f>B16*50</f>
        <v>5000</v>
      </c>
      <c r="D16" s="20">
        <f>C16*10</f>
        <v>50000</v>
      </c>
      <c r="E16" s="20">
        <f>D16*5</f>
        <v>250000</v>
      </c>
      <c r="F16" s="20">
        <f>E16*4</f>
        <v>1000000</v>
      </c>
      <c r="G16" s="19"/>
      <c r="H16" s="20"/>
      <c r="I16" s="20"/>
      <c r="J16" s="20"/>
      <c r="K16" s="20"/>
      <c r="L16" s="20"/>
      <c r="M16" s="20"/>
      <c r="N16" s="20"/>
      <c r="O16" s="20"/>
      <c r="P16" s="20"/>
    </row>
    <row r="17" spans="1:16" x14ac:dyDescent="0.2">
      <c r="A17" s="1">
        <v>2</v>
      </c>
      <c r="B17" s="20">
        <f>ROUNDUP(B16*1.2,-3)</f>
        <v>1000</v>
      </c>
      <c r="C17" s="20">
        <f>C16+18000</f>
        <v>23000</v>
      </c>
      <c r="D17" s="20">
        <f>D16+50000</f>
        <v>100000</v>
      </c>
      <c r="E17" s="20">
        <f>E16+140000</f>
        <v>390000</v>
      </c>
      <c r="F17" s="20">
        <f>F16+850000</f>
        <v>1850000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 x14ac:dyDescent="0.2">
      <c r="A18" s="1">
        <v>3</v>
      </c>
      <c r="B18" s="20">
        <f>ROUNDUP(B17*1.2,-3)</f>
        <v>2000</v>
      </c>
      <c r="C18" s="20">
        <f>C17+18000</f>
        <v>41000</v>
      </c>
      <c r="D18" s="20">
        <f>D17+50000</f>
        <v>150000</v>
      </c>
      <c r="E18" s="20">
        <f>E17+140000</f>
        <v>530000</v>
      </c>
      <c r="F18" s="20">
        <f>F17+850000</f>
        <v>2700000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x14ac:dyDescent="0.2">
      <c r="A19" s="1">
        <v>4</v>
      </c>
      <c r="B19" s="20">
        <f>ROUNDUP(B18*1.2,-3)</f>
        <v>3000</v>
      </c>
      <c r="C19" s="20">
        <f>C18+18000</f>
        <v>59000</v>
      </c>
      <c r="D19" s="20">
        <f>D18+50000</f>
        <v>200000</v>
      </c>
      <c r="E19" s="20">
        <f>E18+140000</f>
        <v>670000</v>
      </c>
      <c r="F19" s="20">
        <f>F18+850000</f>
        <v>3550000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 x14ac:dyDescent="0.2">
      <c r="A20" s="1">
        <v>5</v>
      </c>
      <c r="B20" s="20">
        <f>ROUNDUP(B19*1.2,-3)</f>
        <v>4000</v>
      </c>
      <c r="C20" s="20">
        <f>C19+18000</f>
        <v>77000</v>
      </c>
      <c r="D20" s="20">
        <f>D19+50000</f>
        <v>250000</v>
      </c>
      <c r="E20" s="20">
        <f>E19+140000</f>
        <v>810000</v>
      </c>
      <c r="F20" s="20">
        <f>F19+850000</f>
        <v>4400000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x14ac:dyDescent="0.2">
      <c r="A21" s="1" t="s">
        <v>14</v>
      </c>
      <c r="B21" s="8"/>
      <c r="C21" s="9"/>
      <c r="D21" s="9"/>
      <c r="E21" s="9"/>
      <c r="F21" s="10"/>
      <c r="G21" s="8"/>
      <c r="H21" s="9"/>
      <c r="I21" s="9"/>
      <c r="J21" s="9"/>
      <c r="K21" s="10"/>
      <c r="L21" s="11"/>
      <c r="M21" s="11"/>
      <c r="N21" s="11"/>
      <c r="O21" s="11"/>
      <c r="P21" s="11"/>
    </row>
    <row r="22" spans="1:16" ht="10.5" customHeight="1" x14ac:dyDescent="0.2">
      <c r="A22" s="3" t="s">
        <v>11</v>
      </c>
      <c r="B22" s="259"/>
      <c r="C22" s="260"/>
      <c r="D22" s="260"/>
      <c r="E22" s="260"/>
      <c r="F22" s="261"/>
      <c r="G22" s="259"/>
      <c r="H22" s="260"/>
      <c r="I22" s="260"/>
      <c r="J22" s="260"/>
      <c r="K22" s="261"/>
    </row>
    <row r="23" spans="1:16" ht="10.5" customHeight="1" x14ac:dyDescent="0.2">
      <c r="A23" s="4" t="s">
        <v>5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1</v>
      </c>
      <c r="H23" s="5">
        <v>2</v>
      </c>
      <c r="I23" s="5">
        <v>3</v>
      </c>
      <c r="J23" s="5">
        <v>4</v>
      </c>
      <c r="K23" s="5">
        <v>5</v>
      </c>
    </row>
    <row r="24" spans="1:16" x14ac:dyDescent="0.2">
      <c r="A24" s="1" t="s">
        <v>29</v>
      </c>
      <c r="B24" s="19">
        <v>900</v>
      </c>
      <c r="C24" s="20">
        <f t="shared" ref="C24:F26" si="5">ROUNDDOWN(B24*1.7,-2)</f>
        <v>1500</v>
      </c>
      <c r="D24" s="20">
        <f t="shared" si="5"/>
        <v>2500</v>
      </c>
      <c r="E24" s="20">
        <f t="shared" si="5"/>
        <v>4200</v>
      </c>
      <c r="F24" s="20">
        <f t="shared" si="5"/>
        <v>7100</v>
      </c>
      <c r="G24" s="19">
        <f>B24*0.9</f>
        <v>810</v>
      </c>
      <c r="H24" s="20">
        <f t="shared" ref="H24:K26" si="6">ROUNDDOWN(G24*1.7,-2)</f>
        <v>1300</v>
      </c>
      <c r="I24" s="20">
        <f t="shared" si="6"/>
        <v>2200</v>
      </c>
      <c r="J24" s="20">
        <f t="shared" si="6"/>
        <v>3700</v>
      </c>
      <c r="K24" s="20">
        <f t="shared" si="6"/>
        <v>6200</v>
      </c>
      <c r="L24" s="17">
        <f>SUM(B24:F24)</f>
        <v>16200</v>
      </c>
      <c r="M24" s="17">
        <f>SUM(G24:K24)</f>
        <v>14210</v>
      </c>
      <c r="N24" s="18">
        <f>L24+M24</f>
        <v>30410</v>
      </c>
    </row>
    <row r="25" spans="1:16" x14ac:dyDescent="0.2">
      <c r="A25" s="1" t="s">
        <v>30</v>
      </c>
      <c r="B25" s="20">
        <f>F24*1.5</f>
        <v>10650</v>
      </c>
      <c r="C25" s="20">
        <f t="shared" si="5"/>
        <v>18100</v>
      </c>
      <c r="D25" s="20">
        <f t="shared" si="5"/>
        <v>30700</v>
      </c>
      <c r="E25" s="20">
        <f t="shared" si="5"/>
        <v>52100</v>
      </c>
      <c r="F25" s="20">
        <f t="shared" si="5"/>
        <v>88500</v>
      </c>
      <c r="G25" s="20">
        <f>B25*1.2</f>
        <v>12780</v>
      </c>
      <c r="H25" s="20">
        <f t="shared" si="6"/>
        <v>21700</v>
      </c>
      <c r="I25" s="20">
        <f t="shared" si="6"/>
        <v>36800</v>
      </c>
      <c r="J25" s="20">
        <f t="shared" si="6"/>
        <v>62500</v>
      </c>
      <c r="K25" s="20">
        <f t="shared" si="6"/>
        <v>106200</v>
      </c>
      <c r="L25" s="17">
        <f>SUM(B25:F25)</f>
        <v>200050</v>
      </c>
      <c r="M25" s="17">
        <f>SUM(G25:K25)</f>
        <v>239980</v>
      </c>
      <c r="N25" s="18">
        <f>L25+M25</f>
        <v>440030</v>
      </c>
    </row>
    <row r="26" spans="1:16" x14ac:dyDescent="0.2">
      <c r="A26" s="1" t="s">
        <v>31</v>
      </c>
      <c r="B26" s="20">
        <f>D25/10</f>
        <v>3070</v>
      </c>
      <c r="C26" s="20">
        <f t="shared" si="5"/>
        <v>5200</v>
      </c>
      <c r="D26" s="20">
        <f t="shared" si="5"/>
        <v>8800</v>
      </c>
      <c r="E26" s="20">
        <f t="shared" si="5"/>
        <v>14900</v>
      </c>
      <c r="F26" s="20">
        <f t="shared" si="5"/>
        <v>25300</v>
      </c>
      <c r="G26" s="20">
        <v>0</v>
      </c>
      <c r="H26" s="20">
        <f t="shared" si="6"/>
        <v>0</v>
      </c>
      <c r="I26" s="20">
        <f t="shared" si="6"/>
        <v>0</v>
      </c>
      <c r="J26" s="20">
        <f t="shared" si="6"/>
        <v>0</v>
      </c>
      <c r="K26" s="20">
        <f t="shared" si="6"/>
        <v>0</v>
      </c>
      <c r="L26" s="17">
        <f>SUM(B26:F26)</f>
        <v>57270</v>
      </c>
      <c r="M26" s="17">
        <f>SUM(G26:K26)</f>
        <v>0</v>
      </c>
      <c r="N26" s="18">
        <f>L26+M26</f>
        <v>57270</v>
      </c>
    </row>
    <row r="27" spans="1:16" x14ac:dyDescent="0.2">
      <c r="A27" s="1" t="s">
        <v>32</v>
      </c>
      <c r="B27" s="20">
        <f>ROUNDDOWN(B26*2.7,-2)</f>
        <v>8200</v>
      </c>
      <c r="C27" s="20">
        <f>ROUNDDOWN(B27*1.68,-2)</f>
        <v>13700</v>
      </c>
      <c r="D27" s="20">
        <f>ROUNDDOWN(C27*1.68,-2)</f>
        <v>23000</v>
      </c>
      <c r="E27" s="20">
        <f>ROUNDDOWN(D27*1.68,-2)</f>
        <v>38600</v>
      </c>
      <c r="F27" s="20">
        <f>ROUNDDOWN(E27*1.68,-2)</f>
        <v>64800</v>
      </c>
      <c r="G27" s="20">
        <v>0</v>
      </c>
      <c r="H27" s="20">
        <f>ROUNDDOWN(G27*1.68,-2)</f>
        <v>0</v>
      </c>
      <c r="I27" s="20">
        <f>ROUNDDOWN(H27*1.68,-2)</f>
        <v>0</v>
      </c>
      <c r="J27" s="20">
        <f>ROUNDDOWN(I27*1.68,-2)</f>
        <v>0</v>
      </c>
      <c r="K27" s="20">
        <f>ROUNDDOWN(J27*1.68,-2)</f>
        <v>0</v>
      </c>
      <c r="L27" s="17">
        <f>SUM(B27:F27)</f>
        <v>148300</v>
      </c>
      <c r="M27" s="17">
        <f>SUM(G27:K27)</f>
        <v>0</v>
      </c>
      <c r="N27" s="18">
        <f>L27+M27</f>
        <v>148300</v>
      </c>
    </row>
    <row r="28" spans="1:16" x14ac:dyDescent="0.2">
      <c r="A28" s="1" t="s">
        <v>33</v>
      </c>
      <c r="B28" s="20">
        <f>ROUNDDOWN(B27*3.7,-2)</f>
        <v>30300</v>
      </c>
      <c r="C28" s="20">
        <f>ROUNDDOWN(B28*1.3,-2)</f>
        <v>39300</v>
      </c>
      <c r="D28" s="20">
        <f>ROUNDDOWN(C28*1.3,-2)</f>
        <v>51000</v>
      </c>
      <c r="E28" s="20">
        <f>ROUNDDOWN(D28*1.3,-2)</f>
        <v>66300</v>
      </c>
      <c r="F28" s="20">
        <f>ROUNDDOWN(E28*1.3,-2)</f>
        <v>86100</v>
      </c>
      <c r="G28" s="20">
        <v>0</v>
      </c>
      <c r="H28" s="20">
        <f>ROUNDDOWN(G28*1.3,-2)</f>
        <v>0</v>
      </c>
      <c r="I28" s="20">
        <f>ROUNDDOWN(H28*1.3,-2)</f>
        <v>0</v>
      </c>
      <c r="J28" s="20">
        <f>ROUNDDOWN(I28*1.3,-2)</f>
        <v>0</v>
      </c>
      <c r="K28" s="20">
        <f>ROUNDDOWN(J28*1.3,-2)</f>
        <v>0</v>
      </c>
      <c r="L28" s="17">
        <f>SUM(B28:F28)</f>
        <v>273000</v>
      </c>
      <c r="M28" s="17">
        <f>SUM(G28:K28)</f>
        <v>0</v>
      </c>
      <c r="N28" s="18">
        <f>L28+M28</f>
        <v>273000</v>
      </c>
    </row>
    <row r="29" spans="1:16" x14ac:dyDescent="0.2">
      <c r="A29" s="3" t="s">
        <v>12</v>
      </c>
      <c r="B29" s="259"/>
      <c r="C29" s="260"/>
      <c r="D29" s="260"/>
      <c r="E29" s="260"/>
      <c r="F29" s="261"/>
      <c r="G29" s="259"/>
      <c r="H29" s="260"/>
      <c r="I29" s="260"/>
      <c r="J29" s="260"/>
      <c r="K29" s="261"/>
      <c r="L29" s="17"/>
      <c r="M29" s="17"/>
      <c r="N29" s="17"/>
    </row>
    <row r="30" spans="1:16" x14ac:dyDescent="0.2">
      <c r="A30" s="4" t="s">
        <v>0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1</v>
      </c>
      <c r="H30" s="5">
        <v>2</v>
      </c>
      <c r="I30" s="5">
        <v>3</v>
      </c>
      <c r="J30" s="5">
        <v>4</v>
      </c>
      <c r="K30" s="5">
        <v>5</v>
      </c>
      <c r="L30" s="17"/>
      <c r="M30" s="17"/>
      <c r="N30" s="17"/>
    </row>
    <row r="31" spans="1:16" x14ac:dyDescent="0.2">
      <c r="A31" s="1" t="s">
        <v>29</v>
      </c>
      <c r="B31" s="19">
        <f>(B26)*0.2</f>
        <v>614</v>
      </c>
      <c r="C31" s="20">
        <f>ROUNDDOWN(B31*1.4,-2)</f>
        <v>800</v>
      </c>
      <c r="D31" s="20">
        <f>ROUNDDOWN(C31*1.4,-2)</f>
        <v>1100</v>
      </c>
      <c r="E31" s="20">
        <f>ROUNDDOWN(D31*1.4,-2)</f>
        <v>1500</v>
      </c>
      <c r="F31" s="20">
        <f>ROUNDDOWN(E31*1.4,-2)</f>
        <v>2100</v>
      </c>
      <c r="G31" s="19">
        <v>0</v>
      </c>
      <c r="H31" s="20">
        <v>0</v>
      </c>
      <c r="I31" s="20">
        <v>0</v>
      </c>
      <c r="J31" s="20">
        <v>0</v>
      </c>
      <c r="K31" s="20">
        <v>0</v>
      </c>
      <c r="L31" s="17">
        <f>SUM(B31:F31) * 2</f>
        <v>12228</v>
      </c>
      <c r="M31" s="17">
        <f>SUM(G31:K31)*3</f>
        <v>0</v>
      </c>
      <c r="N31" s="17">
        <f>L31+M31</f>
        <v>12228</v>
      </c>
      <c r="O31" s="2"/>
      <c r="P31" s="2"/>
    </row>
    <row r="32" spans="1:16" x14ac:dyDescent="0.2">
      <c r="A32" s="1" t="s">
        <v>30</v>
      </c>
      <c r="B32" s="20">
        <f>(B27/2)*1.3</f>
        <v>5330</v>
      </c>
      <c r="C32" s="20">
        <f>ROUNDDOWN(B32*1.55,-2)</f>
        <v>8200</v>
      </c>
      <c r="D32" s="20">
        <f>ROUNDDOWN(C32*1.55,-2)</f>
        <v>12700</v>
      </c>
      <c r="E32" s="20">
        <f>ROUNDDOWN(D32*1.55,-2)</f>
        <v>19600</v>
      </c>
      <c r="F32" s="20">
        <f>ROUNDDOWN(E32*1.55,-2)</f>
        <v>30300</v>
      </c>
      <c r="G32" s="20">
        <f>(G27/3)*1.2</f>
        <v>0</v>
      </c>
      <c r="H32" s="20">
        <f>ROUNDDOWN(G32*1.6,-2)</f>
        <v>0</v>
      </c>
      <c r="I32" s="20">
        <f>ROUNDDOWN(H32*1.6,-2)</f>
        <v>0</v>
      </c>
      <c r="J32" s="20">
        <f>ROUNDDOWN(I32*1.6,-2)</f>
        <v>0</v>
      </c>
      <c r="K32" s="20">
        <f>ROUNDDOWN(J32*1.6,-2)</f>
        <v>0</v>
      </c>
      <c r="L32" s="17">
        <f>SUM(B32:F32) * 2</f>
        <v>152260</v>
      </c>
      <c r="M32" s="17">
        <f>SUM(G32:K32)*3</f>
        <v>0</v>
      </c>
      <c r="N32" s="17">
        <f>L32+M32</f>
        <v>152260</v>
      </c>
      <c r="O32" s="2"/>
      <c r="P32" s="2"/>
    </row>
    <row r="33" spans="1:16" x14ac:dyDescent="0.2">
      <c r="A33" s="1" t="s">
        <v>31</v>
      </c>
      <c r="B33" s="20">
        <f>(B28/2)*1.2</f>
        <v>18180</v>
      </c>
      <c r="C33" s="20">
        <f>ROUNDDOWN(B33*1.25,-2)</f>
        <v>22700</v>
      </c>
      <c r="D33" s="20">
        <f>ROUNDDOWN(C33*1.25,-2)</f>
        <v>28300</v>
      </c>
      <c r="E33" s="20">
        <f>ROUNDDOWN(D33*1.25,-2)</f>
        <v>35300</v>
      </c>
      <c r="F33" s="20">
        <f>ROUNDDOWN(E33*1.25,-2)</f>
        <v>44100</v>
      </c>
      <c r="G33" s="20">
        <f>(G28/3)*1.2</f>
        <v>0</v>
      </c>
      <c r="H33" s="20">
        <f t="shared" ref="H33:K34" si="7">ROUNDDOWN(G33*1.2,-2)</f>
        <v>0</v>
      </c>
      <c r="I33" s="20">
        <f t="shared" si="7"/>
        <v>0</v>
      </c>
      <c r="J33" s="20">
        <f t="shared" si="7"/>
        <v>0</v>
      </c>
      <c r="K33" s="20">
        <f t="shared" si="7"/>
        <v>0</v>
      </c>
      <c r="L33" s="17">
        <f>SUM(B33:F33) * 2</f>
        <v>297160</v>
      </c>
      <c r="M33" s="17">
        <f>SUM(G33:K33)*3</f>
        <v>0</v>
      </c>
      <c r="N33" s="17">
        <f>L33+M33</f>
        <v>297160</v>
      </c>
      <c r="O33" s="2"/>
      <c r="P33" s="2"/>
    </row>
    <row r="34" spans="1:16" x14ac:dyDescent="0.2">
      <c r="A34" s="1" t="s">
        <v>32</v>
      </c>
      <c r="B34" s="20">
        <f>ROUNDDOWN(B33*1.7,-2)</f>
        <v>30900</v>
      </c>
      <c r="C34" s="20">
        <f>ROUNDDOWN(B34*1.1,-2)</f>
        <v>33900</v>
      </c>
      <c r="D34" s="20">
        <f>ROUNDDOWN(C34*1.1,-2)</f>
        <v>37200</v>
      </c>
      <c r="E34" s="20">
        <f>ROUNDDOWN(D34*1.1,-2)</f>
        <v>40900</v>
      </c>
      <c r="F34" s="20">
        <f>ROUNDDOWN(E34*1.1,-2)</f>
        <v>44900</v>
      </c>
      <c r="G34" s="20">
        <f>ROUNDDOWN(G33*1.7,-2)</f>
        <v>0</v>
      </c>
      <c r="H34" s="20">
        <f t="shared" si="7"/>
        <v>0</v>
      </c>
      <c r="I34" s="20">
        <f t="shared" si="7"/>
        <v>0</v>
      </c>
      <c r="J34" s="20">
        <f t="shared" si="7"/>
        <v>0</v>
      </c>
      <c r="K34" s="20">
        <f t="shared" si="7"/>
        <v>0</v>
      </c>
      <c r="L34" s="17">
        <f>SUM(B34:F34) * 2</f>
        <v>375600</v>
      </c>
      <c r="M34" s="17">
        <f>SUM(G34:K34)*3</f>
        <v>0</v>
      </c>
      <c r="N34" s="17">
        <f>L34+M34</f>
        <v>375600</v>
      </c>
      <c r="O34" s="2"/>
      <c r="P34" s="2"/>
    </row>
    <row r="35" spans="1:16" x14ac:dyDescent="0.2">
      <c r="A35" s="1" t="s">
        <v>33</v>
      </c>
      <c r="B35" s="20">
        <f>ROUNDDOWN(B34*1.7,-2)</f>
        <v>52500</v>
      </c>
      <c r="C35" s="20">
        <f>ROUNDDOWN(B35*1.2,-2)</f>
        <v>63000</v>
      </c>
      <c r="D35" s="20">
        <f>ROUNDDOWN(C35*1.2,-2)</f>
        <v>75600</v>
      </c>
      <c r="E35" s="20">
        <f>ROUNDDOWN(D35*1.2,-2)</f>
        <v>90700</v>
      </c>
      <c r="F35" s="20">
        <f>ROUNDDOWN(E35*1.2,-2)</f>
        <v>108800</v>
      </c>
      <c r="G35" s="20">
        <f>ROUNDDOWN(G34*1.7,-2)</f>
        <v>0</v>
      </c>
      <c r="H35" s="20">
        <f>ROUNDDOWN(G35*1.1,-2)</f>
        <v>0</v>
      </c>
      <c r="I35" s="20">
        <f>ROUNDDOWN(H35*1.1,-2)</f>
        <v>0</v>
      </c>
      <c r="J35" s="20">
        <f>ROUNDDOWN(I35*1.1,-2)</f>
        <v>0</v>
      </c>
      <c r="K35" s="20">
        <f>ROUNDDOWN(J35*1.1,-2)</f>
        <v>0</v>
      </c>
      <c r="L35" s="17">
        <f>SUM(B35:F35) * 2</f>
        <v>781200</v>
      </c>
      <c r="M35" s="17">
        <f>SUM(G35:K35)*3</f>
        <v>0</v>
      </c>
      <c r="N35" s="17">
        <f>L35+M35</f>
        <v>781200</v>
      </c>
      <c r="O35" s="2"/>
      <c r="P35" s="2"/>
    </row>
    <row r="36" spans="1:16" s="7" customFormat="1" x14ac:dyDescent="0.3">
      <c r="A36" s="3" t="s">
        <v>13</v>
      </c>
      <c r="B36" s="259"/>
      <c r="C36" s="260"/>
      <c r="D36" s="260"/>
      <c r="E36" s="260"/>
      <c r="F36" s="261"/>
      <c r="G36" s="259"/>
      <c r="H36" s="260"/>
      <c r="I36" s="260"/>
      <c r="J36" s="260"/>
      <c r="K36" s="261"/>
      <c r="L36" s="6"/>
    </row>
    <row r="37" spans="1:16" s="7" customFormat="1" x14ac:dyDescent="0.3">
      <c r="A37" s="4" t="s">
        <v>0</v>
      </c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>
        <v>1</v>
      </c>
      <c r="H37" s="5">
        <v>2</v>
      </c>
      <c r="I37" s="5">
        <v>3</v>
      </c>
      <c r="J37" s="5">
        <v>4</v>
      </c>
      <c r="K37" s="5">
        <v>5</v>
      </c>
      <c r="L37" s="6"/>
    </row>
    <row r="38" spans="1:16" x14ac:dyDescent="0.2">
      <c r="A38" s="1" t="s">
        <v>29</v>
      </c>
      <c r="B38" s="19">
        <f>(B35*0.6667)*0.7</f>
        <v>24501.224999999999</v>
      </c>
      <c r="C38" s="20">
        <f>ROUNDDOWN(B38*1.2,-2)</f>
        <v>29400</v>
      </c>
      <c r="D38" s="20">
        <f>ROUNDDOWN(C38*1.2,-2)</f>
        <v>35200</v>
      </c>
      <c r="E38" s="20">
        <f>ROUNDDOWN(D38*1.2,-2)</f>
        <v>42200</v>
      </c>
      <c r="F38" s="20">
        <f>ROUNDDOWN(E38*1.2,-2)</f>
        <v>50600</v>
      </c>
      <c r="G38" s="19">
        <f>(G35*0.6)*0.7</f>
        <v>0</v>
      </c>
      <c r="H38" s="20">
        <f>ROUNDDOWN(G38*1.1,-2)</f>
        <v>0</v>
      </c>
      <c r="I38" s="20">
        <f>ROUNDDOWN(H38*1.1,-2)</f>
        <v>0</v>
      </c>
      <c r="J38" s="20">
        <f>ROUNDDOWN(I38*1.1,-2)</f>
        <v>0</v>
      </c>
      <c r="K38" s="20">
        <f>ROUNDDOWN(J38*1.1,-2)</f>
        <v>0</v>
      </c>
      <c r="L38" s="24">
        <f>SUM(B38:F38) * 3</f>
        <v>545703.67500000005</v>
      </c>
      <c r="M38" s="24">
        <f>SUM(G38:K38)*5</f>
        <v>0</v>
      </c>
      <c r="N38" s="24">
        <f>L38+M38</f>
        <v>545703.67500000005</v>
      </c>
    </row>
    <row r="39" spans="1:16" x14ac:dyDescent="0.2">
      <c r="A39" s="1" t="s">
        <v>30</v>
      </c>
      <c r="B39" s="20">
        <f>ROUNDDOWN(B38*1.7,-2)</f>
        <v>41600</v>
      </c>
      <c r="C39" s="20">
        <f t="shared" ref="C39:K42" si="8">ROUNDDOWN(C38*1.5,-2)</f>
        <v>44100</v>
      </c>
      <c r="D39" s="20">
        <f t="shared" si="8"/>
        <v>52800</v>
      </c>
      <c r="E39" s="20">
        <f t="shared" si="8"/>
        <v>63300</v>
      </c>
      <c r="F39" s="20">
        <f t="shared" si="8"/>
        <v>75900</v>
      </c>
      <c r="G39" s="20">
        <f t="shared" si="8"/>
        <v>0</v>
      </c>
      <c r="H39" s="20">
        <f t="shared" si="8"/>
        <v>0</v>
      </c>
      <c r="I39" s="20">
        <f t="shared" si="8"/>
        <v>0</v>
      </c>
      <c r="J39" s="20">
        <f t="shared" si="8"/>
        <v>0</v>
      </c>
      <c r="K39" s="20">
        <f t="shared" si="8"/>
        <v>0</v>
      </c>
      <c r="L39" s="24">
        <f>SUM(B39:F39) * 3</f>
        <v>833100</v>
      </c>
      <c r="M39" s="24">
        <f>SUM(G39:K39)*5</f>
        <v>0</v>
      </c>
      <c r="N39" s="24">
        <f>L39+M39</f>
        <v>833100</v>
      </c>
    </row>
    <row r="40" spans="1:16" x14ac:dyDescent="0.2">
      <c r="A40" s="1" t="s">
        <v>31</v>
      </c>
      <c r="B40" s="20">
        <f>ROUNDDOWN(B39*1.7,-2)</f>
        <v>70700</v>
      </c>
      <c r="C40" s="20">
        <f t="shared" si="8"/>
        <v>66100</v>
      </c>
      <c r="D40" s="20">
        <f t="shared" si="8"/>
        <v>79200</v>
      </c>
      <c r="E40" s="20">
        <f t="shared" si="8"/>
        <v>94900</v>
      </c>
      <c r="F40" s="20">
        <f t="shared" si="8"/>
        <v>113800</v>
      </c>
      <c r="G40" s="20">
        <f t="shared" si="8"/>
        <v>0</v>
      </c>
      <c r="H40" s="20">
        <f t="shared" si="8"/>
        <v>0</v>
      </c>
      <c r="I40" s="20">
        <f t="shared" si="8"/>
        <v>0</v>
      </c>
      <c r="J40" s="20">
        <f t="shared" si="8"/>
        <v>0</v>
      </c>
      <c r="K40" s="20">
        <f t="shared" si="8"/>
        <v>0</v>
      </c>
      <c r="L40" s="24">
        <f>SUM(B40:F40) * 3</f>
        <v>1274100</v>
      </c>
      <c r="M40" s="24">
        <f>SUM(G40:K40)*5</f>
        <v>0</v>
      </c>
      <c r="N40" s="24">
        <f>L40+M40</f>
        <v>1274100</v>
      </c>
    </row>
    <row r="41" spans="1:16" x14ac:dyDescent="0.2">
      <c r="A41" s="1" t="s">
        <v>32</v>
      </c>
      <c r="B41" s="20">
        <f>ROUNDDOWN(B40*1.7,-2)</f>
        <v>120100</v>
      </c>
      <c r="C41" s="20">
        <f t="shared" si="8"/>
        <v>99100</v>
      </c>
      <c r="D41" s="20">
        <f t="shared" si="8"/>
        <v>118800</v>
      </c>
      <c r="E41" s="20">
        <f t="shared" si="8"/>
        <v>142300</v>
      </c>
      <c r="F41" s="20">
        <f t="shared" si="8"/>
        <v>170700</v>
      </c>
      <c r="G41" s="20">
        <f t="shared" si="8"/>
        <v>0</v>
      </c>
      <c r="H41" s="20">
        <f t="shared" si="8"/>
        <v>0</v>
      </c>
      <c r="I41" s="20">
        <f t="shared" si="8"/>
        <v>0</v>
      </c>
      <c r="J41" s="20">
        <f t="shared" si="8"/>
        <v>0</v>
      </c>
      <c r="K41" s="20">
        <f t="shared" si="8"/>
        <v>0</v>
      </c>
      <c r="L41" s="24">
        <f>SUM(B41:F41) * 3</f>
        <v>1953000</v>
      </c>
      <c r="M41" s="24">
        <f>SUM(G41:K41)*5</f>
        <v>0</v>
      </c>
      <c r="N41" s="24">
        <f>L41+M41</f>
        <v>1953000</v>
      </c>
    </row>
    <row r="42" spans="1:16" x14ac:dyDescent="0.2">
      <c r="A42" s="1" t="s">
        <v>33</v>
      </c>
      <c r="B42" s="20">
        <f>ROUNDDOWN(B41*1.7,-2)</f>
        <v>204100</v>
      </c>
      <c r="C42" s="20">
        <f t="shared" si="8"/>
        <v>148600</v>
      </c>
      <c r="D42" s="20">
        <f t="shared" si="8"/>
        <v>178200</v>
      </c>
      <c r="E42" s="20">
        <f t="shared" si="8"/>
        <v>213400</v>
      </c>
      <c r="F42" s="20">
        <f t="shared" si="8"/>
        <v>256000</v>
      </c>
      <c r="G42" s="20">
        <f t="shared" si="8"/>
        <v>0</v>
      </c>
      <c r="H42" s="20">
        <f t="shared" si="8"/>
        <v>0</v>
      </c>
      <c r="I42" s="20">
        <f t="shared" si="8"/>
        <v>0</v>
      </c>
      <c r="J42" s="20">
        <f t="shared" si="8"/>
        <v>0</v>
      </c>
      <c r="K42" s="20">
        <f t="shared" si="8"/>
        <v>0</v>
      </c>
      <c r="L42" s="24">
        <f>SUM(B42:F42) * 3</f>
        <v>3000900</v>
      </c>
      <c r="M42" s="24">
        <f>SUM(G42:K42)*5</f>
        <v>0</v>
      </c>
      <c r="N42" s="24">
        <f>L42+M42</f>
        <v>3000900</v>
      </c>
    </row>
    <row r="44" spans="1:16" x14ac:dyDescent="0.2">
      <c r="A44" s="1" t="s">
        <v>21</v>
      </c>
      <c r="B44" s="17">
        <v>10</v>
      </c>
      <c r="C44" s="17">
        <v>300</v>
      </c>
      <c r="D44" s="17">
        <v>1800</v>
      </c>
      <c r="E44" s="17">
        <v>3600</v>
      </c>
      <c r="F44" s="17">
        <v>7200</v>
      </c>
      <c r="G44" s="17">
        <v>2000</v>
      </c>
      <c r="H44" s="17">
        <v>4000</v>
      </c>
      <c r="I44" s="17">
        <v>8000</v>
      </c>
      <c r="J44" s="17">
        <v>16000</v>
      </c>
      <c r="K44" s="17">
        <v>32000</v>
      </c>
      <c r="L44" s="17">
        <v>30000</v>
      </c>
      <c r="M44" s="17">
        <v>60000</v>
      </c>
      <c r="N44" s="17">
        <v>120000</v>
      </c>
      <c r="O44" s="17">
        <v>240000</v>
      </c>
      <c r="P44" s="17">
        <v>480000</v>
      </c>
    </row>
    <row r="45" spans="1:16" x14ac:dyDescent="0.2">
      <c r="A45" s="1" t="s">
        <v>21</v>
      </c>
      <c r="B45" s="17">
        <v>30</v>
      </c>
      <c r="C45" s="17">
        <v>90</v>
      </c>
      <c r="D45" s="17">
        <v>270</v>
      </c>
      <c r="E45" s="17">
        <v>810</v>
      </c>
      <c r="F45" s="17">
        <v>2430</v>
      </c>
      <c r="G45" s="17">
        <v>180</v>
      </c>
      <c r="H45" s="17">
        <v>540</v>
      </c>
      <c r="I45" s="17">
        <v>1620</v>
      </c>
      <c r="J45" s="17">
        <v>4860</v>
      </c>
      <c r="K45" s="17">
        <v>14580</v>
      </c>
      <c r="L45" s="17">
        <v>1080</v>
      </c>
      <c r="M45" s="17">
        <v>3240</v>
      </c>
      <c r="N45" s="17">
        <v>9720</v>
      </c>
      <c r="O45" s="17">
        <v>29160</v>
      </c>
      <c r="P45" s="17">
        <v>87480</v>
      </c>
    </row>
    <row r="46" spans="1:16" x14ac:dyDescent="0.2">
      <c r="A46" s="1" t="s">
        <v>21</v>
      </c>
      <c r="B46" s="17">
        <v>60</v>
      </c>
      <c r="C46" s="17">
        <v>180</v>
      </c>
      <c r="D46" s="17">
        <v>540</v>
      </c>
      <c r="E46" s="17">
        <v>1620</v>
      </c>
      <c r="F46" s="17">
        <v>4860</v>
      </c>
      <c r="G46" s="17">
        <v>360</v>
      </c>
      <c r="H46" s="17">
        <v>1080</v>
      </c>
      <c r="I46" s="17">
        <v>3240</v>
      </c>
      <c r="J46" s="17">
        <v>9720</v>
      </c>
      <c r="K46" s="17">
        <v>29160</v>
      </c>
      <c r="L46" s="17">
        <v>2160</v>
      </c>
      <c r="M46" s="17">
        <v>6480</v>
      </c>
      <c r="N46" s="17">
        <v>19440</v>
      </c>
      <c r="O46" s="17">
        <v>58320</v>
      </c>
      <c r="P46" s="17">
        <v>174960</v>
      </c>
    </row>
    <row r="47" spans="1:16" x14ac:dyDescent="0.2">
      <c r="A47" s="1" t="s">
        <v>21</v>
      </c>
      <c r="B47" s="17">
        <v>90</v>
      </c>
      <c r="C47" s="17">
        <v>360</v>
      </c>
      <c r="D47" s="17">
        <v>1080</v>
      </c>
      <c r="E47" s="17">
        <v>3240</v>
      </c>
      <c r="F47" s="17">
        <v>9720</v>
      </c>
      <c r="G47" s="17">
        <v>720</v>
      </c>
      <c r="H47" s="17">
        <v>2160</v>
      </c>
      <c r="I47" s="17">
        <v>6480</v>
      </c>
      <c r="J47" s="17">
        <v>19440</v>
      </c>
      <c r="K47" s="17">
        <v>58320</v>
      </c>
      <c r="L47" s="17">
        <v>4320</v>
      </c>
      <c r="M47" s="17">
        <v>12960</v>
      </c>
      <c r="N47" s="17">
        <v>38880</v>
      </c>
      <c r="O47" s="17">
        <v>116640</v>
      </c>
      <c r="P47" s="17">
        <v>349920</v>
      </c>
    </row>
    <row r="48" spans="1:16" x14ac:dyDescent="0.2">
      <c r="A48" s="1" t="s">
        <v>21</v>
      </c>
      <c r="B48" s="17">
        <v>120</v>
      </c>
      <c r="C48" s="17">
        <v>720</v>
      </c>
      <c r="D48" s="17">
        <v>2160</v>
      </c>
      <c r="E48" s="17">
        <v>6480</v>
      </c>
      <c r="F48" s="17">
        <v>19440</v>
      </c>
      <c r="G48" s="17">
        <v>1440</v>
      </c>
      <c r="H48" s="17">
        <v>4320</v>
      </c>
      <c r="I48" s="17">
        <v>12960</v>
      </c>
      <c r="J48" s="17">
        <v>38880</v>
      </c>
      <c r="K48" s="17">
        <v>116640</v>
      </c>
      <c r="L48" s="17">
        <v>8640</v>
      </c>
      <c r="M48" s="17">
        <v>25920</v>
      </c>
      <c r="N48" s="17">
        <v>77760</v>
      </c>
      <c r="O48" s="17">
        <v>233280</v>
      </c>
      <c r="P48" s="17">
        <v>699840</v>
      </c>
    </row>
    <row r="50" spans="2:7" x14ac:dyDescent="0.2">
      <c r="E50" s="1">
        <f>1500*2</f>
        <v>3000</v>
      </c>
    </row>
    <row r="51" spans="2:7" x14ac:dyDescent="0.2">
      <c r="E51" s="1">
        <f>1000*3</f>
        <v>3000</v>
      </c>
    </row>
    <row r="52" spans="2:7" x14ac:dyDescent="0.2">
      <c r="B52" s="21">
        <f>3/5</f>
        <v>0.6</v>
      </c>
      <c r="C52" s="22" t="s">
        <v>23</v>
      </c>
      <c r="D52" s="1" t="s">
        <v>24</v>
      </c>
      <c r="E52" s="22"/>
      <c r="G52" s="22">
        <f>B32*2</f>
        <v>10660</v>
      </c>
    </row>
    <row r="53" spans="2:7" x14ac:dyDescent="0.2">
      <c r="C53" s="1" t="s">
        <v>25</v>
      </c>
      <c r="D53" s="1" t="s">
        <v>26</v>
      </c>
      <c r="E53" s="23"/>
      <c r="G53" s="22">
        <f>G32*3</f>
        <v>0</v>
      </c>
    </row>
  </sheetData>
  <mergeCells count="6">
    <mergeCell ref="B22:F22"/>
    <mergeCell ref="G22:K22"/>
    <mergeCell ref="B29:F29"/>
    <mergeCell ref="G29:K29"/>
    <mergeCell ref="B36:F36"/>
    <mergeCell ref="G36:K36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R57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15" sqref="E15"/>
    </sheetView>
  </sheetViews>
  <sheetFormatPr defaultRowHeight="11.25" x14ac:dyDescent="0.2"/>
  <cols>
    <col min="1" max="1" width="3.125" style="38" customWidth="1"/>
    <col min="2" max="2" width="7.75" style="39" bestFit="1" customWidth="1"/>
    <col min="3" max="3" width="8.5" style="39" bestFit="1" customWidth="1"/>
    <col min="4" max="4" width="7.75" style="39" bestFit="1" customWidth="1"/>
    <col min="5" max="5" width="4.375" style="38" customWidth="1"/>
    <col min="6" max="6" width="4" style="38" customWidth="1"/>
    <col min="7" max="7" width="3.125" style="38" customWidth="1"/>
    <col min="8" max="8" width="7.25" style="40" customWidth="1"/>
    <col min="9" max="11" width="9" style="37"/>
    <col min="12" max="13" width="3.5" style="37" customWidth="1"/>
    <col min="14" max="14" width="6" style="42" customWidth="1"/>
    <col min="15" max="15" width="5.625" style="132" bestFit="1" customWidth="1"/>
    <col min="16" max="16" width="6.125" style="56" customWidth="1"/>
    <col min="17" max="17" width="7.75" style="56" bestFit="1" customWidth="1"/>
    <col min="18" max="18" width="5.875" style="56" customWidth="1"/>
    <col min="19" max="19" width="7.375" style="62" customWidth="1"/>
    <col min="20" max="20" width="8.875" style="63" bestFit="1" customWidth="1"/>
    <col min="21" max="21" width="2.875" style="76" customWidth="1"/>
    <col min="22" max="22" width="3.75" style="54" bestFit="1" customWidth="1"/>
    <col min="23" max="24" width="3.75" style="54" customWidth="1"/>
    <col min="25" max="25" width="7.375" style="37" customWidth="1"/>
    <col min="26" max="26" width="7.75" style="37" bestFit="1" customWidth="1"/>
    <col min="27" max="27" width="6.75" style="37" customWidth="1"/>
    <col min="28" max="28" width="6.625" style="60" customWidth="1"/>
    <col min="29" max="29" width="6.125" style="138" customWidth="1"/>
    <col min="30" max="30" width="7.5" style="37" customWidth="1"/>
    <col min="31" max="31" width="5.875" style="66" bestFit="1" customWidth="1"/>
    <col min="32" max="32" width="8.5" style="58" bestFit="1" customWidth="1"/>
    <col min="33" max="36" width="9" style="37"/>
    <col min="37" max="37" width="9.25" style="58" bestFit="1" customWidth="1"/>
    <col min="38" max="39" width="9" style="42"/>
    <col min="40" max="40" width="9" style="56"/>
    <col min="41" max="44" width="9" style="42"/>
    <col min="45" max="16384" width="9" style="37"/>
  </cols>
  <sheetData>
    <row r="1" spans="1:44" x14ac:dyDescent="0.2">
      <c r="A1" s="38" t="s">
        <v>60</v>
      </c>
      <c r="S1" s="262" t="s">
        <v>95</v>
      </c>
      <c r="T1" s="263"/>
      <c r="U1" s="83" t="s">
        <v>109</v>
      </c>
      <c r="Y1" s="37">
        <f>1/(maxLvAcc/maxLvHero)</f>
        <v>1</v>
      </c>
      <c r="AB1" s="60" t="s">
        <v>100</v>
      </c>
      <c r="AC1" s="138" t="s">
        <v>115</v>
      </c>
      <c r="AD1" s="83" t="s">
        <v>96</v>
      </c>
    </row>
    <row r="2" spans="1:44" s="47" customFormat="1" ht="26.25" customHeight="1" x14ac:dyDescent="0.3">
      <c r="A2" s="44" t="str">
        <f>[1]exp_table_hero!A1</f>
        <v>// 레벨</v>
      </c>
      <c r="B2" s="45" t="str">
        <f>[1]exp_table_hero!B1</f>
        <v>최대경험치</v>
      </c>
      <c r="C2" s="45" t="s">
        <v>63</v>
      </c>
      <c r="D2" s="45" t="s">
        <v>186</v>
      </c>
      <c r="E2" s="44" t="s">
        <v>65</v>
      </c>
      <c r="F2" s="44" t="s">
        <v>93</v>
      </c>
      <c r="G2" s="44" t="s">
        <v>94</v>
      </c>
      <c r="H2" s="46" t="s">
        <v>80</v>
      </c>
      <c r="L2" s="47" t="s">
        <v>81</v>
      </c>
      <c r="M2" s="47" t="s">
        <v>99</v>
      </c>
      <c r="N2" s="48" t="s">
        <v>120</v>
      </c>
      <c r="O2" s="133" t="s">
        <v>121</v>
      </c>
      <c r="P2" s="57" t="s">
        <v>126</v>
      </c>
      <c r="Q2" s="57" t="s">
        <v>97</v>
      </c>
      <c r="R2" s="57" t="s">
        <v>92</v>
      </c>
      <c r="S2" s="64" t="s">
        <v>106</v>
      </c>
      <c r="T2" s="65" t="s">
        <v>105</v>
      </c>
      <c r="U2" s="77" t="s">
        <v>82</v>
      </c>
      <c r="V2" s="55" t="s">
        <v>83</v>
      </c>
      <c r="W2" s="55" t="s">
        <v>89</v>
      </c>
      <c r="X2" s="55" t="s">
        <v>164</v>
      </c>
      <c r="Y2" s="47" t="s">
        <v>110</v>
      </c>
      <c r="Z2" s="47" t="s">
        <v>84</v>
      </c>
      <c r="AA2" s="47" t="s">
        <v>88</v>
      </c>
      <c r="AB2" s="61" t="s">
        <v>125</v>
      </c>
      <c r="AC2" s="139" t="s">
        <v>124</v>
      </c>
      <c r="AD2" s="44" t="s">
        <v>103</v>
      </c>
      <c r="AE2" s="67" t="s">
        <v>97</v>
      </c>
      <c r="AF2" s="59" t="s">
        <v>119</v>
      </c>
      <c r="AK2" s="59"/>
      <c r="AL2" s="48"/>
      <c r="AM2" s="48"/>
      <c r="AN2" s="57"/>
      <c r="AO2" s="48"/>
      <c r="AP2" s="48">
        <f>60*24</f>
        <v>1440</v>
      </c>
      <c r="AQ2" s="48"/>
      <c r="AR2" s="48" t="s">
        <v>195</v>
      </c>
    </row>
    <row r="3" spans="1:44" s="41" customFormat="1" x14ac:dyDescent="0.2">
      <c r="A3" s="91">
        <f>[1]exp_table_hero!A2</f>
        <v>1</v>
      </c>
      <c r="B3" s="92">
        <f>[1]exp_table_hero!B2</f>
        <v>1000</v>
      </c>
      <c r="C3" s="92">
        <f t="shared" ref="C3:C34" si="0">B3*AB3</f>
        <v>1000</v>
      </c>
      <c r="D3" s="119">
        <f t="shared" ref="D3:D34" si="1">B3*AC3</f>
        <v>10</v>
      </c>
      <c r="E3" s="93">
        <f>D3/60</f>
        <v>0.16666666666666666</v>
      </c>
      <c r="F3" s="93"/>
      <c r="G3" s="93"/>
      <c r="H3" s="94">
        <f>D3</f>
        <v>10</v>
      </c>
      <c r="I3" s="41" t="s">
        <v>56</v>
      </c>
      <c r="L3" s="41">
        <v>1</v>
      </c>
      <c r="M3" s="95">
        <f>POWER(L3,2)</f>
        <v>1</v>
      </c>
      <c r="N3" s="96"/>
      <c r="O3" s="134"/>
      <c r="P3" s="97"/>
      <c r="Q3" s="97"/>
      <c r="R3" s="97"/>
      <c r="S3" s="62">
        <f>(S8/6)*$A3</f>
        <v>180.6264166666667</v>
      </c>
      <c r="T3" s="62">
        <f>(T$8/6)*$A3</f>
        <v>36.125283333333336</v>
      </c>
      <c r="U3" s="76">
        <v>3</v>
      </c>
      <c r="V3" s="98">
        <f t="shared" ref="V3:V52" si="2">U3/3</f>
        <v>1</v>
      </c>
      <c r="W3" s="98">
        <f>U3/2</f>
        <v>1.5</v>
      </c>
      <c r="X3" s="208">
        <v>3</v>
      </c>
      <c r="Y3" s="96">
        <f t="shared" ref="Y3:Y34" si="3">($B3*$W3)*Y$1</f>
        <v>1500</v>
      </c>
      <c r="Z3" s="96">
        <f>Y3</f>
        <v>1500</v>
      </c>
      <c r="AA3" s="96">
        <f t="shared" ref="AA3:AA34" si="4">Y3-B3</f>
        <v>500</v>
      </c>
      <c r="AB3" s="99">
        <v>1</v>
      </c>
      <c r="AC3" s="140">
        <v>0.01</v>
      </c>
      <c r="AD3" s="97">
        <f t="shared" ref="AD3:AD14" si="5">Y3*AC3</f>
        <v>15</v>
      </c>
      <c r="AE3" s="100"/>
      <c r="AF3" s="63">
        <f t="shared" ref="AF3:AF34" si="6">Y3*AB3</f>
        <v>1500</v>
      </c>
      <c r="AK3" s="63"/>
      <c r="AL3" s="96"/>
      <c r="AM3" s="96"/>
      <c r="AN3" s="97">
        <f t="shared" ref="AN3:AN51" si="7">POWER(A3,2)/8.2</f>
        <v>0.12195121951219513</v>
      </c>
      <c r="AO3" s="96">
        <f>305.2174 * (A3/50)</f>
        <v>6.1043479999999999</v>
      </c>
      <c r="AP3" s="96">
        <f>30000+$AP$2*AN3</f>
        <v>30175.609756097561</v>
      </c>
      <c r="AQ3" s="96">
        <f>$AP$2*AO3</f>
        <v>8790.2611199999992</v>
      </c>
      <c r="AR3" s="96">
        <f>POWER(A3,2)</f>
        <v>1</v>
      </c>
    </row>
    <row r="4" spans="1:44" s="41" customFormat="1" x14ac:dyDescent="0.2">
      <c r="A4" s="91">
        <f>[1]exp_table_hero!A3</f>
        <v>2</v>
      </c>
      <c r="B4" s="92">
        <f>[1]exp_table_hero!B3</f>
        <v>3925</v>
      </c>
      <c r="C4" s="92">
        <f>B4*AB4</f>
        <v>4317.5</v>
      </c>
      <c r="D4" s="92">
        <f t="shared" si="1"/>
        <v>58.875</v>
      </c>
      <c r="E4" s="93">
        <f t="shared" ref="E4:F19" si="8">D4/60</f>
        <v>0.98124999999999996</v>
      </c>
      <c r="F4" s="93"/>
      <c r="G4" s="93"/>
      <c r="H4" s="94">
        <f>H3+D4</f>
        <v>68.875</v>
      </c>
      <c r="I4" s="41" t="s">
        <v>57</v>
      </c>
      <c r="L4" s="41">
        <v>2</v>
      </c>
      <c r="M4" s="95">
        <f t="shared" ref="M4:M52" si="9">POWER(L4,2)</f>
        <v>4</v>
      </c>
      <c r="N4" s="96"/>
      <c r="O4" s="134"/>
      <c r="P4" s="97"/>
      <c r="Q4" s="97"/>
      <c r="R4" s="97"/>
      <c r="S4" s="62">
        <f t="shared" ref="S4:S7" si="10">(S9/6)*$A4</f>
        <v>217.14666666666665</v>
      </c>
      <c r="T4" s="62">
        <f t="shared" ref="T4:T7" si="11">(T$8/6)*$A4</f>
        <v>72.250566666666671</v>
      </c>
      <c r="U4" s="76">
        <v>3</v>
      </c>
      <c r="V4" s="98">
        <f t="shared" si="2"/>
        <v>1</v>
      </c>
      <c r="W4" s="98">
        <f t="shared" ref="W4:W52" si="12">U4/2</f>
        <v>1.5</v>
      </c>
      <c r="X4" s="208">
        <v>3.5510204081632653</v>
      </c>
      <c r="Y4" s="96">
        <f t="shared" si="3"/>
        <v>5887.5</v>
      </c>
      <c r="Z4" s="96">
        <f t="shared" ref="Z4:Z35" si="13">Z3+Y4</f>
        <v>7387.5</v>
      </c>
      <c r="AA4" s="96">
        <f t="shared" si="4"/>
        <v>1962.5</v>
      </c>
      <c r="AB4" s="99">
        <v>1.1000000000000001</v>
      </c>
      <c r="AC4" s="140">
        <v>1.4999999999999999E-2</v>
      </c>
      <c r="AD4" s="97">
        <f t="shared" si="5"/>
        <v>88.3125</v>
      </c>
      <c r="AE4" s="100"/>
      <c r="AF4" s="63">
        <f t="shared" si="6"/>
        <v>6476.2500000000009</v>
      </c>
      <c r="AK4" s="63"/>
      <c r="AL4" s="96"/>
      <c r="AM4" s="96"/>
      <c r="AN4" s="97">
        <f t="shared" si="7"/>
        <v>0.48780487804878053</v>
      </c>
      <c r="AO4" s="96">
        <f t="shared" ref="AO4:AO52" si="14">305.2174 * (A4/50)</f>
        <v>12.208696</v>
      </c>
      <c r="AP4" s="96">
        <f t="shared" ref="AP4:AP52" si="15">30000+$AP$2*AN4</f>
        <v>30702.439024390245</v>
      </c>
      <c r="AQ4" s="96">
        <f t="shared" ref="AQ4:AQ52" si="16">$AP$2*AO4</f>
        <v>17580.522239999998</v>
      </c>
      <c r="AR4" s="96">
        <f t="shared" ref="AR4:AR32" si="17">POWER(A4,2)</f>
        <v>4</v>
      </c>
    </row>
    <row r="5" spans="1:44" s="41" customFormat="1" x14ac:dyDescent="0.2">
      <c r="A5" s="91">
        <f>[1]exp_table_hero!A4</f>
        <v>3</v>
      </c>
      <c r="B5" s="92">
        <f>[1]exp_table_hero!B4</f>
        <v>4900</v>
      </c>
      <c r="C5" s="92">
        <f t="shared" si="0"/>
        <v>5880</v>
      </c>
      <c r="D5" s="92">
        <f t="shared" si="1"/>
        <v>98</v>
      </c>
      <c r="E5" s="93">
        <f t="shared" si="8"/>
        <v>1.6333333333333333</v>
      </c>
      <c r="F5" s="93"/>
      <c r="G5" s="93"/>
      <c r="H5" s="94">
        <f t="shared" ref="H5:H52" si="18">H4+D5</f>
        <v>166.875</v>
      </c>
      <c r="L5" s="41">
        <v>3</v>
      </c>
      <c r="M5" s="95">
        <f t="shared" si="9"/>
        <v>9</v>
      </c>
      <c r="N5" s="96"/>
      <c r="O5" s="134"/>
      <c r="P5" s="97"/>
      <c r="Q5" s="97"/>
      <c r="R5" s="97"/>
      <c r="S5" s="62">
        <f t="shared" si="10"/>
        <v>321.20069310308571</v>
      </c>
      <c r="T5" s="62">
        <f t="shared" si="11"/>
        <v>108.37585000000001</v>
      </c>
      <c r="U5" s="76">
        <v>3</v>
      </c>
      <c r="V5" s="98">
        <f t="shared" si="2"/>
        <v>1</v>
      </c>
      <c r="W5" s="98">
        <f t="shared" si="12"/>
        <v>1.5</v>
      </c>
      <c r="X5" s="208">
        <v>4.1020408163265305</v>
      </c>
      <c r="Y5" s="96">
        <f t="shared" si="3"/>
        <v>7350</v>
      </c>
      <c r="Z5" s="96">
        <f t="shared" si="13"/>
        <v>14737.5</v>
      </c>
      <c r="AA5" s="96">
        <f t="shared" si="4"/>
        <v>2450</v>
      </c>
      <c r="AB5" s="99">
        <v>1.2</v>
      </c>
      <c r="AC5" s="140">
        <v>0.02</v>
      </c>
      <c r="AD5" s="97">
        <f t="shared" si="5"/>
        <v>147</v>
      </c>
      <c r="AE5" s="100"/>
      <c r="AF5" s="63">
        <f t="shared" si="6"/>
        <v>8820</v>
      </c>
      <c r="AK5" s="63"/>
      <c r="AL5" s="96"/>
      <c r="AM5" s="96"/>
      <c r="AN5" s="97">
        <f t="shared" si="7"/>
        <v>1.0975609756097562</v>
      </c>
      <c r="AO5" s="96">
        <f t="shared" si="14"/>
        <v>18.313043999999998</v>
      </c>
      <c r="AP5" s="96">
        <f t="shared" si="15"/>
        <v>31580.487804878048</v>
      </c>
      <c r="AQ5" s="96">
        <f t="shared" si="16"/>
        <v>26370.783359999998</v>
      </c>
      <c r="AR5" s="96">
        <f t="shared" si="17"/>
        <v>9</v>
      </c>
    </row>
    <row r="6" spans="1:44" s="41" customFormat="1" x14ac:dyDescent="0.2">
      <c r="A6" s="91">
        <f>[1]exp_table_hero!A5</f>
        <v>4</v>
      </c>
      <c r="B6" s="92">
        <f>[1]exp_table_hero!B5</f>
        <v>5875</v>
      </c>
      <c r="C6" s="92">
        <f t="shared" si="0"/>
        <v>7637.5</v>
      </c>
      <c r="D6" s="92">
        <f t="shared" si="1"/>
        <v>146.875</v>
      </c>
      <c r="E6" s="93">
        <f t="shared" si="8"/>
        <v>2.4479166666666665</v>
      </c>
      <c r="F6" s="93"/>
      <c r="G6" s="93"/>
      <c r="H6" s="94">
        <f t="shared" si="18"/>
        <v>313.75</v>
      </c>
      <c r="L6" s="41">
        <v>4</v>
      </c>
      <c r="M6" s="95">
        <f t="shared" si="9"/>
        <v>16</v>
      </c>
      <c r="N6" s="96"/>
      <c r="O6" s="134"/>
      <c r="P6" s="97"/>
      <c r="Q6" s="97"/>
      <c r="R6" s="97"/>
      <c r="S6" s="62">
        <f t="shared" si="10"/>
        <v>508.08822782596889</v>
      </c>
      <c r="T6" s="62">
        <f t="shared" si="11"/>
        <v>144.50113333333334</v>
      </c>
      <c r="U6" s="76">
        <v>4</v>
      </c>
      <c r="V6" s="98">
        <f t="shared" si="2"/>
        <v>1.3333333333333333</v>
      </c>
      <c r="W6" s="98">
        <f t="shared" si="12"/>
        <v>2</v>
      </c>
      <c r="X6" s="208">
        <v>4.6530612244897949</v>
      </c>
      <c r="Y6" s="96">
        <f t="shared" si="3"/>
        <v>11750</v>
      </c>
      <c r="Z6" s="96">
        <f t="shared" si="13"/>
        <v>26487.5</v>
      </c>
      <c r="AA6" s="96">
        <f t="shared" si="4"/>
        <v>5875</v>
      </c>
      <c r="AB6" s="99">
        <v>1.3</v>
      </c>
      <c r="AC6" s="140">
        <v>2.5000000000000001E-2</v>
      </c>
      <c r="AD6" s="97">
        <f t="shared" si="5"/>
        <v>293.75</v>
      </c>
      <c r="AE6" s="100"/>
      <c r="AF6" s="63">
        <f t="shared" si="6"/>
        <v>15275</v>
      </c>
      <c r="AK6" s="63"/>
      <c r="AL6" s="96"/>
      <c r="AM6" s="96"/>
      <c r="AN6" s="97">
        <f t="shared" si="7"/>
        <v>1.9512195121951221</v>
      </c>
      <c r="AO6" s="96">
        <f t="shared" si="14"/>
        <v>24.417392</v>
      </c>
      <c r="AP6" s="96">
        <f t="shared" si="15"/>
        <v>32809.756097560974</v>
      </c>
      <c r="AQ6" s="96">
        <f t="shared" si="16"/>
        <v>35161.044479999997</v>
      </c>
      <c r="AR6" s="96">
        <f t="shared" si="17"/>
        <v>16</v>
      </c>
    </row>
    <row r="7" spans="1:44" s="105" customFormat="1" x14ac:dyDescent="0.2">
      <c r="A7" s="101">
        <f>[1]exp_table_hero!A6</f>
        <v>5</v>
      </c>
      <c r="B7" s="102">
        <f>[1]exp_table_hero!B6</f>
        <v>6850</v>
      </c>
      <c r="C7" s="102">
        <f t="shared" si="0"/>
        <v>9590</v>
      </c>
      <c r="D7" s="92">
        <f t="shared" si="1"/>
        <v>205.5</v>
      </c>
      <c r="E7" s="103">
        <f t="shared" si="8"/>
        <v>3.4249999999999998</v>
      </c>
      <c r="F7" s="103"/>
      <c r="G7" s="103"/>
      <c r="H7" s="104">
        <f t="shared" si="18"/>
        <v>519.25</v>
      </c>
      <c r="L7" s="105">
        <v>5</v>
      </c>
      <c r="M7" s="106">
        <f t="shared" si="9"/>
        <v>25</v>
      </c>
      <c r="N7" s="107"/>
      <c r="O7" s="135"/>
      <c r="P7" s="108"/>
      <c r="Q7" s="108"/>
      <c r="R7" s="108"/>
      <c r="S7" s="62">
        <f t="shared" si="10"/>
        <v>749.34551715391717</v>
      </c>
      <c r="T7" s="62">
        <f t="shared" si="11"/>
        <v>180.62641666666667</v>
      </c>
      <c r="U7" s="110">
        <v>4</v>
      </c>
      <c r="V7" s="111">
        <f t="shared" si="2"/>
        <v>1.3333333333333333</v>
      </c>
      <c r="W7" s="111">
        <f t="shared" si="12"/>
        <v>2</v>
      </c>
      <c r="X7" s="208">
        <v>5.2040816326530601</v>
      </c>
      <c r="Y7" s="107">
        <f t="shared" si="3"/>
        <v>13700</v>
      </c>
      <c r="Z7" s="107">
        <f t="shared" si="13"/>
        <v>40187.5</v>
      </c>
      <c r="AA7" s="107">
        <f t="shared" si="4"/>
        <v>6850</v>
      </c>
      <c r="AB7" s="99">
        <v>1.4</v>
      </c>
      <c r="AC7" s="140">
        <v>0.03</v>
      </c>
      <c r="AD7" s="108">
        <f t="shared" si="5"/>
        <v>411</v>
      </c>
      <c r="AE7" s="113"/>
      <c r="AF7" s="63">
        <f t="shared" si="6"/>
        <v>19180</v>
      </c>
      <c r="AH7" s="41">
        <f>1/AB8</f>
        <v>0.66666666666666663</v>
      </c>
      <c r="AI7" s="122">
        <f>B8/AH7</f>
        <v>11737.5</v>
      </c>
      <c r="AK7" s="230"/>
      <c r="AL7" s="107"/>
      <c r="AM7" s="107"/>
      <c r="AN7" s="97">
        <f t="shared" si="7"/>
        <v>3.0487804878048781</v>
      </c>
      <c r="AO7" s="96">
        <f t="shared" si="14"/>
        <v>30.521740000000001</v>
      </c>
      <c r="AP7" s="96">
        <f t="shared" si="15"/>
        <v>34390.243902439026</v>
      </c>
      <c r="AQ7" s="96">
        <f t="shared" si="16"/>
        <v>43951.3056</v>
      </c>
      <c r="AR7" s="96">
        <f t="shared" si="17"/>
        <v>25</v>
      </c>
    </row>
    <row r="8" spans="1:44" s="122" customFormat="1" x14ac:dyDescent="0.2">
      <c r="A8" s="118">
        <f>[1]exp_table_hero!A7</f>
        <v>6</v>
      </c>
      <c r="B8" s="119">
        <f>[1]exp_table_hero!B7</f>
        <v>7825</v>
      </c>
      <c r="C8" s="119">
        <f t="shared" si="0"/>
        <v>11737.5</v>
      </c>
      <c r="D8" s="119">
        <f t="shared" si="1"/>
        <v>273.875</v>
      </c>
      <c r="E8" s="120">
        <f t="shared" si="8"/>
        <v>4.5645833333333332</v>
      </c>
      <c r="F8" s="120">
        <f>E8/60</f>
        <v>7.6076388888888888E-2</v>
      </c>
      <c r="G8" s="120"/>
      <c r="H8" s="121">
        <f t="shared" si="18"/>
        <v>793.125</v>
      </c>
      <c r="L8" s="122">
        <v>6</v>
      </c>
      <c r="M8" s="123">
        <f t="shared" si="9"/>
        <v>36</v>
      </c>
      <c r="N8" s="124">
        <f>[2]행동력!$AB9*$I$17</f>
        <v>26865.671641791043</v>
      </c>
      <c r="O8" s="136">
        <f>N8/3600</f>
        <v>7.4626865671641784</v>
      </c>
      <c r="P8" s="125">
        <f>'계정 경험치 테이블'!B7/N8</f>
        <v>0.30104402777777778</v>
      </c>
      <c r="Q8" s="125">
        <f t="shared" ref="Q8:Q52" si="19">P8*60</f>
        <v>18.062641666666668</v>
      </c>
      <c r="R8" s="125">
        <f>P8/[2]행동력!$M$2</f>
        <v>1.8815251736111111E-2</v>
      </c>
      <c r="S8" s="126">
        <f>P8*60*60</f>
        <v>1083.7585000000001</v>
      </c>
      <c r="T8" s="127">
        <f>S8*[2]행동력!$BA$2</f>
        <v>216.75170000000003</v>
      </c>
      <c r="U8" s="128">
        <v>4</v>
      </c>
      <c r="V8" s="129">
        <f t="shared" si="2"/>
        <v>1.3333333333333333</v>
      </c>
      <c r="W8" s="129">
        <f t="shared" si="12"/>
        <v>2</v>
      </c>
      <c r="X8" s="208">
        <v>5.7551020408163254</v>
      </c>
      <c r="Y8" s="124">
        <f t="shared" si="3"/>
        <v>15650</v>
      </c>
      <c r="Z8" s="124">
        <f t="shared" si="13"/>
        <v>55837.5</v>
      </c>
      <c r="AA8" s="124">
        <f t="shared" si="4"/>
        <v>7825</v>
      </c>
      <c r="AB8" s="99">
        <v>1.5</v>
      </c>
      <c r="AC8" s="140">
        <v>3.5000000000000003E-2</v>
      </c>
      <c r="AD8" s="125">
        <f t="shared" si="5"/>
        <v>547.75</v>
      </c>
      <c r="AE8" s="130">
        <f t="shared" ref="AE8:AE52" si="20">AD8/60</f>
        <v>9.1291666666666664</v>
      </c>
      <c r="AF8" s="63">
        <f t="shared" si="6"/>
        <v>23475</v>
      </c>
      <c r="AG8" s="122" t="s">
        <v>165</v>
      </c>
      <c r="AK8" s="127"/>
      <c r="AL8" s="124"/>
      <c r="AM8" s="124"/>
      <c r="AN8" s="97">
        <f t="shared" si="7"/>
        <v>4.3902439024390247</v>
      </c>
      <c r="AO8" s="96">
        <f t="shared" si="14"/>
        <v>36.626087999999996</v>
      </c>
      <c r="AP8" s="96">
        <f t="shared" si="15"/>
        <v>36321.951219512193</v>
      </c>
      <c r="AQ8" s="96">
        <f t="shared" si="16"/>
        <v>52741.566719999995</v>
      </c>
      <c r="AR8" s="96">
        <f t="shared" si="17"/>
        <v>36</v>
      </c>
    </row>
    <row r="9" spans="1:44" s="131" customFormat="1" x14ac:dyDescent="0.2">
      <c r="A9" s="91">
        <f>[1]exp_table_hero!A8</f>
        <v>7</v>
      </c>
      <c r="B9" s="92">
        <f>[1]exp_table_hero!B8</f>
        <v>8800</v>
      </c>
      <c r="C9" s="92">
        <f t="shared" si="0"/>
        <v>14080</v>
      </c>
      <c r="D9" s="92">
        <f t="shared" si="1"/>
        <v>352</v>
      </c>
      <c r="E9" s="93">
        <f t="shared" si="8"/>
        <v>5.8666666666666663</v>
      </c>
      <c r="F9" s="93">
        <f t="shared" si="8"/>
        <v>9.7777777777777769E-2</v>
      </c>
      <c r="G9" s="93"/>
      <c r="H9" s="94">
        <f t="shared" si="18"/>
        <v>1145.125</v>
      </c>
      <c r="L9" s="41">
        <v>7</v>
      </c>
      <c r="M9" s="95">
        <f t="shared" si="9"/>
        <v>49</v>
      </c>
      <c r="N9" s="96">
        <f>[2]행동력!$AB10*$I$17</f>
        <v>52941.176470588238</v>
      </c>
      <c r="O9" s="134"/>
      <c r="P9" s="97">
        <f>'계정 경험치 테이블'!B8/N9</f>
        <v>0.18095555555555554</v>
      </c>
      <c r="Q9" s="97">
        <f t="shared" si="19"/>
        <v>10.857333333333333</v>
      </c>
      <c r="R9" s="125">
        <f>P9/[2]행동력!$M$2</f>
        <v>1.1309722222222221E-2</v>
      </c>
      <c r="S9" s="62">
        <f t="shared" ref="S9:S52" si="21">P9*60*60</f>
        <v>651.43999999999994</v>
      </c>
      <c r="T9" s="127">
        <f>S9*[2]행동력!$BA$2</f>
        <v>130.28799999999998</v>
      </c>
      <c r="U9" s="78">
        <v>4</v>
      </c>
      <c r="V9" s="98">
        <f t="shared" si="2"/>
        <v>1.3333333333333333</v>
      </c>
      <c r="W9" s="98">
        <f t="shared" si="12"/>
        <v>2</v>
      </c>
      <c r="X9" s="208">
        <v>6.3061224489795897</v>
      </c>
      <c r="Y9" s="96">
        <f t="shared" si="3"/>
        <v>17600</v>
      </c>
      <c r="Z9" s="96">
        <f t="shared" si="13"/>
        <v>73437.5</v>
      </c>
      <c r="AA9" s="96">
        <f t="shared" si="4"/>
        <v>8800</v>
      </c>
      <c r="AB9" s="99">
        <v>1.6</v>
      </c>
      <c r="AC9" s="140">
        <v>0.04</v>
      </c>
      <c r="AD9" s="97">
        <f t="shared" si="5"/>
        <v>704</v>
      </c>
      <c r="AE9" s="100">
        <f t="shared" si="20"/>
        <v>11.733333333333333</v>
      </c>
      <c r="AF9" s="63">
        <f t="shared" si="6"/>
        <v>28160</v>
      </c>
      <c r="AG9" s="41" t="s">
        <v>166</v>
      </c>
      <c r="AK9" s="231"/>
      <c r="AL9" s="92"/>
      <c r="AM9" s="92"/>
      <c r="AN9" s="97">
        <f t="shared" si="7"/>
        <v>5.9756097560975618</v>
      </c>
      <c r="AO9" s="96">
        <f t="shared" si="14"/>
        <v>42.730436000000005</v>
      </c>
      <c r="AP9" s="96">
        <f t="shared" si="15"/>
        <v>38604.878048780491</v>
      </c>
      <c r="AQ9" s="96">
        <f t="shared" si="16"/>
        <v>61531.827840000005</v>
      </c>
      <c r="AR9" s="96">
        <f t="shared" si="17"/>
        <v>49</v>
      </c>
    </row>
    <row r="10" spans="1:44" s="41" customFormat="1" x14ac:dyDescent="0.2">
      <c r="A10" s="91">
        <f>[1]exp_table_hero!A9</f>
        <v>8</v>
      </c>
      <c r="B10" s="92">
        <f>[1]exp_table_hero!B9</f>
        <v>9775</v>
      </c>
      <c r="C10" s="92">
        <f t="shared" si="0"/>
        <v>16617.5</v>
      </c>
      <c r="D10" s="92">
        <f t="shared" si="1"/>
        <v>439.875</v>
      </c>
      <c r="E10" s="93">
        <f t="shared" si="8"/>
        <v>7.3312499999999998</v>
      </c>
      <c r="F10" s="93">
        <f t="shared" si="8"/>
        <v>0.12218749999999999</v>
      </c>
      <c r="G10" s="93"/>
      <c r="H10" s="94">
        <f t="shared" si="18"/>
        <v>1585</v>
      </c>
      <c r="L10" s="41">
        <v>8</v>
      </c>
      <c r="M10" s="95">
        <f t="shared" si="9"/>
        <v>64</v>
      </c>
      <c r="N10" s="96">
        <f>[2]행동력!$AB11*$I$17</f>
        <v>66407.0796172111</v>
      </c>
      <c r="O10" s="134"/>
      <c r="P10" s="97">
        <f>'계정 경험치 테이블'!B9/N10</f>
        <v>0.17844482950171428</v>
      </c>
      <c r="Q10" s="97">
        <f t="shared" si="19"/>
        <v>10.706689770102857</v>
      </c>
      <c r="R10" s="125">
        <f>P10/[2]행동력!$M$2</f>
        <v>1.1152801843857143E-2</v>
      </c>
      <c r="S10" s="62">
        <f t="shared" si="21"/>
        <v>642.40138620617142</v>
      </c>
      <c r="T10" s="127">
        <f>S10*[2]행동력!$BA$2</f>
        <v>128.48027724123429</v>
      </c>
      <c r="U10" s="76">
        <v>5</v>
      </c>
      <c r="V10" s="98">
        <f t="shared" si="2"/>
        <v>1.6666666666666667</v>
      </c>
      <c r="W10" s="98">
        <f t="shared" si="12"/>
        <v>2.5</v>
      </c>
      <c r="X10" s="208">
        <v>6.857142857142855</v>
      </c>
      <c r="Y10" s="96">
        <f t="shared" si="3"/>
        <v>24437.5</v>
      </c>
      <c r="Z10" s="96">
        <f t="shared" si="13"/>
        <v>97875</v>
      </c>
      <c r="AA10" s="96">
        <f t="shared" si="4"/>
        <v>14662.5</v>
      </c>
      <c r="AB10" s="99">
        <v>1.7</v>
      </c>
      <c r="AC10" s="140">
        <v>4.4999999999999998E-2</v>
      </c>
      <c r="AD10" s="97">
        <f t="shared" si="5"/>
        <v>1099.6875</v>
      </c>
      <c r="AE10" s="100">
        <f t="shared" si="20"/>
        <v>18.328125</v>
      </c>
      <c r="AF10" s="63">
        <f t="shared" si="6"/>
        <v>41543.75</v>
      </c>
      <c r="AG10" s="209" t="s">
        <v>167</v>
      </c>
      <c r="AK10" s="63"/>
      <c r="AL10" s="96"/>
      <c r="AM10" s="96"/>
      <c r="AN10" s="97">
        <f t="shared" si="7"/>
        <v>7.8048780487804885</v>
      </c>
      <c r="AO10" s="96">
        <f t="shared" si="14"/>
        <v>48.834783999999999</v>
      </c>
      <c r="AP10" s="96">
        <f t="shared" si="15"/>
        <v>41239.024390243903</v>
      </c>
      <c r="AQ10" s="96">
        <f t="shared" si="16"/>
        <v>70322.088959999994</v>
      </c>
      <c r="AR10" s="96">
        <f t="shared" si="17"/>
        <v>64</v>
      </c>
    </row>
    <row r="11" spans="1:44" s="41" customFormat="1" x14ac:dyDescent="0.2">
      <c r="A11" s="91">
        <f>[1]exp_table_hero!A10</f>
        <v>9</v>
      </c>
      <c r="B11" s="92">
        <f>[1]exp_table_hero!B10</f>
        <v>10750</v>
      </c>
      <c r="C11" s="92">
        <f t="shared" si="0"/>
        <v>19350</v>
      </c>
      <c r="D11" s="92">
        <f t="shared" si="1"/>
        <v>537.5</v>
      </c>
      <c r="E11" s="93">
        <f t="shared" si="8"/>
        <v>8.9583333333333339</v>
      </c>
      <c r="F11" s="93">
        <f t="shared" si="8"/>
        <v>0.14930555555555555</v>
      </c>
      <c r="G11" s="93"/>
      <c r="H11" s="94">
        <f t="shared" si="18"/>
        <v>2122.5</v>
      </c>
      <c r="I11" s="41" t="s">
        <v>58</v>
      </c>
      <c r="L11" s="41">
        <v>9</v>
      </c>
      <c r="M11" s="95">
        <f t="shared" si="9"/>
        <v>81</v>
      </c>
      <c r="N11" s="96">
        <f>[2]행동력!$AB12*$I$17</f>
        <v>64476.990817470789</v>
      </c>
      <c r="O11" s="134"/>
      <c r="P11" s="97">
        <f>'계정 경험치 테이블'!B10/N11</f>
        <v>0.21170342826082036</v>
      </c>
      <c r="Q11" s="97">
        <f t="shared" si="19"/>
        <v>12.702205695649221</v>
      </c>
      <c r="R11" s="125">
        <f>P11/[2]행동력!$M$2</f>
        <v>1.3231464266301273E-2</v>
      </c>
      <c r="S11" s="62">
        <f t="shared" si="21"/>
        <v>762.1323417389533</v>
      </c>
      <c r="T11" s="127">
        <f>S11*[2]행동력!$BA$2</f>
        <v>152.42646834779066</v>
      </c>
      <c r="U11" s="76">
        <v>5</v>
      </c>
      <c r="V11" s="98">
        <f t="shared" si="2"/>
        <v>1.6666666666666667</v>
      </c>
      <c r="W11" s="98">
        <f t="shared" si="12"/>
        <v>2.5</v>
      </c>
      <c r="X11" s="208">
        <v>7.4081632653061202</v>
      </c>
      <c r="Y11" s="96">
        <f t="shared" si="3"/>
        <v>26875</v>
      </c>
      <c r="Z11" s="96">
        <f t="shared" si="13"/>
        <v>124750</v>
      </c>
      <c r="AA11" s="96">
        <f t="shared" si="4"/>
        <v>16125</v>
      </c>
      <c r="AB11" s="99">
        <v>1.8</v>
      </c>
      <c r="AC11" s="140">
        <v>0.05</v>
      </c>
      <c r="AD11" s="97">
        <f t="shared" si="5"/>
        <v>1343.75</v>
      </c>
      <c r="AE11" s="100">
        <f t="shared" si="20"/>
        <v>22.395833333333332</v>
      </c>
      <c r="AF11" s="63">
        <f t="shared" si="6"/>
        <v>48375</v>
      </c>
      <c r="AG11" s="41">
        <v>128000</v>
      </c>
      <c r="AK11" s="63"/>
      <c r="AL11" s="96"/>
      <c r="AM11" s="96"/>
      <c r="AN11" s="97">
        <f t="shared" si="7"/>
        <v>9.8780487804878057</v>
      </c>
      <c r="AO11" s="96">
        <f t="shared" si="14"/>
        <v>54.939132000000001</v>
      </c>
      <c r="AP11" s="96">
        <f t="shared" si="15"/>
        <v>44224.390243902439</v>
      </c>
      <c r="AQ11" s="96">
        <f t="shared" si="16"/>
        <v>79112.350080000004</v>
      </c>
      <c r="AR11" s="96">
        <f t="shared" si="17"/>
        <v>81</v>
      </c>
    </row>
    <row r="12" spans="1:44" s="105" customFormat="1" x14ac:dyDescent="0.2">
      <c r="A12" s="101">
        <f>[1]exp_table_hero!A11</f>
        <v>10</v>
      </c>
      <c r="B12" s="102">
        <f>[1]exp_table_hero!B11</f>
        <v>11725</v>
      </c>
      <c r="C12" s="102">
        <f t="shared" si="0"/>
        <v>22277.5</v>
      </c>
      <c r="D12" s="102">
        <f t="shared" si="1"/>
        <v>644.875</v>
      </c>
      <c r="E12" s="103">
        <f t="shared" si="8"/>
        <v>10.747916666666667</v>
      </c>
      <c r="F12" s="103">
        <f t="shared" si="8"/>
        <v>0.17913194444444444</v>
      </c>
      <c r="G12" s="103"/>
      <c r="H12" s="104">
        <f t="shared" si="18"/>
        <v>2767.375</v>
      </c>
      <c r="I12" s="105" t="s">
        <v>59</v>
      </c>
      <c r="L12" s="105">
        <v>10</v>
      </c>
      <c r="M12" s="106">
        <f t="shared" si="9"/>
        <v>100</v>
      </c>
      <c r="N12" s="107">
        <f>[2]행동력!$AB13*$I$17</f>
        <v>62454.500532345453</v>
      </c>
      <c r="O12" s="135"/>
      <c r="P12" s="108">
        <f>'계정 경험치 테이블'!B11/N12</f>
        <v>0.24978183905130572</v>
      </c>
      <c r="Q12" s="108">
        <f t="shared" si="19"/>
        <v>14.986910343078343</v>
      </c>
      <c r="R12" s="125">
        <f>P12/[2]행동력!$M$2</f>
        <v>1.5611364940706607E-2</v>
      </c>
      <c r="S12" s="109">
        <f t="shared" si="21"/>
        <v>899.21462058470058</v>
      </c>
      <c r="T12" s="127">
        <f>S12*[2]행동력!$BA$2</f>
        <v>179.84292411694014</v>
      </c>
      <c r="U12" s="110">
        <v>5</v>
      </c>
      <c r="V12" s="111">
        <f t="shared" si="2"/>
        <v>1.6666666666666667</v>
      </c>
      <c r="W12" s="111">
        <f t="shared" si="12"/>
        <v>2.5</v>
      </c>
      <c r="X12" s="208">
        <v>7.9591836734693855</v>
      </c>
      <c r="Y12" s="107">
        <f t="shared" si="3"/>
        <v>29312.5</v>
      </c>
      <c r="Z12" s="107">
        <f t="shared" si="13"/>
        <v>154062.5</v>
      </c>
      <c r="AA12" s="107">
        <f t="shared" si="4"/>
        <v>17587.5</v>
      </c>
      <c r="AB12" s="99">
        <v>1.9</v>
      </c>
      <c r="AC12" s="140">
        <v>5.5E-2</v>
      </c>
      <c r="AD12" s="108">
        <f t="shared" si="5"/>
        <v>1612.1875</v>
      </c>
      <c r="AE12" s="113">
        <f t="shared" si="20"/>
        <v>26.869791666666668</v>
      </c>
      <c r="AF12" s="63">
        <f t="shared" si="6"/>
        <v>55693.75</v>
      </c>
      <c r="AK12" s="230"/>
      <c r="AL12" s="107"/>
      <c r="AM12" s="107"/>
      <c r="AN12" s="97">
        <f t="shared" si="7"/>
        <v>12.195121951219512</v>
      </c>
      <c r="AO12" s="96">
        <f t="shared" si="14"/>
        <v>61.043480000000002</v>
      </c>
      <c r="AP12" s="96">
        <f t="shared" si="15"/>
        <v>47560.975609756097</v>
      </c>
      <c r="AQ12" s="96">
        <f t="shared" si="16"/>
        <v>87902.611199999999</v>
      </c>
      <c r="AR12" s="96">
        <f t="shared" si="17"/>
        <v>100</v>
      </c>
    </row>
    <row r="13" spans="1:44" s="122" customFormat="1" x14ac:dyDescent="0.2">
      <c r="A13" s="118">
        <f>[1]exp_table_hero!A12</f>
        <v>11</v>
      </c>
      <c r="B13" s="119">
        <f>[1]exp_table_hero!B12</f>
        <v>12700</v>
      </c>
      <c r="C13" s="119">
        <f t="shared" si="0"/>
        <v>25400</v>
      </c>
      <c r="D13" s="119">
        <f t="shared" si="1"/>
        <v>762</v>
      </c>
      <c r="E13" s="120"/>
      <c r="F13" s="120">
        <f t="shared" si="8"/>
        <v>0</v>
      </c>
      <c r="G13" s="120"/>
      <c r="H13" s="121">
        <f t="shared" si="18"/>
        <v>3529.375</v>
      </c>
      <c r="I13" s="122" t="s">
        <v>116</v>
      </c>
      <c r="L13" s="122">
        <v>11</v>
      </c>
      <c r="M13" s="123">
        <f t="shared" si="9"/>
        <v>121</v>
      </c>
      <c r="N13" s="124">
        <f>[2]행동력!$AB14*$I$17</f>
        <v>60345.45457826068</v>
      </c>
      <c r="O13" s="136"/>
      <c r="P13" s="125">
        <f>'계정 경험치 테이블'!B12/N13</f>
        <v>0.29082554970631291</v>
      </c>
      <c r="Q13" s="125">
        <f t="shared" si="19"/>
        <v>17.449532982378773</v>
      </c>
      <c r="R13" s="125">
        <f>P13/[2]행동력!$M$2</f>
        <v>1.8176596856644557E-2</v>
      </c>
      <c r="S13" s="126">
        <f t="shared" si="21"/>
        <v>1046.9719789427263</v>
      </c>
      <c r="T13" s="127">
        <f>S13*[2]행동력!$BA$2</f>
        <v>209.39439578854527</v>
      </c>
      <c r="U13" s="128">
        <v>5</v>
      </c>
      <c r="V13" s="129">
        <f t="shared" si="2"/>
        <v>1.6666666666666667</v>
      </c>
      <c r="W13" s="129">
        <f t="shared" si="12"/>
        <v>2.5</v>
      </c>
      <c r="X13" s="208">
        <v>8.5102040816326507</v>
      </c>
      <c r="Y13" s="124">
        <f t="shared" si="3"/>
        <v>31750</v>
      </c>
      <c r="Z13" s="124">
        <f t="shared" si="13"/>
        <v>185812.5</v>
      </c>
      <c r="AA13" s="124">
        <f t="shared" si="4"/>
        <v>19050</v>
      </c>
      <c r="AB13" s="99">
        <v>2</v>
      </c>
      <c r="AC13" s="140">
        <v>0.06</v>
      </c>
      <c r="AD13" s="125">
        <f t="shared" si="5"/>
        <v>1905</v>
      </c>
      <c r="AE13" s="130">
        <f t="shared" si="20"/>
        <v>31.75</v>
      </c>
      <c r="AF13" s="63">
        <f t="shared" si="6"/>
        <v>63500</v>
      </c>
      <c r="AG13" s="210"/>
      <c r="AH13" s="122">
        <f>1/117.211</f>
        <v>8.5316224586429595E-3</v>
      </c>
      <c r="AI13" s="122">
        <f>1/0.384</f>
        <v>2.6041666666666665</v>
      </c>
      <c r="AK13" s="127"/>
      <c r="AL13" s="124"/>
      <c r="AM13" s="124"/>
      <c r="AN13" s="97">
        <f t="shared" si="7"/>
        <v>14.756097560975611</v>
      </c>
      <c r="AO13" s="96">
        <f t="shared" si="14"/>
        <v>67.147828000000004</v>
      </c>
      <c r="AP13" s="96">
        <f t="shared" si="15"/>
        <v>51248.780487804877</v>
      </c>
      <c r="AQ13" s="96">
        <f t="shared" si="16"/>
        <v>96692.872320000009</v>
      </c>
      <c r="AR13" s="96">
        <f t="shared" si="17"/>
        <v>121</v>
      </c>
    </row>
    <row r="14" spans="1:44" s="41" customFormat="1" x14ac:dyDescent="0.2">
      <c r="A14" s="91">
        <f>[1]exp_table_hero!A13</f>
        <v>12</v>
      </c>
      <c r="B14" s="92">
        <f>[1]exp_table_hero!B13</f>
        <v>13675</v>
      </c>
      <c r="C14" s="92">
        <f t="shared" si="0"/>
        <v>28717.5</v>
      </c>
      <c r="D14" s="92">
        <f t="shared" si="1"/>
        <v>888.875</v>
      </c>
      <c r="E14" s="93">
        <f t="shared" si="8"/>
        <v>14.814583333333333</v>
      </c>
      <c r="F14" s="93">
        <f t="shared" si="8"/>
        <v>0.24690972222222221</v>
      </c>
      <c r="G14" s="93"/>
      <c r="H14" s="94">
        <f t="shared" si="18"/>
        <v>4418.25</v>
      </c>
      <c r="I14" s="41" t="s">
        <v>117</v>
      </c>
      <c r="J14" s="41" t="s">
        <v>62</v>
      </c>
      <c r="K14" s="41" t="s">
        <v>64</v>
      </c>
      <c r="L14" s="41">
        <v>12</v>
      </c>
      <c r="M14" s="95">
        <f t="shared" si="9"/>
        <v>144</v>
      </c>
      <c r="N14" s="96">
        <f>[2]행동력!$AB15*$I$17</f>
        <v>58157.259521642751</v>
      </c>
      <c r="O14" s="134"/>
      <c r="P14" s="97">
        <f>'계정 경험치 테이블'!B13/N14</f>
        <v>0.34819384830992817</v>
      </c>
      <c r="Q14" s="97">
        <f t="shared" si="19"/>
        <v>20.89163089859569</v>
      </c>
      <c r="R14" s="125">
        <f>P14/[2]행동력!$M$2</f>
        <v>2.176211551937051E-2</v>
      </c>
      <c r="S14" s="62">
        <f t="shared" si="21"/>
        <v>1253.4978539157414</v>
      </c>
      <c r="T14" s="127">
        <f>S14*[2]행동력!$BA$2</f>
        <v>250.69957078314829</v>
      </c>
      <c r="U14" s="76">
        <v>6</v>
      </c>
      <c r="V14" s="98">
        <f t="shared" si="2"/>
        <v>2</v>
      </c>
      <c r="W14" s="98">
        <f t="shared" si="12"/>
        <v>3</v>
      </c>
      <c r="X14" s="208">
        <v>9.0612244897959151</v>
      </c>
      <c r="Y14" s="96">
        <f t="shared" si="3"/>
        <v>41025</v>
      </c>
      <c r="Z14" s="96">
        <f t="shared" si="13"/>
        <v>226837.5</v>
      </c>
      <c r="AA14" s="96">
        <f t="shared" si="4"/>
        <v>27350</v>
      </c>
      <c r="AB14" s="99">
        <v>2.1</v>
      </c>
      <c r="AC14" s="140">
        <v>6.5000000000000002E-2</v>
      </c>
      <c r="AD14" s="97">
        <f t="shared" si="5"/>
        <v>2666.625</v>
      </c>
      <c r="AE14" s="100">
        <f t="shared" si="20"/>
        <v>44.443750000000001</v>
      </c>
      <c r="AF14" s="63">
        <f t="shared" si="6"/>
        <v>86152.5</v>
      </c>
      <c r="AG14" s="41" t="s">
        <v>170</v>
      </c>
      <c r="AK14" s="63"/>
      <c r="AL14" s="96"/>
      <c r="AM14" s="96"/>
      <c r="AN14" s="97">
        <f t="shared" si="7"/>
        <v>17.560975609756099</v>
      </c>
      <c r="AO14" s="96">
        <f t="shared" si="14"/>
        <v>73.252175999999992</v>
      </c>
      <c r="AP14" s="96">
        <f t="shared" si="15"/>
        <v>55287.804878048781</v>
      </c>
      <c r="AQ14" s="96">
        <f t="shared" si="16"/>
        <v>105483.13343999999</v>
      </c>
      <c r="AR14" s="96">
        <f t="shared" si="17"/>
        <v>144</v>
      </c>
    </row>
    <row r="15" spans="1:44" s="41" customFormat="1" x14ac:dyDescent="0.2">
      <c r="A15" s="91">
        <f>[1]exp_table_hero!A14</f>
        <v>13</v>
      </c>
      <c r="B15" s="92">
        <f>[1]exp_table_hero!B14</f>
        <v>14650</v>
      </c>
      <c r="C15" s="92">
        <f t="shared" si="0"/>
        <v>32230.000000000004</v>
      </c>
      <c r="D15" s="92">
        <f t="shared" si="1"/>
        <v>1025.5</v>
      </c>
      <c r="E15" s="93">
        <f t="shared" si="8"/>
        <v>17.091666666666665</v>
      </c>
      <c r="F15" s="93">
        <f t="shared" si="8"/>
        <v>0.28486111111111106</v>
      </c>
      <c r="G15" s="93"/>
      <c r="H15" s="94">
        <f t="shared" si="18"/>
        <v>5443.75</v>
      </c>
      <c r="I15" s="131">
        <v>1</v>
      </c>
      <c r="J15" s="131"/>
      <c r="K15" s="131"/>
      <c r="L15" s="41">
        <v>13</v>
      </c>
      <c r="M15" s="95">
        <f t="shared" si="9"/>
        <v>169</v>
      </c>
      <c r="N15" s="96">
        <f>[2]행동력!$AB16*$I$17</f>
        <v>55898.842790596871</v>
      </c>
      <c r="O15" s="134"/>
      <c r="P15" s="97">
        <f>'계정 경험치 테이블'!B14/N15</f>
        <v>0.41592989835401462</v>
      </c>
      <c r="Q15" s="97">
        <f t="shared" si="19"/>
        <v>24.955793901240877</v>
      </c>
      <c r="R15" s="125">
        <f>P15/[2]행동력!$M$2</f>
        <v>2.5995618647125913E-2</v>
      </c>
      <c r="S15" s="62">
        <f t="shared" si="21"/>
        <v>1497.3476340744526</v>
      </c>
      <c r="T15" s="127">
        <f>S15*[2]행동력!$BA$2</f>
        <v>299.46952681489051</v>
      </c>
      <c r="U15" s="76">
        <v>6</v>
      </c>
      <c r="V15" s="98">
        <f t="shared" si="2"/>
        <v>2</v>
      </c>
      <c r="W15" s="98">
        <f t="shared" si="12"/>
        <v>3</v>
      </c>
      <c r="X15" s="208">
        <v>9.6122448979591795</v>
      </c>
      <c r="Y15" s="96">
        <f t="shared" si="3"/>
        <v>43950</v>
      </c>
      <c r="Z15" s="96">
        <f t="shared" si="13"/>
        <v>270787.5</v>
      </c>
      <c r="AA15" s="96">
        <f t="shared" si="4"/>
        <v>29300</v>
      </c>
      <c r="AB15" s="99">
        <v>2.2000000000000002</v>
      </c>
      <c r="AC15" s="140">
        <v>7.0000000000000007E-2</v>
      </c>
      <c r="AD15" s="97">
        <f t="shared" ref="AD15:AD52" si="22">Y15*$AC15</f>
        <v>3076.5000000000005</v>
      </c>
      <c r="AE15" s="100">
        <f t="shared" si="20"/>
        <v>51.275000000000006</v>
      </c>
      <c r="AF15" s="63">
        <f t="shared" si="6"/>
        <v>96690.000000000015</v>
      </c>
      <c r="AG15" s="41" t="s">
        <v>171</v>
      </c>
      <c r="AK15" s="63"/>
      <c r="AL15" s="96"/>
      <c r="AM15" s="96"/>
      <c r="AN15" s="97">
        <f t="shared" si="7"/>
        <v>20.609756097560979</v>
      </c>
      <c r="AO15" s="96">
        <f t="shared" si="14"/>
        <v>79.356524000000007</v>
      </c>
      <c r="AP15" s="96">
        <f t="shared" si="15"/>
        <v>59678.048780487807</v>
      </c>
      <c r="AQ15" s="96">
        <f t="shared" si="16"/>
        <v>114273.39456000002</v>
      </c>
      <c r="AR15" s="96">
        <f t="shared" si="17"/>
        <v>169</v>
      </c>
    </row>
    <row r="16" spans="1:44" s="41" customFormat="1" x14ac:dyDescent="0.2">
      <c r="A16" s="91">
        <f>[1]exp_table_hero!A15</f>
        <v>14</v>
      </c>
      <c r="B16" s="92">
        <f>[1]exp_table_hero!B15</f>
        <v>15625</v>
      </c>
      <c r="C16" s="92">
        <f t="shared" si="0"/>
        <v>35937.5</v>
      </c>
      <c r="D16" s="92">
        <f t="shared" si="1"/>
        <v>1171.875</v>
      </c>
      <c r="E16" s="93">
        <f t="shared" si="8"/>
        <v>19.53125</v>
      </c>
      <c r="F16" s="93">
        <f t="shared" si="8"/>
        <v>0.32552083333333331</v>
      </c>
      <c r="G16" s="93"/>
      <c r="H16" s="94">
        <f t="shared" si="18"/>
        <v>6615.625</v>
      </c>
      <c r="I16" s="41" t="s">
        <v>85</v>
      </c>
      <c r="L16" s="41">
        <v>14</v>
      </c>
      <c r="M16" s="95">
        <f t="shared" si="9"/>
        <v>196</v>
      </c>
      <c r="N16" s="96">
        <f>[2]행동력!$AB17*$I$17</f>
        <v>53580.555999607641</v>
      </c>
      <c r="O16" s="134"/>
      <c r="P16" s="97">
        <f>'계정 경험치 테이블'!B15/N16</f>
        <v>0.50391414378375832</v>
      </c>
      <c r="Q16" s="97">
        <f t="shared" si="19"/>
        <v>30.234848627025499</v>
      </c>
      <c r="R16" s="125">
        <f>P16/[2]행동력!$M$2</f>
        <v>3.1494633986484895E-2</v>
      </c>
      <c r="S16" s="62">
        <f t="shared" si="21"/>
        <v>1814.09091762153</v>
      </c>
      <c r="T16" s="127">
        <f>S16*[2]행동력!$BA$2</f>
        <v>362.81818352430605</v>
      </c>
      <c r="U16" s="76">
        <v>6</v>
      </c>
      <c r="V16" s="98">
        <f t="shared" si="2"/>
        <v>2</v>
      </c>
      <c r="W16" s="98">
        <f t="shared" si="12"/>
        <v>3</v>
      </c>
      <c r="X16" s="208">
        <v>10.163265306122446</v>
      </c>
      <c r="Y16" s="96">
        <f t="shared" si="3"/>
        <v>46875</v>
      </c>
      <c r="Z16" s="96">
        <f t="shared" si="13"/>
        <v>317662.5</v>
      </c>
      <c r="AA16" s="96">
        <f t="shared" si="4"/>
        <v>31250</v>
      </c>
      <c r="AB16" s="99">
        <v>2.2999999999999998</v>
      </c>
      <c r="AC16" s="140">
        <v>7.4999999999999997E-2</v>
      </c>
      <c r="AD16" s="97">
        <f t="shared" si="22"/>
        <v>3515.625</v>
      </c>
      <c r="AE16" s="100">
        <f t="shared" si="20"/>
        <v>58.59375</v>
      </c>
      <c r="AF16" s="63">
        <f t="shared" si="6"/>
        <v>107812.49999999999</v>
      </c>
      <c r="AG16" s="41" t="s">
        <v>172</v>
      </c>
      <c r="AK16" s="63"/>
      <c r="AL16" s="96"/>
      <c r="AM16" s="96"/>
      <c r="AN16" s="97">
        <f t="shared" si="7"/>
        <v>23.902439024390247</v>
      </c>
      <c r="AO16" s="96">
        <f t="shared" si="14"/>
        <v>85.460872000000009</v>
      </c>
      <c r="AP16" s="96">
        <f t="shared" si="15"/>
        <v>64419.512195121955</v>
      </c>
      <c r="AQ16" s="96">
        <f t="shared" si="16"/>
        <v>123063.65568000001</v>
      </c>
      <c r="AR16" s="96">
        <f t="shared" si="17"/>
        <v>196</v>
      </c>
    </row>
    <row r="17" spans="1:44" s="105" customFormat="1" x14ac:dyDescent="0.2">
      <c r="A17" s="101">
        <f>[1]exp_table_hero!A16</f>
        <v>15</v>
      </c>
      <c r="B17" s="102">
        <f>[1]exp_table_hero!B16</f>
        <v>16600</v>
      </c>
      <c r="C17" s="102">
        <f t="shared" si="0"/>
        <v>39840</v>
      </c>
      <c r="D17" s="102">
        <f t="shared" si="1"/>
        <v>1328</v>
      </c>
      <c r="E17" s="103">
        <f t="shared" si="8"/>
        <v>22.133333333333333</v>
      </c>
      <c r="F17" s="103">
        <f t="shared" si="8"/>
        <v>0.36888888888888888</v>
      </c>
      <c r="G17" s="103"/>
      <c r="H17" s="104">
        <f t="shared" si="18"/>
        <v>7943.625</v>
      </c>
      <c r="I17" s="233">
        <v>1500</v>
      </c>
      <c r="L17" s="105">
        <v>15</v>
      </c>
      <c r="M17" s="106">
        <f t="shared" si="9"/>
        <v>225</v>
      </c>
      <c r="N17" s="107">
        <f>[2]행동력!$AB18*$I$17</f>
        <v>51214.020569314867</v>
      </c>
      <c r="O17" s="135"/>
      <c r="P17" s="108">
        <f>'계정 경험치 테이블'!B16/N17</f>
        <v>0.61506594580612517</v>
      </c>
      <c r="Q17" s="108">
        <f t="shared" si="19"/>
        <v>36.903956748367513</v>
      </c>
      <c r="R17" s="125">
        <f>P17/[2]행동력!$M$2</f>
        <v>3.8441621612882823E-2</v>
      </c>
      <c r="S17" s="109">
        <f t="shared" si="21"/>
        <v>2214.2374049020509</v>
      </c>
      <c r="T17" s="127">
        <f>S17*[2]행동력!$BA$2</f>
        <v>442.84748098041018</v>
      </c>
      <c r="U17" s="110">
        <v>7</v>
      </c>
      <c r="V17" s="111">
        <f t="shared" si="2"/>
        <v>2.3333333333333335</v>
      </c>
      <c r="W17" s="111">
        <f t="shared" si="12"/>
        <v>3.5</v>
      </c>
      <c r="X17" s="208">
        <v>10.71428571428571</v>
      </c>
      <c r="Y17" s="107">
        <f t="shared" si="3"/>
        <v>58100</v>
      </c>
      <c r="Z17" s="107">
        <f t="shared" si="13"/>
        <v>375762.5</v>
      </c>
      <c r="AA17" s="107">
        <f t="shared" si="4"/>
        <v>41500</v>
      </c>
      <c r="AB17" s="99">
        <v>2.4</v>
      </c>
      <c r="AC17" s="140">
        <v>0.08</v>
      </c>
      <c r="AD17" s="108">
        <f t="shared" si="22"/>
        <v>4648</v>
      </c>
      <c r="AE17" s="113">
        <f t="shared" si="20"/>
        <v>77.466666666666669</v>
      </c>
      <c r="AF17" s="63">
        <f t="shared" si="6"/>
        <v>139440</v>
      </c>
      <c r="AG17" s="105" t="s">
        <v>173</v>
      </c>
      <c r="AK17" s="230"/>
      <c r="AL17" s="107"/>
      <c r="AM17" s="107"/>
      <c r="AN17" s="97">
        <f t="shared" si="7"/>
        <v>27.439024390243905</v>
      </c>
      <c r="AO17" s="96">
        <f t="shared" si="14"/>
        <v>91.565219999999997</v>
      </c>
      <c r="AP17" s="96">
        <f t="shared" si="15"/>
        <v>69512.195121951227</v>
      </c>
      <c r="AQ17" s="96">
        <f t="shared" si="16"/>
        <v>131853.91680000001</v>
      </c>
      <c r="AR17" s="96">
        <f t="shared" si="17"/>
        <v>225</v>
      </c>
    </row>
    <row r="18" spans="1:44" s="122" customFormat="1" x14ac:dyDescent="0.2">
      <c r="A18" s="118">
        <f>[1]exp_table_hero!A17</f>
        <v>16</v>
      </c>
      <c r="B18" s="119">
        <f>[1]exp_table_hero!B17</f>
        <v>17575</v>
      </c>
      <c r="C18" s="119">
        <f t="shared" si="0"/>
        <v>43937.5</v>
      </c>
      <c r="D18" s="119">
        <f t="shared" si="1"/>
        <v>1493.875</v>
      </c>
      <c r="E18" s="120"/>
      <c r="F18" s="120">
        <f t="shared" si="8"/>
        <v>0</v>
      </c>
      <c r="G18" s="120"/>
      <c r="H18" s="121">
        <f t="shared" si="18"/>
        <v>9437.5</v>
      </c>
      <c r="I18" s="122" t="s">
        <v>118</v>
      </c>
      <c r="L18" s="122">
        <v>16</v>
      </c>
      <c r="M18" s="123">
        <f t="shared" si="9"/>
        <v>256</v>
      </c>
      <c r="N18" s="124">
        <f>[2]행동력!$AB19*$I$17</f>
        <v>48811.918442739356</v>
      </c>
      <c r="O18" s="136"/>
      <c r="P18" s="125">
        <f>'계정 경험치 테이블'!B17/N18</f>
        <v>0.76825499173917489</v>
      </c>
      <c r="Q18" s="125">
        <f t="shared" si="19"/>
        <v>46.095299504350493</v>
      </c>
      <c r="R18" s="125">
        <f>P18/[2]행동력!$M$2</f>
        <v>4.801593698369843E-2</v>
      </c>
      <c r="S18" s="126">
        <f t="shared" si="21"/>
        <v>2765.7179702610297</v>
      </c>
      <c r="T18" s="127">
        <f>S18*[2]행동력!$BA$2</f>
        <v>553.14359405220591</v>
      </c>
      <c r="U18" s="128">
        <v>7</v>
      </c>
      <c r="V18" s="129">
        <f t="shared" si="2"/>
        <v>2.3333333333333335</v>
      </c>
      <c r="W18" s="129">
        <f t="shared" si="12"/>
        <v>3.5</v>
      </c>
      <c r="X18" s="208">
        <v>11.265306122448976</v>
      </c>
      <c r="Y18" s="124">
        <f t="shared" si="3"/>
        <v>61512.5</v>
      </c>
      <c r="Z18" s="124">
        <f t="shared" si="13"/>
        <v>437275</v>
      </c>
      <c r="AA18" s="124">
        <f t="shared" si="4"/>
        <v>43937.5</v>
      </c>
      <c r="AB18" s="99">
        <v>2.5</v>
      </c>
      <c r="AC18" s="140">
        <v>8.5000000000000006E-2</v>
      </c>
      <c r="AD18" s="125">
        <f t="shared" si="22"/>
        <v>5228.5625</v>
      </c>
      <c r="AE18" s="130">
        <f t="shared" si="20"/>
        <v>87.142708333333331</v>
      </c>
      <c r="AF18" s="63">
        <f t="shared" si="6"/>
        <v>153781.25</v>
      </c>
      <c r="AG18" s="122" t="s">
        <v>174</v>
      </c>
      <c r="AK18" s="127"/>
      <c r="AL18" s="124"/>
      <c r="AM18" s="124"/>
      <c r="AN18" s="97">
        <f t="shared" si="7"/>
        <v>31.219512195121954</v>
      </c>
      <c r="AO18" s="96">
        <f t="shared" si="14"/>
        <v>97.669567999999998</v>
      </c>
      <c r="AP18" s="96">
        <f t="shared" si="15"/>
        <v>74956.097560975613</v>
      </c>
      <c r="AQ18" s="96">
        <f t="shared" si="16"/>
        <v>140644.17791999999</v>
      </c>
      <c r="AR18" s="96">
        <f t="shared" si="17"/>
        <v>256</v>
      </c>
    </row>
    <row r="19" spans="1:44" s="41" customFormat="1" x14ac:dyDescent="0.2">
      <c r="A19" s="91">
        <f>[1]exp_table_hero!A18</f>
        <v>17</v>
      </c>
      <c r="B19" s="92">
        <f>[1]exp_table_hero!B18</f>
        <v>18550</v>
      </c>
      <c r="C19" s="92">
        <f t="shared" si="0"/>
        <v>48230</v>
      </c>
      <c r="D19" s="92">
        <f t="shared" si="1"/>
        <v>1669.5</v>
      </c>
      <c r="E19" s="93">
        <f t="shared" si="8"/>
        <v>27.824999999999999</v>
      </c>
      <c r="F19" s="93">
        <f t="shared" si="8"/>
        <v>0.46375</v>
      </c>
      <c r="G19" s="93"/>
      <c r="H19" s="94">
        <f t="shared" si="18"/>
        <v>11107</v>
      </c>
      <c r="L19" s="41">
        <v>17</v>
      </c>
      <c r="M19" s="95">
        <f t="shared" si="9"/>
        <v>289</v>
      </c>
      <c r="N19" s="96">
        <f>[2]행동력!$AB20*$I$17</f>
        <v>46387.734581953817</v>
      </c>
      <c r="O19" s="134"/>
      <c r="P19" s="97">
        <f>'계정 경험치 테이블'!B18/N19</f>
        <v>0.93774788512571106</v>
      </c>
      <c r="Q19" s="97">
        <f t="shared" si="19"/>
        <v>56.264873107542662</v>
      </c>
      <c r="R19" s="125">
        <f>P19/[2]행동력!$M$2</f>
        <v>5.8609242820356941E-2</v>
      </c>
      <c r="S19" s="62">
        <f t="shared" si="21"/>
        <v>3375.8923864525595</v>
      </c>
      <c r="T19" s="127">
        <f>S19*[2]행동력!$BA$2</f>
        <v>675.17847729051198</v>
      </c>
      <c r="U19" s="76">
        <v>7</v>
      </c>
      <c r="V19" s="98">
        <f t="shared" si="2"/>
        <v>2.3333333333333335</v>
      </c>
      <c r="W19" s="98">
        <f t="shared" si="12"/>
        <v>3.5</v>
      </c>
      <c r="X19" s="208">
        <v>11.81632653061224</v>
      </c>
      <c r="Y19" s="96">
        <f t="shared" si="3"/>
        <v>64925</v>
      </c>
      <c r="Z19" s="96">
        <f t="shared" si="13"/>
        <v>502200</v>
      </c>
      <c r="AA19" s="96">
        <f t="shared" si="4"/>
        <v>46375</v>
      </c>
      <c r="AB19" s="99">
        <v>2.6</v>
      </c>
      <c r="AC19" s="140">
        <v>0.09</v>
      </c>
      <c r="AD19" s="97">
        <f t="shared" si="22"/>
        <v>5843.25</v>
      </c>
      <c r="AE19" s="100">
        <f t="shared" si="20"/>
        <v>97.387500000000003</v>
      </c>
      <c r="AF19" s="63">
        <f t="shared" si="6"/>
        <v>168805</v>
      </c>
      <c r="AG19" s="41">
        <f>2.604*117.211</f>
        <v>305.217444</v>
      </c>
      <c r="AK19" s="63"/>
      <c r="AL19" s="96"/>
      <c r="AM19" s="96"/>
      <c r="AN19" s="97">
        <f t="shared" si="7"/>
        <v>35.243902439024396</v>
      </c>
      <c r="AO19" s="96">
        <f t="shared" si="14"/>
        <v>103.773916</v>
      </c>
      <c r="AP19" s="96">
        <f t="shared" si="15"/>
        <v>80751.219512195123</v>
      </c>
      <c r="AQ19" s="96">
        <f t="shared" si="16"/>
        <v>149434.43904</v>
      </c>
      <c r="AR19" s="96">
        <f t="shared" si="17"/>
        <v>289</v>
      </c>
    </row>
    <row r="20" spans="1:44" s="41" customFormat="1" x14ac:dyDescent="0.2">
      <c r="A20" s="91">
        <f>[1]exp_table_hero!A19</f>
        <v>18</v>
      </c>
      <c r="B20" s="92">
        <f>[1]exp_table_hero!B19</f>
        <v>19525</v>
      </c>
      <c r="C20" s="92">
        <f t="shared" si="0"/>
        <v>53793.199025466492</v>
      </c>
      <c r="D20" s="92">
        <f t="shared" si="1"/>
        <v>1854.875</v>
      </c>
      <c r="E20" s="93">
        <f t="shared" ref="E20:F35" si="23">D20/60</f>
        <v>30.914583333333333</v>
      </c>
      <c r="F20" s="93">
        <f t="shared" si="23"/>
        <v>0.5152430555555555</v>
      </c>
      <c r="G20" s="93"/>
      <c r="H20" s="94">
        <f t="shared" si="18"/>
        <v>12961.875</v>
      </c>
      <c r="I20" s="41" t="s">
        <v>91</v>
      </c>
      <c r="L20" s="41">
        <v>18</v>
      </c>
      <c r="M20" s="95">
        <f t="shared" si="9"/>
        <v>324</v>
      </c>
      <c r="N20" s="96">
        <f>[2]행동력!$AB21*$I$17</f>
        <v>43955.461578940987</v>
      </c>
      <c r="O20" s="134"/>
      <c r="P20" s="97">
        <f>'계정 경험치 테이블'!B19/N20</f>
        <v>1.1602653724476879</v>
      </c>
      <c r="Q20" s="97">
        <f t="shared" si="19"/>
        <v>69.615922346861268</v>
      </c>
      <c r="R20" s="125">
        <f>P20/[2]행동력!$M$2</f>
        <v>7.2516585777980494E-2</v>
      </c>
      <c r="S20" s="62">
        <f t="shared" si="21"/>
        <v>4176.9553408116763</v>
      </c>
      <c r="T20" s="127">
        <f>S20*[2]행동력!$BA$2</f>
        <v>835.39106816233527</v>
      </c>
      <c r="U20" s="76">
        <v>7</v>
      </c>
      <c r="V20" s="98">
        <f t="shared" si="2"/>
        <v>2.3333333333333335</v>
      </c>
      <c r="W20" s="98">
        <f t="shared" si="12"/>
        <v>3.5</v>
      </c>
      <c r="X20" s="208">
        <v>12.367346938775505</v>
      </c>
      <c r="Y20" s="96">
        <f t="shared" si="3"/>
        <v>68337.5</v>
      </c>
      <c r="Z20" s="96">
        <f t="shared" si="13"/>
        <v>570537.5</v>
      </c>
      <c r="AA20" s="96">
        <f t="shared" si="4"/>
        <v>48812.5</v>
      </c>
      <c r="AB20" s="99">
        <f>[2]행동력!$BA21/Y20</f>
        <v>2.7550934199982837</v>
      </c>
      <c r="AC20" s="140">
        <v>9.5000000000000001E-2</v>
      </c>
      <c r="AD20" s="97">
        <f t="shared" si="22"/>
        <v>6492.0625</v>
      </c>
      <c r="AE20" s="100">
        <f t="shared" si="20"/>
        <v>108.20104166666667</v>
      </c>
      <c r="AF20" s="63">
        <f t="shared" si="6"/>
        <v>188276.19658913271</v>
      </c>
      <c r="AG20" s="41" t="s">
        <v>175</v>
      </c>
      <c r="AH20" s="41" t="s">
        <v>176</v>
      </c>
      <c r="AK20" s="63"/>
      <c r="AL20" s="96"/>
      <c r="AM20" s="96"/>
      <c r="AN20" s="97">
        <f t="shared" si="7"/>
        <v>39.512195121951223</v>
      </c>
      <c r="AO20" s="96">
        <f t="shared" si="14"/>
        <v>109.878264</v>
      </c>
      <c r="AP20" s="96">
        <f t="shared" si="15"/>
        <v>86897.560975609755</v>
      </c>
      <c r="AQ20" s="96">
        <f t="shared" si="16"/>
        <v>158224.70016000001</v>
      </c>
      <c r="AR20" s="96">
        <f t="shared" si="17"/>
        <v>324</v>
      </c>
    </row>
    <row r="21" spans="1:44" s="41" customFormat="1" x14ac:dyDescent="0.2">
      <c r="A21" s="91">
        <f>[1]exp_table_hero!A20</f>
        <v>19</v>
      </c>
      <c r="B21" s="92">
        <f>[1]exp_table_hero!B20</f>
        <v>20500</v>
      </c>
      <c r="C21" s="92">
        <f t="shared" si="0"/>
        <v>76174.718553957224</v>
      </c>
      <c r="D21" s="92">
        <f t="shared" si="1"/>
        <v>2050</v>
      </c>
      <c r="E21" s="93">
        <f t="shared" si="23"/>
        <v>34.166666666666664</v>
      </c>
      <c r="F21" s="93">
        <f t="shared" si="23"/>
        <v>0.56944444444444442</v>
      </c>
      <c r="G21" s="93"/>
      <c r="H21" s="94">
        <f t="shared" si="18"/>
        <v>15011.875</v>
      </c>
      <c r="I21" s="41" t="s">
        <v>90</v>
      </c>
      <c r="L21" s="41">
        <v>19</v>
      </c>
      <c r="M21" s="95">
        <f t="shared" si="9"/>
        <v>361</v>
      </c>
      <c r="N21" s="96">
        <f>[2]행동력!$AB22*$I$17</f>
        <v>41529.279723425119</v>
      </c>
      <c r="O21" s="134"/>
      <c r="P21" s="97">
        <f>'계정 경험치 테이블'!B20/N21</f>
        <v>1.480882895383089</v>
      </c>
      <c r="Q21" s="97">
        <f t="shared" si="19"/>
        <v>88.85297372298534</v>
      </c>
      <c r="R21" s="125">
        <f>P21/[2]행동력!$M$2</f>
        <v>9.2555180961443065E-2</v>
      </c>
      <c r="S21" s="62">
        <f t="shared" si="21"/>
        <v>5331.1784233791204</v>
      </c>
      <c r="T21" s="127">
        <f>S21*[2]행동력!$BA$2</f>
        <v>1066.2356846758241</v>
      </c>
      <c r="U21" s="76">
        <v>7</v>
      </c>
      <c r="V21" s="98">
        <f t="shared" si="2"/>
        <v>2.3333333333333335</v>
      </c>
      <c r="W21" s="98">
        <f t="shared" si="12"/>
        <v>3.5</v>
      </c>
      <c r="X21" s="208">
        <v>12.918367346938771</v>
      </c>
      <c r="Y21" s="96">
        <f t="shared" si="3"/>
        <v>71750</v>
      </c>
      <c r="Z21" s="96">
        <f t="shared" si="13"/>
        <v>642287.5</v>
      </c>
      <c r="AA21" s="96">
        <f t="shared" si="4"/>
        <v>51250</v>
      </c>
      <c r="AB21" s="99">
        <f>[2]행동력!$BA22/Y21</f>
        <v>3.7158399294613282</v>
      </c>
      <c r="AC21" s="140">
        <v>0.1</v>
      </c>
      <c r="AD21" s="97">
        <f t="shared" si="22"/>
        <v>7175</v>
      </c>
      <c r="AE21" s="100">
        <f t="shared" si="20"/>
        <v>119.58333333333333</v>
      </c>
      <c r="AF21" s="63">
        <f t="shared" si="6"/>
        <v>266611.51493885031</v>
      </c>
      <c r="AG21" s="41">
        <f>1.8*60*60</f>
        <v>6480</v>
      </c>
      <c r="AH21" s="96">
        <f>AG21*305.21</f>
        <v>1977760.7999999998</v>
      </c>
      <c r="AK21" s="100">
        <f>E27/[2]행동력!$F$28</f>
        <v>0.49729857492214702</v>
      </c>
      <c r="AL21" s="96">
        <f>AK21*[2]행동력!$AT$28</f>
        <v>1830903.148395818</v>
      </c>
      <c r="AM21" s="96"/>
      <c r="AN21" s="97">
        <f t="shared" si="7"/>
        <v>44.024390243902445</v>
      </c>
      <c r="AO21" s="96">
        <f t="shared" si="14"/>
        <v>115.982612</v>
      </c>
      <c r="AP21" s="96">
        <f t="shared" si="15"/>
        <v>93395.121951219524</v>
      </c>
      <c r="AQ21" s="96">
        <f t="shared" si="16"/>
        <v>167014.96128000002</v>
      </c>
      <c r="AR21" s="96">
        <f t="shared" si="17"/>
        <v>361</v>
      </c>
    </row>
    <row r="22" spans="1:44" s="105" customFormat="1" x14ac:dyDescent="0.2">
      <c r="A22" s="101">
        <f>[1]exp_table_hero!A21</f>
        <v>20</v>
      </c>
      <c r="B22" s="102">
        <f>[1]exp_table_hero!B21</f>
        <v>21475</v>
      </c>
      <c r="C22" s="102">
        <f t="shared" si="0"/>
        <v>90736.188272859872</v>
      </c>
      <c r="D22" s="102">
        <f t="shared" si="1"/>
        <v>2254.875</v>
      </c>
      <c r="E22" s="103">
        <f t="shared" si="23"/>
        <v>37.581249999999997</v>
      </c>
      <c r="F22" s="103">
        <f t="shared" si="23"/>
        <v>0.62635416666666666</v>
      </c>
      <c r="G22" s="103"/>
      <c r="H22" s="104">
        <f t="shared" si="18"/>
        <v>17266.75</v>
      </c>
      <c r="I22" s="106" t="s">
        <v>122</v>
      </c>
      <c r="L22" s="105">
        <v>20</v>
      </c>
      <c r="M22" s="106">
        <f t="shared" si="9"/>
        <v>400</v>
      </c>
      <c r="N22" s="107">
        <f>[2]행동력!$AB23*$I$17</f>
        <v>39123.227881474289</v>
      </c>
      <c r="O22" s="135"/>
      <c r="P22" s="108">
        <f>'계정 경험치 테이블'!B21/N22</f>
        <v>1.9170197363882173</v>
      </c>
      <c r="Q22" s="108">
        <f t="shared" si="19"/>
        <v>115.02118418329304</v>
      </c>
      <c r="R22" s="125">
        <f>P22/[2]행동력!$M$2</f>
        <v>0.11981373352426358</v>
      </c>
      <c r="S22" s="109">
        <f t="shared" si="21"/>
        <v>6901.2710509975823</v>
      </c>
      <c r="T22" s="127">
        <f>S22*[2]행동력!$BA$2</f>
        <v>1380.2542101995166</v>
      </c>
      <c r="U22" s="110">
        <v>8</v>
      </c>
      <c r="V22" s="111">
        <f t="shared" si="2"/>
        <v>2.6666666666666665</v>
      </c>
      <c r="W22" s="111">
        <f t="shared" si="12"/>
        <v>4</v>
      </c>
      <c r="X22" s="208">
        <v>13.469387755102035</v>
      </c>
      <c r="Y22" s="107">
        <f t="shared" si="3"/>
        <v>85900</v>
      </c>
      <c r="Z22" s="107">
        <f t="shared" si="13"/>
        <v>728187.5</v>
      </c>
      <c r="AA22" s="107">
        <f t="shared" si="4"/>
        <v>64425</v>
      </c>
      <c r="AB22" s="99">
        <f>[2]행동력!$BA23/Y22</f>
        <v>4.2252008508898662</v>
      </c>
      <c r="AC22" s="140">
        <v>0.105</v>
      </c>
      <c r="AD22" s="108">
        <f t="shared" si="22"/>
        <v>9019.5</v>
      </c>
      <c r="AE22" s="113">
        <f t="shared" si="20"/>
        <v>150.32499999999999</v>
      </c>
      <c r="AF22" s="63">
        <f t="shared" si="6"/>
        <v>362944.75309143949</v>
      </c>
      <c r="AK22" s="230">
        <f>[2]행동력!$AQ$28*F27</f>
        <v>2324175.1483958182</v>
      </c>
      <c r="AL22" s="107"/>
      <c r="AM22" s="107">
        <f>540*0.75</f>
        <v>405</v>
      </c>
      <c r="AN22" s="97">
        <f t="shared" si="7"/>
        <v>48.780487804878049</v>
      </c>
      <c r="AO22" s="96">
        <f t="shared" si="14"/>
        <v>122.08696</v>
      </c>
      <c r="AP22" s="96">
        <f t="shared" si="15"/>
        <v>100243.90243902439</v>
      </c>
      <c r="AQ22" s="96">
        <f t="shared" si="16"/>
        <v>175805.2224</v>
      </c>
      <c r="AR22" s="96">
        <f t="shared" si="17"/>
        <v>400</v>
      </c>
    </row>
    <row r="23" spans="1:44" s="122" customFormat="1" x14ac:dyDescent="0.2">
      <c r="A23" s="118">
        <f>[1]exp_table_hero!A22</f>
        <v>21</v>
      </c>
      <c r="B23" s="119">
        <f>[1]exp_table_hero!B22</f>
        <v>22450</v>
      </c>
      <c r="C23" s="119">
        <f t="shared" si="0"/>
        <v>132157.343662317</v>
      </c>
      <c r="D23" s="119">
        <f t="shared" si="1"/>
        <v>2469.5</v>
      </c>
      <c r="E23" s="120">
        <f t="shared" si="23"/>
        <v>41.158333333333331</v>
      </c>
      <c r="F23" s="120">
        <f t="shared" si="23"/>
        <v>0.68597222222222221</v>
      </c>
      <c r="G23" s="120"/>
      <c r="H23" s="121">
        <f t="shared" si="18"/>
        <v>19736.25</v>
      </c>
      <c r="I23" s="106" t="s">
        <v>123</v>
      </c>
      <c r="L23" s="122">
        <v>21</v>
      </c>
      <c r="M23" s="123">
        <f t="shared" si="9"/>
        <v>441</v>
      </c>
      <c r="N23" s="124">
        <f>[2]행동력!$AB24*$I$17</f>
        <v>36750.881303562332</v>
      </c>
      <c r="O23" s="136"/>
      <c r="P23" s="125">
        <f>'계정 경험치 테이블'!B22/N23</f>
        <v>2.5604828146224268</v>
      </c>
      <c r="Q23" s="125">
        <f t="shared" si="19"/>
        <v>153.62896887734561</v>
      </c>
      <c r="R23" s="125">
        <f>P23/[2]행동력!$M$2</f>
        <v>0.16003017591390167</v>
      </c>
      <c r="S23" s="126">
        <f t="shared" si="21"/>
        <v>9217.7381326407376</v>
      </c>
      <c r="T23" s="127">
        <f>S23*[2]행동력!$BA$2</f>
        <v>1843.5476265281477</v>
      </c>
      <c r="U23" s="128">
        <v>8</v>
      </c>
      <c r="V23" s="129">
        <f t="shared" si="2"/>
        <v>2.6666666666666665</v>
      </c>
      <c r="W23" s="129">
        <f t="shared" si="12"/>
        <v>4</v>
      </c>
      <c r="X23" s="208">
        <v>14.020408163265301</v>
      </c>
      <c r="Y23" s="124">
        <f t="shared" si="3"/>
        <v>89800</v>
      </c>
      <c r="Z23" s="124">
        <f t="shared" si="13"/>
        <v>817987.5</v>
      </c>
      <c r="AA23" s="124">
        <f t="shared" si="4"/>
        <v>67350</v>
      </c>
      <c r="AB23" s="99">
        <f>[2]행동력!$BA24/Y23</f>
        <v>5.8867413658047658</v>
      </c>
      <c r="AC23" s="140">
        <v>0.11</v>
      </c>
      <c r="AD23" s="125">
        <f t="shared" si="22"/>
        <v>9878</v>
      </c>
      <c r="AE23" s="130">
        <f t="shared" si="20"/>
        <v>164.63333333333333</v>
      </c>
      <c r="AF23" s="63">
        <f t="shared" si="6"/>
        <v>528629.37464926799</v>
      </c>
      <c r="AJ23" s="122" t="s">
        <v>168</v>
      </c>
      <c r="AK23" s="127"/>
      <c r="AL23" s="124"/>
      <c r="AM23" s="124">
        <f>540/1.47</f>
        <v>367.34693877551024</v>
      </c>
      <c r="AN23" s="97">
        <f t="shared" si="7"/>
        <v>53.780487804878057</v>
      </c>
      <c r="AO23" s="96">
        <f t="shared" si="14"/>
        <v>128.19130799999999</v>
      </c>
      <c r="AP23" s="96">
        <f t="shared" si="15"/>
        <v>107443.9024390244</v>
      </c>
      <c r="AQ23" s="96">
        <f t="shared" si="16"/>
        <v>184595.48351999998</v>
      </c>
      <c r="AR23" s="96">
        <f t="shared" si="17"/>
        <v>441</v>
      </c>
    </row>
    <row r="24" spans="1:44" s="41" customFormat="1" x14ac:dyDescent="0.2">
      <c r="A24" s="91">
        <f>[1]exp_table_hero!A23</f>
        <v>22</v>
      </c>
      <c r="B24" s="92">
        <f>[1]exp_table_hero!B23</f>
        <v>23425</v>
      </c>
      <c r="C24" s="92">
        <f t="shared" si="0"/>
        <v>184375.24909426103</v>
      </c>
      <c r="D24" s="92">
        <f t="shared" si="1"/>
        <v>2693.875</v>
      </c>
      <c r="E24" s="93">
        <f t="shared" si="23"/>
        <v>44.897916666666667</v>
      </c>
      <c r="F24" s="93">
        <f t="shared" si="23"/>
        <v>0.74829861111111107</v>
      </c>
      <c r="G24" s="93"/>
      <c r="H24" s="94">
        <f t="shared" si="18"/>
        <v>22430.125</v>
      </c>
      <c r="L24" s="41">
        <v>22</v>
      </c>
      <c r="M24" s="95">
        <f t="shared" si="9"/>
        <v>484</v>
      </c>
      <c r="N24" s="96">
        <f>[2]행동력!$AB25*$I$17</f>
        <v>34425.051903392465</v>
      </c>
      <c r="O24" s="134"/>
      <c r="P24" s="97">
        <f>'계정 경험치 테이블'!B23/N24</f>
        <v>3.3376855995002006</v>
      </c>
      <c r="Q24" s="97">
        <f t="shared" si="19"/>
        <v>200.26113597001205</v>
      </c>
      <c r="R24" s="125">
        <f>P24/[2]행동력!$M$2</f>
        <v>0.20860534996876254</v>
      </c>
      <c r="S24" s="62">
        <f t="shared" si="21"/>
        <v>12015.668158200722</v>
      </c>
      <c r="T24" s="127">
        <f>S24*[2]행동력!$BA$2</f>
        <v>2403.1336316401444</v>
      </c>
      <c r="U24" s="76">
        <v>8</v>
      </c>
      <c r="V24" s="98">
        <f t="shared" si="2"/>
        <v>2.6666666666666665</v>
      </c>
      <c r="W24" s="98">
        <f t="shared" si="12"/>
        <v>4</v>
      </c>
      <c r="X24" s="208">
        <v>14.571428571428566</v>
      </c>
      <c r="Y24" s="96">
        <f t="shared" si="3"/>
        <v>93700</v>
      </c>
      <c r="Z24" s="96">
        <f t="shared" si="13"/>
        <v>911687.5</v>
      </c>
      <c r="AA24" s="96">
        <f t="shared" si="4"/>
        <v>70275</v>
      </c>
      <c r="AB24" s="99">
        <f>[2]행동력!$BA25/Y24</f>
        <v>7.8708750947389978</v>
      </c>
      <c r="AC24" s="140">
        <v>0.115</v>
      </c>
      <c r="AD24" s="97">
        <f t="shared" si="22"/>
        <v>10775.5</v>
      </c>
      <c r="AE24" s="100">
        <f t="shared" si="20"/>
        <v>179.59166666666667</v>
      </c>
      <c r="AF24" s="63">
        <f t="shared" si="6"/>
        <v>737500.99637704412</v>
      </c>
      <c r="AJ24" s="41" t="s">
        <v>169</v>
      </c>
      <c r="AK24" s="63"/>
      <c r="AL24" s="96"/>
      <c r="AM24" s="134">
        <f>300/367</f>
        <v>0.81743869209809261</v>
      </c>
      <c r="AN24" s="97">
        <f t="shared" si="7"/>
        <v>59.024390243902445</v>
      </c>
      <c r="AO24" s="96">
        <f t="shared" si="14"/>
        <v>134.29565600000001</v>
      </c>
      <c r="AP24" s="96">
        <f t="shared" si="15"/>
        <v>114995.12195121952</v>
      </c>
      <c r="AQ24" s="96">
        <f t="shared" si="16"/>
        <v>193385.74464000002</v>
      </c>
      <c r="AR24" s="96">
        <f t="shared" si="17"/>
        <v>484</v>
      </c>
    </row>
    <row r="25" spans="1:44" s="41" customFormat="1" x14ac:dyDescent="0.2">
      <c r="A25" s="91">
        <f>[1]exp_table_hero!A24</f>
        <v>23</v>
      </c>
      <c r="B25" s="92">
        <f>[1]exp_table_hero!B24</f>
        <v>24400</v>
      </c>
      <c r="C25" s="92">
        <f t="shared" si="0"/>
        <v>231343.10717130487</v>
      </c>
      <c r="D25" s="92">
        <f t="shared" si="1"/>
        <v>2928</v>
      </c>
      <c r="E25" s="93">
        <f t="shared" si="23"/>
        <v>48.8</v>
      </c>
      <c r="F25" s="93">
        <f t="shared" si="23"/>
        <v>0.81333333333333324</v>
      </c>
      <c r="G25" s="93"/>
      <c r="H25" s="94">
        <f t="shared" si="18"/>
        <v>25358.125</v>
      </c>
      <c r="L25" s="41">
        <v>23</v>
      </c>
      <c r="M25" s="95">
        <f t="shared" si="9"/>
        <v>529</v>
      </c>
      <c r="N25" s="96">
        <f>[2]행동력!$AB26*$I$17</f>
        <v>32157.524701794493</v>
      </c>
      <c r="O25" s="134"/>
      <c r="P25" s="97">
        <f>'계정 경험치 테이블'!B24/N25</f>
        <v>4.2198521577261667</v>
      </c>
      <c r="Q25" s="97">
        <f t="shared" si="19"/>
        <v>253.19112946357001</v>
      </c>
      <c r="R25" s="125">
        <f>P25/[2]행동력!$M$2</f>
        <v>0.26374075985788542</v>
      </c>
      <c r="S25" s="62">
        <f t="shared" si="21"/>
        <v>15191.4677678142</v>
      </c>
      <c r="T25" s="127">
        <f>S25*[2]행동력!$BA$2</f>
        <v>3038.2935535628403</v>
      </c>
      <c r="U25" s="76">
        <v>8</v>
      </c>
      <c r="V25" s="98">
        <f t="shared" si="2"/>
        <v>2.6666666666666665</v>
      </c>
      <c r="W25" s="98">
        <f t="shared" si="12"/>
        <v>4</v>
      </c>
      <c r="X25" s="208">
        <v>15.12244897959183</v>
      </c>
      <c r="Y25" s="96">
        <f t="shared" si="3"/>
        <v>97600</v>
      </c>
      <c r="Z25" s="96">
        <f t="shared" si="13"/>
        <v>1009287.5</v>
      </c>
      <c r="AA25" s="96">
        <f t="shared" si="4"/>
        <v>73200</v>
      </c>
      <c r="AB25" s="99">
        <f>[2]행동력!$BA26/Y25</f>
        <v>9.4812748840698724</v>
      </c>
      <c r="AC25" s="140">
        <v>0.12</v>
      </c>
      <c r="AD25" s="97">
        <f t="shared" si="22"/>
        <v>11712</v>
      </c>
      <c r="AE25" s="100">
        <f t="shared" si="20"/>
        <v>195.2</v>
      </c>
      <c r="AF25" s="63">
        <f t="shared" si="6"/>
        <v>925372.42868521949</v>
      </c>
      <c r="AK25" s="63"/>
      <c r="AL25" s="96"/>
      <c r="AM25" s="134">
        <f>0.82/1.47</f>
        <v>0.55782312925170063</v>
      </c>
      <c r="AN25" s="97">
        <f t="shared" si="7"/>
        <v>64.512195121951223</v>
      </c>
      <c r="AO25" s="96">
        <f t="shared" si="14"/>
        <v>140.400004</v>
      </c>
      <c r="AP25" s="96">
        <f t="shared" si="15"/>
        <v>122897.56097560975</v>
      </c>
      <c r="AQ25" s="96">
        <f t="shared" si="16"/>
        <v>202176.00576</v>
      </c>
      <c r="AR25" s="96">
        <f t="shared" si="17"/>
        <v>529</v>
      </c>
    </row>
    <row r="26" spans="1:44" s="41" customFormat="1" x14ac:dyDescent="0.2">
      <c r="A26" s="91">
        <f>[1]exp_table_hero!A25</f>
        <v>24</v>
      </c>
      <c r="B26" s="92">
        <f>[1]exp_table_hero!B25</f>
        <v>25375</v>
      </c>
      <c r="C26" s="92">
        <f t="shared" si="0"/>
        <v>285299.61986933689</v>
      </c>
      <c r="D26" s="92">
        <f t="shared" si="1"/>
        <v>3171.875</v>
      </c>
      <c r="E26" s="93">
        <f t="shared" si="23"/>
        <v>52.864583333333336</v>
      </c>
      <c r="F26" s="93">
        <f t="shared" si="23"/>
        <v>0.88107638888888895</v>
      </c>
      <c r="G26" s="93"/>
      <c r="H26" s="94">
        <f t="shared" si="18"/>
        <v>28530</v>
      </c>
      <c r="L26" s="41">
        <v>24</v>
      </c>
      <c r="M26" s="95">
        <f t="shared" si="9"/>
        <v>576</v>
      </c>
      <c r="N26" s="96">
        <f>[2]행동력!$AB27*$I$17</f>
        <v>29958.841242129944</v>
      </c>
      <c r="O26" s="134"/>
      <c r="P26" s="97">
        <f>'계정 경험치 테이블'!B25/N26</f>
        <v>5.2238335500079423</v>
      </c>
      <c r="Q26" s="97">
        <f t="shared" si="19"/>
        <v>313.43001300047655</v>
      </c>
      <c r="R26" s="125">
        <f>P26/[2]행동력!$M$2</f>
        <v>0.32648959687549639</v>
      </c>
      <c r="S26" s="62">
        <f t="shared" si="21"/>
        <v>18805.800780028592</v>
      </c>
      <c r="T26" s="127">
        <f>S26*[2]행동력!$BA$2</f>
        <v>3761.1601560057188</v>
      </c>
      <c r="U26" s="76">
        <v>8</v>
      </c>
      <c r="V26" s="98">
        <f t="shared" si="2"/>
        <v>2.6666666666666665</v>
      </c>
      <c r="W26" s="98">
        <f t="shared" si="12"/>
        <v>4</v>
      </c>
      <c r="X26" s="208">
        <v>15.673469387755096</v>
      </c>
      <c r="Y26" s="96">
        <f t="shared" si="3"/>
        <v>101500</v>
      </c>
      <c r="Z26" s="96">
        <f t="shared" si="13"/>
        <v>1110787.5</v>
      </c>
      <c r="AA26" s="96">
        <f t="shared" si="4"/>
        <v>76125</v>
      </c>
      <c r="AB26" s="99">
        <f>[2]행동력!$BA27/Y26</f>
        <v>11.243334773175839</v>
      </c>
      <c r="AC26" s="140">
        <v>0.125</v>
      </c>
      <c r="AD26" s="97">
        <f t="shared" si="22"/>
        <v>12687.5</v>
      </c>
      <c r="AE26" s="100">
        <f t="shared" si="20"/>
        <v>211.45833333333334</v>
      </c>
      <c r="AF26" s="63">
        <f t="shared" si="6"/>
        <v>1141198.4794773476</v>
      </c>
      <c r="AK26" s="63">
        <f>[2]행동력!$AT$28*33</f>
        <v>121496032.65306124</v>
      </c>
      <c r="AL26" s="96"/>
      <c r="AM26" s="96">
        <f>300*2.8</f>
        <v>840</v>
      </c>
      <c r="AN26" s="97">
        <f t="shared" si="7"/>
        <v>70.243902439024396</v>
      </c>
      <c r="AO26" s="96">
        <f t="shared" si="14"/>
        <v>146.50435199999998</v>
      </c>
      <c r="AP26" s="96">
        <f t="shared" si="15"/>
        <v>131151.21951219512</v>
      </c>
      <c r="AQ26" s="96">
        <f t="shared" si="16"/>
        <v>210966.26687999998</v>
      </c>
      <c r="AR26" s="96">
        <f t="shared" si="17"/>
        <v>576</v>
      </c>
    </row>
    <row r="27" spans="1:44" s="215" customFormat="1" x14ac:dyDescent="0.2">
      <c r="A27" s="211">
        <f>[1]exp_table_hero!A26</f>
        <v>25</v>
      </c>
      <c r="B27" s="212">
        <f>[1]exp_table_hero!B26</f>
        <v>26350</v>
      </c>
      <c r="C27" s="212">
        <f t="shared" si="0"/>
        <v>316748.38775405532</v>
      </c>
      <c r="D27" s="212">
        <f t="shared" si="1"/>
        <v>3425.5</v>
      </c>
      <c r="E27" s="213">
        <f t="shared" si="23"/>
        <v>57.091666666666669</v>
      </c>
      <c r="F27" s="213">
        <f t="shared" si="23"/>
        <v>0.95152777777777786</v>
      </c>
      <c r="G27" s="213"/>
      <c r="H27" s="214">
        <f t="shared" si="18"/>
        <v>31955.5</v>
      </c>
      <c r="L27" s="215">
        <v>25</v>
      </c>
      <c r="M27" s="216">
        <f t="shared" si="9"/>
        <v>625</v>
      </c>
      <c r="N27" s="217">
        <f>[2]행동력!$AB28*$I$17</f>
        <v>27838.137200101839</v>
      </c>
      <c r="O27" s="218"/>
      <c r="P27" s="219">
        <f>'계정 경험치 테이블'!B26/N27</f>
        <v>6.4839108559081202</v>
      </c>
      <c r="Q27" s="219">
        <f t="shared" si="19"/>
        <v>389.03465135448721</v>
      </c>
      <c r="R27" s="220">
        <f>P27/[2]행동력!$M$2</f>
        <v>0.40524442849425751</v>
      </c>
      <c r="S27" s="221">
        <f t="shared" si="21"/>
        <v>23342.079081269232</v>
      </c>
      <c r="T27" s="222">
        <f>S27*[2]행동력!$BA$2</f>
        <v>4668.415816253847</v>
      </c>
      <c r="U27" s="223">
        <v>9</v>
      </c>
      <c r="V27" s="224">
        <f t="shared" si="2"/>
        <v>3</v>
      </c>
      <c r="W27" s="224">
        <f t="shared" si="12"/>
        <v>4.5</v>
      </c>
      <c r="X27" s="225">
        <v>16.224489795918359</v>
      </c>
      <c r="Y27" s="217">
        <f t="shared" si="3"/>
        <v>118575</v>
      </c>
      <c r="Z27" s="217">
        <f t="shared" si="13"/>
        <v>1229362.5</v>
      </c>
      <c r="AA27" s="217">
        <f t="shared" si="4"/>
        <v>92225</v>
      </c>
      <c r="AB27" s="99">
        <f>[2]행동력!$BA28/Y27</f>
        <v>12.020811679470791</v>
      </c>
      <c r="AC27" s="140">
        <v>0.13</v>
      </c>
      <c r="AD27" s="219">
        <f t="shared" si="22"/>
        <v>15414.75</v>
      </c>
      <c r="AE27" s="228">
        <f t="shared" si="20"/>
        <v>256.91250000000002</v>
      </c>
      <c r="AF27" s="229">
        <f t="shared" si="6"/>
        <v>1425367.7448932491</v>
      </c>
      <c r="AK27" s="232">
        <f>[2]행동력!$BA$28/W27</f>
        <v>316748.38775405538</v>
      </c>
      <c r="AL27" s="217"/>
      <c r="AM27" s="217"/>
      <c r="AN27" s="97">
        <f t="shared" si="7"/>
        <v>76.219512195121965</v>
      </c>
      <c r="AO27" s="96">
        <f t="shared" si="14"/>
        <v>152.6087</v>
      </c>
      <c r="AP27" s="96">
        <f t="shared" si="15"/>
        <v>139756.09756097564</v>
      </c>
      <c r="AQ27" s="96">
        <f t="shared" si="16"/>
        <v>219756.52799999999</v>
      </c>
      <c r="AR27" s="96">
        <f t="shared" si="17"/>
        <v>625</v>
      </c>
    </row>
    <row r="28" spans="1:44" s="122" customFormat="1" x14ac:dyDescent="0.2">
      <c r="A28" s="118">
        <f>[1]exp_table_hero!A27</f>
        <v>26</v>
      </c>
      <c r="B28" s="119">
        <f>[1]exp_table_hero!B27</f>
        <v>27325</v>
      </c>
      <c r="C28" s="119">
        <f t="shared" si="0"/>
        <v>365206.13079071441</v>
      </c>
      <c r="D28" s="119">
        <f t="shared" si="1"/>
        <v>3688.8750000000005</v>
      </c>
      <c r="E28" s="120">
        <f t="shared" si="23"/>
        <v>61.48125000000001</v>
      </c>
      <c r="F28" s="120">
        <f t="shared" si="23"/>
        <v>1.0246875000000002</v>
      </c>
      <c r="G28" s="120"/>
      <c r="H28" s="121">
        <f t="shared" si="18"/>
        <v>35644.375</v>
      </c>
      <c r="L28" s="122">
        <v>26</v>
      </c>
      <c r="M28" s="123">
        <f t="shared" si="9"/>
        <v>676</v>
      </c>
      <c r="N28" s="124">
        <f>[2]행동력!$AB29*$I$17</f>
        <v>25803.037536199783</v>
      </c>
      <c r="O28" s="136"/>
      <c r="P28" s="125">
        <f>'계정 경험치 테이블'!B27/N28</f>
        <v>7.6153824806217019</v>
      </c>
      <c r="Q28" s="125">
        <f t="shared" si="19"/>
        <v>456.9229488373021</v>
      </c>
      <c r="R28" s="125">
        <f>P28/[2]행동력!$M$2</f>
        <v>0.47596140503885637</v>
      </c>
      <c r="S28" s="126">
        <f t="shared" si="21"/>
        <v>27415.376930238126</v>
      </c>
      <c r="T28" s="127">
        <f>S28*[2]행동력!$BA$2</f>
        <v>5483.0753860476252</v>
      </c>
      <c r="U28" s="128">
        <v>9</v>
      </c>
      <c r="V28" s="129">
        <f t="shared" si="2"/>
        <v>3</v>
      </c>
      <c r="W28" s="129">
        <f t="shared" si="12"/>
        <v>4.5</v>
      </c>
      <c r="X28" s="208">
        <v>16.775510204081627</v>
      </c>
      <c r="Y28" s="124">
        <f t="shared" si="3"/>
        <v>122962.5</v>
      </c>
      <c r="Z28" s="124">
        <f t="shared" si="13"/>
        <v>1352325</v>
      </c>
      <c r="AA28" s="124">
        <f t="shared" si="4"/>
        <v>95637.5</v>
      </c>
      <c r="AB28" s="99">
        <f>[2]행동력!$BA29/Y28</f>
        <v>13.365274685844993</v>
      </c>
      <c r="AC28" s="140">
        <v>0.13500000000000001</v>
      </c>
      <c r="AD28" s="125">
        <f t="shared" si="22"/>
        <v>16599.9375</v>
      </c>
      <c r="AE28" s="130">
        <f t="shared" si="20"/>
        <v>276.66562499999998</v>
      </c>
      <c r="AF28" s="63">
        <f t="shared" si="6"/>
        <v>1643427.5885582149</v>
      </c>
      <c r="AJ28" s="122">
        <v>3681697.9591836738</v>
      </c>
      <c r="AK28" s="127">
        <f>AJ28*33</f>
        <v>121496032.65306124</v>
      </c>
      <c r="AL28" s="124"/>
      <c r="AM28" s="124"/>
      <c r="AN28" s="97">
        <f t="shared" si="7"/>
        <v>82.439024390243915</v>
      </c>
      <c r="AO28" s="96">
        <f t="shared" si="14"/>
        <v>158.71304800000001</v>
      </c>
      <c r="AP28" s="96">
        <f t="shared" si="15"/>
        <v>148712.19512195123</v>
      </c>
      <c r="AQ28" s="96">
        <f t="shared" si="16"/>
        <v>228546.78912000003</v>
      </c>
      <c r="AR28" s="96">
        <f>POWER(A28,2)</f>
        <v>676</v>
      </c>
    </row>
    <row r="29" spans="1:44" s="41" customFormat="1" x14ac:dyDescent="0.2">
      <c r="A29" s="91">
        <f>[1]exp_table_hero!A28</f>
        <v>27</v>
      </c>
      <c r="B29" s="92">
        <f>[1]exp_table_hero!B28</f>
        <v>28300</v>
      </c>
      <c r="C29" s="92">
        <f t="shared" si="0"/>
        <v>436804.19136569928</v>
      </c>
      <c r="D29" s="92">
        <f t="shared" si="1"/>
        <v>3962.0000000000005</v>
      </c>
      <c r="E29" s="93">
        <f t="shared" si="23"/>
        <v>66.033333333333346</v>
      </c>
      <c r="F29" s="93">
        <f t="shared" si="23"/>
        <v>1.1005555555555557</v>
      </c>
      <c r="G29" s="93"/>
      <c r="H29" s="94">
        <f t="shared" si="18"/>
        <v>39606.375</v>
      </c>
      <c r="L29" s="41">
        <v>27</v>
      </c>
      <c r="M29" s="95">
        <f t="shared" si="9"/>
        <v>729</v>
      </c>
      <c r="N29" s="96">
        <f>[2]행동력!$AB30*$I$17</f>
        <v>23859.608774584802</v>
      </c>
      <c r="O29" s="134"/>
      <c r="P29" s="97">
        <f>'계정 경험치 테이블'!B28/N29</f>
        <v>9.2415597457271002</v>
      </c>
      <c r="Q29" s="97">
        <f t="shared" si="19"/>
        <v>554.493584743626</v>
      </c>
      <c r="R29" s="125">
        <f>P29/[2]행동력!$M$2</f>
        <v>0.57759748410794376</v>
      </c>
      <c r="S29" s="62">
        <f t="shared" si="21"/>
        <v>33269.615084617559</v>
      </c>
      <c r="T29" s="127">
        <f>S29*[2]행동력!$BA$2</f>
        <v>6653.9230169235125</v>
      </c>
      <c r="U29" s="76">
        <v>9</v>
      </c>
      <c r="V29" s="98">
        <f t="shared" si="2"/>
        <v>3</v>
      </c>
      <c r="W29" s="98">
        <f t="shared" si="12"/>
        <v>4.5</v>
      </c>
      <c r="X29" s="208">
        <v>17.326530612244891</v>
      </c>
      <c r="Y29" s="96">
        <f t="shared" si="3"/>
        <v>127350</v>
      </c>
      <c r="Z29" s="96">
        <f t="shared" si="13"/>
        <v>1479675</v>
      </c>
      <c r="AA29" s="96">
        <f t="shared" si="4"/>
        <v>99050</v>
      </c>
      <c r="AB29" s="99">
        <f>[2]행동력!$BA30/Y29</f>
        <v>15.434777080060044</v>
      </c>
      <c r="AC29" s="140">
        <v>0.14000000000000001</v>
      </c>
      <c r="AD29" s="97">
        <f t="shared" si="22"/>
        <v>17829</v>
      </c>
      <c r="AE29" s="100">
        <f t="shared" si="20"/>
        <v>297.14999999999998</v>
      </c>
      <c r="AF29" s="63">
        <f t="shared" si="6"/>
        <v>1965618.8611456465</v>
      </c>
      <c r="AK29" s="63"/>
      <c r="AL29" s="96"/>
      <c r="AM29" s="96"/>
      <c r="AN29" s="97">
        <f t="shared" si="7"/>
        <v>88.902439024390247</v>
      </c>
      <c r="AO29" s="96">
        <f t="shared" si="14"/>
        <v>164.817396</v>
      </c>
      <c r="AP29" s="96">
        <f>30000+$AP$2*AN29</f>
        <v>158019.51219512196</v>
      </c>
      <c r="AQ29" s="96">
        <f t="shared" si="16"/>
        <v>237337.05024000001</v>
      </c>
      <c r="AR29" s="96">
        <f t="shared" si="17"/>
        <v>729</v>
      </c>
    </row>
    <row r="30" spans="1:44" s="41" customFormat="1" x14ac:dyDescent="0.2">
      <c r="A30" s="91">
        <f>[1]exp_table_hero!A29</f>
        <v>28</v>
      </c>
      <c r="B30" s="92">
        <f>[1]exp_table_hero!B29</f>
        <v>29275</v>
      </c>
      <c r="C30" s="92">
        <f t="shared" si="0"/>
        <v>522390.76907898142</v>
      </c>
      <c r="D30" s="92">
        <f t="shared" si="1"/>
        <v>4244.875</v>
      </c>
      <c r="E30" s="93">
        <f t="shared" si="23"/>
        <v>70.747916666666669</v>
      </c>
      <c r="F30" s="93">
        <f t="shared" si="23"/>
        <v>1.1791319444444446</v>
      </c>
      <c r="G30" s="93"/>
      <c r="H30" s="94">
        <f t="shared" si="18"/>
        <v>43851.25</v>
      </c>
      <c r="L30" s="41">
        <v>28</v>
      </c>
      <c r="M30" s="95">
        <f t="shared" si="9"/>
        <v>784</v>
      </c>
      <c r="N30" s="96">
        <f>[2]행동력!$AB31*$I$17</f>
        <v>22012.364680998289</v>
      </c>
      <c r="O30" s="134"/>
      <c r="P30" s="97">
        <f>'계정 경험치 테이블'!B29/N30</f>
        <v>11.107393664573415</v>
      </c>
      <c r="Q30" s="97">
        <f t="shared" si="19"/>
        <v>666.44361987440493</v>
      </c>
      <c r="R30" s="125">
        <f>P30/[2]행동력!$M$2</f>
        <v>0.69421210403583844</v>
      </c>
      <c r="S30" s="62">
        <f t="shared" si="21"/>
        <v>39986.617192464299</v>
      </c>
      <c r="T30" s="127">
        <f>S30*[2]행동력!$BA$2</f>
        <v>7997.3234384928601</v>
      </c>
      <c r="U30" s="76">
        <v>9</v>
      </c>
      <c r="V30" s="98">
        <f t="shared" si="2"/>
        <v>3</v>
      </c>
      <c r="W30" s="98">
        <f t="shared" si="12"/>
        <v>4.5</v>
      </c>
      <c r="X30" s="208">
        <v>17.877551020408156</v>
      </c>
      <c r="Y30" s="96">
        <f t="shared" si="3"/>
        <v>131737.5</v>
      </c>
      <c r="Z30" s="96">
        <f t="shared" si="13"/>
        <v>1611412.5</v>
      </c>
      <c r="AA30" s="96">
        <f t="shared" si="4"/>
        <v>102462.5</v>
      </c>
      <c r="AB30" s="99">
        <f>[2]행동력!$BA31/Y30</f>
        <v>17.844261966831134</v>
      </c>
      <c r="AC30" s="140">
        <v>0.14499999999999999</v>
      </c>
      <c r="AD30" s="97">
        <f t="shared" si="22"/>
        <v>19101.9375</v>
      </c>
      <c r="AE30" s="100">
        <f t="shared" si="20"/>
        <v>318.36562500000002</v>
      </c>
      <c r="AF30" s="63">
        <f t="shared" si="6"/>
        <v>2350758.4608554165</v>
      </c>
      <c r="AK30" s="63"/>
      <c r="AL30" s="96"/>
      <c r="AM30" s="96"/>
      <c r="AN30" s="97">
        <f t="shared" si="7"/>
        <v>95.609756097560989</v>
      </c>
      <c r="AO30" s="96">
        <f t="shared" si="14"/>
        <v>170.92174400000002</v>
      </c>
      <c r="AP30" s="96">
        <f t="shared" si="15"/>
        <v>167678.04878048782</v>
      </c>
      <c r="AQ30" s="96">
        <f t="shared" si="16"/>
        <v>246127.31136000002</v>
      </c>
      <c r="AR30" s="96">
        <f t="shared" si="17"/>
        <v>784</v>
      </c>
    </row>
    <row r="31" spans="1:44" s="41" customFormat="1" x14ac:dyDescent="0.2">
      <c r="A31" s="91">
        <f>[1]exp_table_hero!A30</f>
        <v>29</v>
      </c>
      <c r="B31" s="92">
        <f>[1]exp_table_hero!B30</f>
        <v>30250</v>
      </c>
      <c r="C31" s="92">
        <f t="shared" si="0"/>
        <v>607433.83917940501</v>
      </c>
      <c r="D31" s="92">
        <f t="shared" si="1"/>
        <v>4537.5</v>
      </c>
      <c r="E31" s="93">
        <f t="shared" si="23"/>
        <v>75.625</v>
      </c>
      <c r="F31" s="93">
        <f t="shared" si="23"/>
        <v>1.2604166666666667</v>
      </c>
      <c r="G31" s="93"/>
      <c r="H31" s="94">
        <f t="shared" si="18"/>
        <v>48388.75</v>
      </c>
      <c r="L31" s="41">
        <v>29</v>
      </c>
      <c r="M31" s="95">
        <f t="shared" si="9"/>
        <v>841</v>
      </c>
      <c r="N31" s="96">
        <f>[2]행동력!$AB32*$I$17</f>
        <v>20264.319000186733</v>
      </c>
      <c r="O31" s="134"/>
      <c r="P31" s="97">
        <f>'계정 경험치 테이블'!B30/N31</f>
        <v>13.249890114616031</v>
      </c>
      <c r="Q31" s="97">
        <f t="shared" si="19"/>
        <v>794.9934068769619</v>
      </c>
      <c r="R31" s="125">
        <f>P31/[2]행동력!$M$2</f>
        <v>0.82811813216350194</v>
      </c>
      <c r="S31" s="62">
        <f t="shared" si="21"/>
        <v>47699.604412617715</v>
      </c>
      <c r="T31" s="127">
        <f>S31*[2]행동력!$BA$2</f>
        <v>9539.9208825235437</v>
      </c>
      <c r="U31" s="76">
        <v>9</v>
      </c>
      <c r="V31" s="98">
        <f t="shared" si="2"/>
        <v>3</v>
      </c>
      <c r="W31" s="98">
        <f t="shared" si="12"/>
        <v>4.5</v>
      </c>
      <c r="X31" s="208">
        <v>18.42857142857142</v>
      </c>
      <c r="Y31" s="96">
        <f t="shared" si="3"/>
        <v>136125</v>
      </c>
      <c r="Z31" s="96">
        <f t="shared" si="13"/>
        <v>1747537.5</v>
      </c>
      <c r="AA31" s="96">
        <f t="shared" si="4"/>
        <v>105875</v>
      </c>
      <c r="AB31" s="99">
        <f>[2]행동력!$BA32/Y31</f>
        <v>20.080457493534048</v>
      </c>
      <c r="AC31" s="140">
        <v>0.15</v>
      </c>
      <c r="AD31" s="97">
        <f t="shared" si="22"/>
        <v>20418.75</v>
      </c>
      <c r="AE31" s="100">
        <f t="shared" si="20"/>
        <v>340.3125</v>
      </c>
      <c r="AF31" s="63">
        <f t="shared" si="6"/>
        <v>2733452.2763073226</v>
      </c>
      <c r="AK31" s="63"/>
      <c r="AL31" s="96"/>
      <c r="AM31" s="96"/>
      <c r="AN31" s="97">
        <f t="shared" si="7"/>
        <v>102.56097560975611</v>
      </c>
      <c r="AO31" s="96">
        <f t="shared" si="14"/>
        <v>177.02609199999998</v>
      </c>
      <c r="AP31" s="96">
        <f t="shared" si="15"/>
        <v>177687.8048780488</v>
      </c>
      <c r="AQ31" s="96">
        <f t="shared" si="16"/>
        <v>254917.57247999997</v>
      </c>
      <c r="AR31" s="96">
        <f t="shared" si="17"/>
        <v>841</v>
      </c>
    </row>
    <row r="32" spans="1:44" s="105" customFormat="1" x14ac:dyDescent="0.2">
      <c r="A32" s="101">
        <f>[1]exp_table_hero!A31</f>
        <v>30</v>
      </c>
      <c r="B32" s="102">
        <f>[1]exp_table_hero!B31</f>
        <v>31225</v>
      </c>
      <c r="C32" s="102">
        <f t="shared" si="0"/>
        <v>634608.25552738679</v>
      </c>
      <c r="D32" s="102">
        <f t="shared" si="1"/>
        <v>4839.875</v>
      </c>
      <c r="E32" s="103">
        <f t="shared" si="23"/>
        <v>80.66458333333334</v>
      </c>
      <c r="F32" s="103">
        <f t="shared" si="23"/>
        <v>1.3444097222222224</v>
      </c>
      <c r="G32" s="103"/>
      <c r="H32" s="104">
        <f t="shared" si="18"/>
        <v>53228.625</v>
      </c>
      <c r="L32" s="105">
        <v>30</v>
      </c>
      <c r="M32" s="106">
        <f t="shared" si="9"/>
        <v>900</v>
      </c>
      <c r="N32" s="107">
        <f>[2]행동력!$AB33*$I$17</f>
        <v>18617.077131741855</v>
      </c>
      <c r="O32" s="135"/>
      <c r="P32" s="108">
        <f>'계정 경험치 테이블'!B31/N32</f>
        <v>15.711381433839129</v>
      </c>
      <c r="Q32" s="108">
        <f t="shared" si="19"/>
        <v>942.68288603034773</v>
      </c>
      <c r="R32" s="125">
        <f>P32/[2]행동력!$M$2</f>
        <v>0.98196133961494558</v>
      </c>
      <c r="S32" s="109">
        <f t="shared" si="21"/>
        <v>56560.973161820861</v>
      </c>
      <c r="T32" s="127">
        <f>S32*[2]행동력!$BA$2</f>
        <v>11312.194632364173</v>
      </c>
      <c r="U32" s="110">
        <v>10</v>
      </c>
      <c r="V32" s="111">
        <f t="shared" si="2"/>
        <v>3.3333333333333335</v>
      </c>
      <c r="W32" s="111">
        <f t="shared" si="12"/>
        <v>5</v>
      </c>
      <c r="X32" s="208">
        <v>18.979591836734684</v>
      </c>
      <c r="Y32" s="107">
        <f t="shared" si="3"/>
        <v>156125</v>
      </c>
      <c r="Z32" s="107">
        <f t="shared" si="13"/>
        <v>1903662.5</v>
      </c>
      <c r="AA32" s="107">
        <f t="shared" si="4"/>
        <v>124900</v>
      </c>
      <c r="AB32" s="99">
        <f>[2]행동력!$BA33/Y32</f>
        <v>20.3237231554007</v>
      </c>
      <c r="AC32" s="140">
        <v>0.155</v>
      </c>
      <c r="AD32" s="108">
        <f t="shared" si="22"/>
        <v>24199.375</v>
      </c>
      <c r="AE32" s="113">
        <f t="shared" si="20"/>
        <v>403.32291666666669</v>
      </c>
      <c r="AF32" s="63">
        <f t="shared" si="6"/>
        <v>3173041.2776369341</v>
      </c>
      <c r="AK32" s="230"/>
      <c r="AL32" s="107"/>
      <c r="AM32" s="107"/>
      <c r="AN32" s="97">
        <f t="shared" si="7"/>
        <v>109.75609756097562</v>
      </c>
      <c r="AO32" s="96">
        <f t="shared" si="14"/>
        <v>183.13043999999999</v>
      </c>
      <c r="AP32" s="96">
        <f t="shared" si="15"/>
        <v>188048.78048780488</v>
      </c>
      <c r="AQ32" s="96">
        <f t="shared" si="16"/>
        <v>263707.83360000001</v>
      </c>
      <c r="AR32" s="96">
        <f t="shared" si="17"/>
        <v>900</v>
      </c>
    </row>
    <row r="33" spans="1:44" s="122" customFormat="1" x14ac:dyDescent="0.2">
      <c r="A33" s="118">
        <f>[1]exp_table_hero!A32</f>
        <v>31</v>
      </c>
      <c r="B33" s="119">
        <f>[1]exp_table_hero!B32</f>
        <v>32200</v>
      </c>
      <c r="C33" s="119">
        <f t="shared" si="0"/>
        <v>758665.77224952285</v>
      </c>
      <c r="D33" s="119">
        <f t="shared" si="1"/>
        <v>5152</v>
      </c>
      <c r="E33" s="120">
        <f t="shared" si="23"/>
        <v>85.86666666666666</v>
      </c>
      <c r="F33" s="120">
        <f t="shared" si="23"/>
        <v>1.431111111111111</v>
      </c>
      <c r="G33" s="120"/>
      <c r="H33" s="121">
        <f t="shared" si="18"/>
        <v>58380.625</v>
      </c>
      <c r="L33" s="122">
        <v>31</v>
      </c>
      <c r="M33" s="123">
        <f t="shared" si="9"/>
        <v>961</v>
      </c>
      <c r="N33" s="124">
        <f>[2]행동력!$AB34*$I$17</f>
        <v>17070.957691992746</v>
      </c>
      <c r="O33" s="136"/>
      <c r="P33" s="125">
        <f>'계정 경험치 테이블'!B32/N33</f>
        <v>19.008892521138929</v>
      </c>
      <c r="Q33" s="125">
        <f t="shared" si="19"/>
        <v>1140.5335512683357</v>
      </c>
      <c r="R33" s="125">
        <f>P33/[2]행동력!$M$2</f>
        <v>1.188055782571183</v>
      </c>
      <c r="S33" s="126">
        <f t="shared" si="21"/>
        <v>68432.013076100149</v>
      </c>
      <c r="T33" s="127">
        <f>S33*[2]행동력!$BA$2</f>
        <v>13686.402615220031</v>
      </c>
      <c r="U33" s="128">
        <v>10</v>
      </c>
      <c r="V33" s="129">
        <f t="shared" si="2"/>
        <v>3.3333333333333335</v>
      </c>
      <c r="W33" s="129">
        <f t="shared" si="12"/>
        <v>5</v>
      </c>
      <c r="X33" s="208">
        <v>19.530612244897952</v>
      </c>
      <c r="Y33" s="124">
        <f t="shared" si="3"/>
        <v>161000</v>
      </c>
      <c r="Z33" s="124">
        <f t="shared" si="13"/>
        <v>2064662.5</v>
      </c>
      <c r="AA33" s="124">
        <f t="shared" si="4"/>
        <v>128800</v>
      </c>
      <c r="AB33" s="99">
        <f>[2]행동력!$BA34/Y33</f>
        <v>23.561048827624933</v>
      </c>
      <c r="AC33" s="140">
        <v>0.16</v>
      </c>
      <c r="AD33" s="125">
        <f t="shared" si="22"/>
        <v>25760</v>
      </c>
      <c r="AE33" s="130">
        <f t="shared" si="20"/>
        <v>429.33333333333331</v>
      </c>
      <c r="AF33" s="63">
        <f t="shared" si="6"/>
        <v>3793328.8612476145</v>
      </c>
      <c r="AI33" s="122">
        <f>1/50</f>
        <v>0.02</v>
      </c>
      <c r="AK33" s="127"/>
      <c r="AL33" s="124"/>
      <c r="AM33" s="124"/>
      <c r="AN33" s="97">
        <f t="shared" si="7"/>
        <v>117.19512195121952</v>
      </c>
      <c r="AO33" s="96">
        <f t="shared" si="14"/>
        <v>189.23478800000001</v>
      </c>
      <c r="AP33" s="96">
        <f t="shared" si="15"/>
        <v>198760.9756097561</v>
      </c>
      <c r="AQ33" s="96">
        <f t="shared" si="16"/>
        <v>272498.09471999999</v>
      </c>
      <c r="AR33" s="124"/>
    </row>
    <row r="34" spans="1:44" s="41" customFormat="1" x14ac:dyDescent="0.2">
      <c r="A34" s="91">
        <f>[1]exp_table_hero!A33</f>
        <v>32</v>
      </c>
      <c r="B34" s="92">
        <f>[1]exp_table_hero!B33</f>
        <v>33175</v>
      </c>
      <c r="C34" s="92">
        <f t="shared" si="0"/>
        <v>924064.42331872485</v>
      </c>
      <c r="D34" s="92">
        <f t="shared" si="1"/>
        <v>5473.875</v>
      </c>
      <c r="E34" s="93">
        <f t="shared" si="23"/>
        <v>91.231250000000003</v>
      </c>
      <c r="F34" s="93">
        <f t="shared" si="23"/>
        <v>1.5205208333333333</v>
      </c>
      <c r="G34" s="93">
        <f>F34/24</f>
        <v>6.3355034722222217E-2</v>
      </c>
      <c r="H34" s="94">
        <f t="shared" si="18"/>
        <v>63854.5</v>
      </c>
      <c r="L34" s="41">
        <v>32</v>
      </c>
      <c r="M34" s="95">
        <f t="shared" si="9"/>
        <v>1024</v>
      </c>
      <c r="N34" s="96">
        <f>[2]행동력!$AB35*$I$17</f>
        <v>15625.13475589761</v>
      </c>
      <c r="O34" s="134"/>
      <c r="P34" s="97">
        <f>'계정 경험치 테이블'!B33/N34</f>
        <v>23.839794396614863</v>
      </c>
      <c r="Q34" s="97">
        <f t="shared" si="19"/>
        <v>1430.3876637968917</v>
      </c>
      <c r="R34" s="125">
        <f>P34/[2]행동력!$M$2</f>
        <v>1.4899871497884289</v>
      </c>
      <c r="S34" s="62">
        <f t="shared" si="21"/>
        <v>85823.259827813497</v>
      </c>
      <c r="T34" s="127">
        <f>S34*[2]행동력!$BA$2</f>
        <v>17164.651965562702</v>
      </c>
      <c r="U34" s="76">
        <v>10</v>
      </c>
      <c r="V34" s="98">
        <f t="shared" si="2"/>
        <v>3.3333333333333335</v>
      </c>
      <c r="W34" s="98">
        <f t="shared" si="12"/>
        <v>5</v>
      </c>
      <c r="X34" s="208">
        <v>20.081632653061217</v>
      </c>
      <c r="Y34" s="96">
        <f t="shared" si="3"/>
        <v>165875</v>
      </c>
      <c r="Z34" s="96">
        <f t="shared" si="13"/>
        <v>2230537.5</v>
      </c>
      <c r="AA34" s="96">
        <f t="shared" si="4"/>
        <v>132700</v>
      </c>
      <c r="AB34" s="99">
        <f>[2]행동력!$BA35/Y34</f>
        <v>27.854240341182361</v>
      </c>
      <c r="AC34" s="140">
        <v>0.16500000000000001</v>
      </c>
      <c r="AD34" s="97">
        <f t="shared" si="22"/>
        <v>27369.375</v>
      </c>
      <c r="AE34" s="100">
        <f t="shared" si="20"/>
        <v>456.15625</v>
      </c>
      <c r="AF34" s="63">
        <f t="shared" si="6"/>
        <v>4620322.1165936245</v>
      </c>
      <c r="AI34" s="41">
        <f>AG19*AI33</f>
        <v>6.1043488799999999</v>
      </c>
      <c r="AK34" s="63"/>
      <c r="AL34" s="96"/>
      <c r="AM34" s="96"/>
      <c r="AN34" s="97">
        <f t="shared" si="7"/>
        <v>124.87804878048782</v>
      </c>
      <c r="AO34" s="96">
        <f t="shared" si="14"/>
        <v>195.339136</v>
      </c>
      <c r="AP34" s="96">
        <f t="shared" si="15"/>
        <v>209824.39024390245</v>
      </c>
      <c r="AQ34" s="96">
        <f t="shared" si="16"/>
        <v>281288.35583999997</v>
      </c>
      <c r="AR34" s="96"/>
    </row>
    <row r="35" spans="1:44" s="41" customFormat="1" x14ac:dyDescent="0.2">
      <c r="A35" s="91">
        <f>[1]exp_table_hero!A34</f>
        <v>33</v>
      </c>
      <c r="B35" s="92">
        <f>[1]exp_table_hero!B34</f>
        <v>34150</v>
      </c>
      <c r="C35" s="92">
        <f t="shared" ref="C35:C52" si="24">B35*AB35</f>
        <v>1172024.2806300372</v>
      </c>
      <c r="D35" s="92">
        <f t="shared" ref="D35:D51" si="25">B35*AC35</f>
        <v>5805.5</v>
      </c>
      <c r="E35" s="93">
        <f t="shared" si="23"/>
        <v>96.75833333333334</v>
      </c>
      <c r="F35" s="93">
        <f t="shared" si="23"/>
        <v>1.612638888888889</v>
      </c>
      <c r="G35" s="93">
        <f t="shared" ref="G35:G51" si="26">F35/24</f>
        <v>6.7193287037037044E-2</v>
      </c>
      <c r="H35" s="94">
        <f t="shared" si="18"/>
        <v>69660</v>
      </c>
      <c r="L35" s="41">
        <v>33</v>
      </c>
      <c r="M35" s="95">
        <f t="shared" si="9"/>
        <v>1089</v>
      </c>
      <c r="N35" s="96">
        <f>[2]행동력!$AB36*$I$17</f>
        <v>14277.792059661366</v>
      </c>
      <c r="O35" s="134"/>
      <c r="P35" s="97">
        <f>'계정 경험치 테이블'!B34/N35</f>
        <v>30.9893853441156</v>
      </c>
      <c r="Q35" s="97">
        <f t="shared" si="19"/>
        <v>1859.3631206469361</v>
      </c>
      <c r="R35" s="125">
        <f>P35/[2]행동력!$M$2</f>
        <v>1.936836584007225</v>
      </c>
      <c r="S35" s="62">
        <f t="shared" si="21"/>
        <v>111561.78723881616</v>
      </c>
      <c r="T35" s="127">
        <f>S35*[2]행동력!$BA$2</f>
        <v>22312.357447763236</v>
      </c>
      <c r="U35" s="76">
        <v>10</v>
      </c>
      <c r="V35" s="98">
        <f t="shared" si="2"/>
        <v>3.3333333333333335</v>
      </c>
      <c r="W35" s="98">
        <f t="shared" si="12"/>
        <v>5</v>
      </c>
      <c r="X35" s="208">
        <v>20.632653061224481</v>
      </c>
      <c r="Y35" s="96">
        <f t="shared" ref="Y35:Y52" si="27">($B35*$W35)*Y$1</f>
        <v>170750</v>
      </c>
      <c r="Z35" s="96">
        <f t="shared" si="13"/>
        <v>2401287.5</v>
      </c>
      <c r="AA35" s="96">
        <f t="shared" ref="AA35:AA52" si="28">Y35-B35</f>
        <v>136600</v>
      </c>
      <c r="AB35" s="99">
        <f>[2]행동력!$BA36/Y35</f>
        <v>34.319891087263166</v>
      </c>
      <c r="AC35" s="140">
        <v>0.17</v>
      </c>
      <c r="AD35" s="97">
        <f t="shared" si="22"/>
        <v>29027.500000000004</v>
      </c>
      <c r="AE35" s="100">
        <f t="shared" si="20"/>
        <v>483.79166666666674</v>
      </c>
      <c r="AF35" s="63">
        <f t="shared" ref="AF35:AF52" si="29">Y35*AB35</f>
        <v>5860121.4031501859</v>
      </c>
      <c r="AK35" s="63"/>
      <c r="AL35" s="96"/>
      <c r="AM35" s="96"/>
      <c r="AN35" s="97">
        <f t="shared" si="7"/>
        <v>132.80487804878049</v>
      </c>
      <c r="AO35" s="96">
        <f t="shared" si="14"/>
        <v>201.44348400000001</v>
      </c>
      <c r="AP35" s="96">
        <f t="shared" si="15"/>
        <v>221239.02439024393</v>
      </c>
      <c r="AQ35" s="96">
        <f t="shared" si="16"/>
        <v>290078.61696000001</v>
      </c>
      <c r="AR35" s="96"/>
    </row>
    <row r="36" spans="1:44" s="41" customFormat="1" x14ac:dyDescent="0.2">
      <c r="A36" s="91">
        <f>[1]exp_table_hero!A35</f>
        <v>34</v>
      </c>
      <c r="B36" s="92">
        <f>[1]exp_table_hero!B35</f>
        <v>35125</v>
      </c>
      <c r="C36" s="92">
        <f t="shared" si="24"/>
        <v>1251903.2188011752</v>
      </c>
      <c r="D36" s="92">
        <f t="shared" si="25"/>
        <v>6146.875</v>
      </c>
      <c r="E36" s="93">
        <f t="shared" ref="E36:F51" si="30">D36/60</f>
        <v>102.44791666666667</v>
      </c>
      <c r="F36" s="93">
        <f t="shared" si="30"/>
        <v>1.7074652777777779</v>
      </c>
      <c r="G36" s="93">
        <f t="shared" si="26"/>
        <v>7.1144386574074084E-2</v>
      </c>
      <c r="H36" s="94">
        <f t="shared" si="18"/>
        <v>75806.875</v>
      </c>
      <c r="L36" s="41">
        <v>34</v>
      </c>
      <c r="M36" s="95">
        <f t="shared" si="9"/>
        <v>1156</v>
      </c>
      <c r="N36" s="96">
        <f>[2]행동력!$AB37*$I$17</f>
        <v>13026.2814012992</v>
      </c>
      <c r="O36" s="134"/>
      <c r="P36" s="97">
        <f>'계정 경험치 테이블'!B35/N36</f>
        <v>36.976016804915695</v>
      </c>
      <c r="Q36" s="97">
        <f t="shared" si="19"/>
        <v>2218.5610082949415</v>
      </c>
      <c r="R36" s="125">
        <f>P36/[2]행동력!$M$2</f>
        <v>2.3110010503072309</v>
      </c>
      <c r="S36" s="62">
        <f t="shared" si="21"/>
        <v>133113.66049769649</v>
      </c>
      <c r="T36" s="127">
        <f>S36*[2]행동력!$BA$2</f>
        <v>26622.732099539298</v>
      </c>
      <c r="U36" s="76">
        <v>11</v>
      </c>
      <c r="V36" s="98">
        <f t="shared" si="2"/>
        <v>3.6666666666666665</v>
      </c>
      <c r="W36" s="98">
        <f t="shared" si="12"/>
        <v>5.5</v>
      </c>
      <c r="X36" s="208">
        <v>21.183673469387745</v>
      </c>
      <c r="Y36" s="96">
        <f t="shared" si="27"/>
        <v>193187.5</v>
      </c>
      <c r="Z36" s="96">
        <f t="shared" ref="Z36:Z52" si="31">Z35+Y36</f>
        <v>2594475</v>
      </c>
      <c r="AA36" s="96">
        <f t="shared" si="28"/>
        <v>158062.5</v>
      </c>
      <c r="AB36" s="99">
        <f>[2]행동력!$BA37/Y36</f>
        <v>35.641372777257658</v>
      </c>
      <c r="AC36" s="140">
        <v>0.17499999999999999</v>
      </c>
      <c r="AD36" s="97">
        <f t="shared" si="22"/>
        <v>33807.8125</v>
      </c>
      <c r="AE36" s="100">
        <f t="shared" si="20"/>
        <v>563.46354166666663</v>
      </c>
      <c r="AF36" s="63">
        <f t="shared" si="29"/>
        <v>6885467.7034064634</v>
      </c>
      <c r="AK36" s="63"/>
      <c r="AL36" s="96"/>
      <c r="AM36" s="96"/>
      <c r="AN36" s="97">
        <f t="shared" si="7"/>
        <v>140.97560975609758</v>
      </c>
      <c r="AO36" s="96">
        <f t="shared" si="14"/>
        <v>207.547832</v>
      </c>
      <c r="AP36" s="96">
        <f t="shared" si="15"/>
        <v>233004.87804878052</v>
      </c>
      <c r="AQ36" s="96">
        <f t="shared" si="16"/>
        <v>298868.87807999999</v>
      </c>
      <c r="AR36" s="96"/>
    </row>
    <row r="37" spans="1:44" s="105" customFormat="1" x14ac:dyDescent="0.2">
      <c r="A37" s="101">
        <f>[1]exp_table_hero!A36</f>
        <v>35</v>
      </c>
      <c r="B37" s="102">
        <f>[1]exp_table_hero!B36</f>
        <v>36100</v>
      </c>
      <c r="C37" s="102">
        <f t="shared" si="24"/>
        <v>1448450.1570099611</v>
      </c>
      <c r="D37" s="102">
        <f t="shared" si="25"/>
        <v>6498</v>
      </c>
      <c r="E37" s="103">
        <f t="shared" si="30"/>
        <v>108.3</v>
      </c>
      <c r="F37" s="103">
        <f t="shared" si="30"/>
        <v>1.8049999999999999</v>
      </c>
      <c r="G37" s="103">
        <f t="shared" si="26"/>
        <v>7.5208333333333335E-2</v>
      </c>
      <c r="H37" s="104">
        <f t="shared" si="18"/>
        <v>82304.875</v>
      </c>
      <c r="L37" s="105">
        <v>35</v>
      </c>
      <c r="M37" s="106">
        <f t="shared" si="9"/>
        <v>1225</v>
      </c>
      <c r="N37" s="107">
        <f>[2]행동력!$AB38*$I$17</f>
        <v>11867.278725850681</v>
      </c>
      <c r="O37" s="135"/>
      <c r="P37" s="108">
        <f>'계정 경험치 테이블'!B36/N37</f>
        <v>44.081883647044819</v>
      </c>
      <c r="Q37" s="108">
        <f t="shared" si="19"/>
        <v>2644.9130188226891</v>
      </c>
      <c r="R37" s="125">
        <f>P37/[2]행동력!$M$2</f>
        <v>2.7551177279403012</v>
      </c>
      <c r="S37" s="109">
        <f t="shared" si="21"/>
        <v>158694.78112936133</v>
      </c>
      <c r="T37" s="127">
        <f>S37*[2]행동력!$BA$2</f>
        <v>31738.956225872269</v>
      </c>
      <c r="U37" s="110">
        <v>11</v>
      </c>
      <c r="V37" s="111">
        <f t="shared" si="2"/>
        <v>3.6666666666666665</v>
      </c>
      <c r="W37" s="111">
        <f t="shared" si="12"/>
        <v>5.5</v>
      </c>
      <c r="X37" s="208">
        <v>21.73469387755101</v>
      </c>
      <c r="Y37" s="107">
        <f t="shared" si="27"/>
        <v>198550</v>
      </c>
      <c r="Z37" s="107">
        <f t="shared" si="31"/>
        <v>2793025</v>
      </c>
      <c r="AA37" s="107">
        <f t="shared" si="28"/>
        <v>162450</v>
      </c>
      <c r="AB37" s="112">
        <f>[2]행동력!$BA38/Y37</f>
        <v>40.123273047367341</v>
      </c>
      <c r="AC37" s="140">
        <v>0.18</v>
      </c>
      <c r="AD37" s="108">
        <f t="shared" si="22"/>
        <v>35739</v>
      </c>
      <c r="AE37" s="113">
        <f t="shared" si="20"/>
        <v>595.65</v>
      </c>
      <c r="AF37" s="63">
        <f t="shared" si="29"/>
        <v>7966475.863554786</v>
      </c>
      <c r="AK37" s="230"/>
      <c r="AL37" s="107"/>
      <c r="AM37" s="107"/>
      <c r="AN37" s="97">
        <f t="shared" si="7"/>
        <v>149.39024390243904</v>
      </c>
      <c r="AO37" s="96">
        <f t="shared" si="14"/>
        <v>213.65217999999999</v>
      </c>
      <c r="AP37" s="96">
        <f t="shared" si="15"/>
        <v>245121.95121951221</v>
      </c>
      <c r="AQ37" s="96">
        <f t="shared" si="16"/>
        <v>307659.13919999998</v>
      </c>
      <c r="AR37" s="107"/>
    </row>
    <row r="38" spans="1:44" s="122" customFormat="1" x14ac:dyDescent="0.2">
      <c r="A38" s="118">
        <f>[1]exp_table_hero!A37</f>
        <v>36</v>
      </c>
      <c r="B38" s="119">
        <f>[1]exp_table_hero!B37</f>
        <v>37075</v>
      </c>
      <c r="C38" s="119">
        <f t="shared" si="24"/>
        <v>1687863.4835489455</v>
      </c>
      <c r="D38" s="119">
        <f t="shared" si="25"/>
        <v>6873.9522260203248</v>
      </c>
      <c r="E38" s="120">
        <f t="shared" si="30"/>
        <v>114.56587043367207</v>
      </c>
      <c r="F38" s="120">
        <f t="shared" si="30"/>
        <v>1.9094311738945347</v>
      </c>
      <c r="G38" s="120">
        <f t="shared" si="26"/>
        <v>7.955963224560561E-2</v>
      </c>
      <c r="H38" s="121">
        <f t="shared" si="18"/>
        <v>89178.827226020323</v>
      </c>
      <c r="L38" s="122">
        <v>36</v>
      </c>
      <c r="M38" s="123">
        <f t="shared" si="9"/>
        <v>1296</v>
      </c>
      <c r="N38" s="124">
        <f>[2]행동력!$AB39*$I$17</f>
        <v>10796.932762939534</v>
      </c>
      <c r="O38" s="136"/>
      <c r="P38" s="125">
        <f>'계정 경험치 테이블'!B37/N38</f>
        <v>52.509357282099714</v>
      </c>
      <c r="Q38" s="125">
        <f t="shared" si="19"/>
        <v>3150.5614369259829</v>
      </c>
      <c r="R38" s="125">
        <f>P38/[2]행동력!$M$2</f>
        <v>3.2818348301312321</v>
      </c>
      <c r="S38" s="126">
        <f t="shared" si="21"/>
        <v>189033.68621555896</v>
      </c>
      <c r="T38" s="127">
        <f>S38*[2]행동력!$BA$2</f>
        <v>37806.737243111791</v>
      </c>
      <c r="U38" s="128">
        <v>11</v>
      </c>
      <c r="V38" s="129">
        <f t="shared" si="2"/>
        <v>3.6666666666666665</v>
      </c>
      <c r="W38" s="129">
        <f t="shared" si="12"/>
        <v>5.5</v>
      </c>
      <c r="X38" s="208">
        <v>22.285714285714278</v>
      </c>
      <c r="Y38" s="124">
        <f t="shared" si="27"/>
        <v>203912.5</v>
      </c>
      <c r="Z38" s="124">
        <f t="shared" si="31"/>
        <v>2996937.5</v>
      </c>
      <c r="AA38" s="124">
        <f t="shared" si="28"/>
        <v>166837.5</v>
      </c>
      <c r="AB38" s="114">
        <f>[2]행동력!$BA39/Y38</f>
        <v>45.525650264300623</v>
      </c>
      <c r="AC38" s="142">
        <f t="shared" ref="AC12:AC51" si="32">T38/Y38</f>
        <v>0.18540666826757451</v>
      </c>
      <c r="AD38" s="125">
        <f t="shared" si="22"/>
        <v>37806.737243111791</v>
      </c>
      <c r="AE38" s="130">
        <f t="shared" si="20"/>
        <v>630.11228738519651</v>
      </c>
      <c r="AF38" s="63">
        <f t="shared" si="29"/>
        <v>9283249.1595192011</v>
      </c>
      <c r="AK38" s="127"/>
      <c r="AL38" s="124"/>
      <c r="AM38" s="124"/>
      <c r="AN38" s="97">
        <f t="shared" si="7"/>
        <v>158.04878048780489</v>
      </c>
      <c r="AO38" s="96">
        <f t="shared" si="14"/>
        <v>219.756528</v>
      </c>
      <c r="AP38" s="96">
        <f t="shared" si="15"/>
        <v>257590.24390243905</v>
      </c>
      <c r="AQ38" s="96">
        <f t="shared" si="16"/>
        <v>316449.40032000002</v>
      </c>
      <c r="AR38" s="124"/>
    </row>
    <row r="39" spans="1:44" s="41" customFormat="1" x14ac:dyDescent="0.2">
      <c r="A39" s="91">
        <f>[1]exp_table_hero!A38</f>
        <v>37</v>
      </c>
      <c r="B39" s="92">
        <f>[1]exp_table_hero!B38</f>
        <v>38050</v>
      </c>
      <c r="C39" s="92">
        <f t="shared" si="24"/>
        <v>1982768.414680081</v>
      </c>
      <c r="D39" s="92">
        <f t="shared" si="25"/>
        <v>8181.2890748752297</v>
      </c>
      <c r="E39" s="93">
        <f t="shared" si="30"/>
        <v>136.35481791458716</v>
      </c>
      <c r="F39" s="93">
        <f t="shared" si="30"/>
        <v>2.2725802985764525</v>
      </c>
      <c r="G39" s="93">
        <f t="shared" si="26"/>
        <v>9.4690845774018859E-2</v>
      </c>
      <c r="H39" s="94">
        <f t="shared" si="18"/>
        <v>97360.116300895548</v>
      </c>
      <c r="L39" s="41">
        <v>37</v>
      </c>
      <c r="M39" s="95">
        <f t="shared" si="9"/>
        <v>1369</v>
      </c>
      <c r="N39" s="96">
        <f>[2]행동력!$AB40*$I$17</f>
        <v>9811.0024640525753</v>
      </c>
      <c r="O39" s="134"/>
      <c r="P39" s="97">
        <f>'계정 경험치 테이블'!B38/N39</f>
        <v>62.495958210852436</v>
      </c>
      <c r="Q39" s="97">
        <f t="shared" si="19"/>
        <v>3749.7574926511461</v>
      </c>
      <c r="R39" s="125">
        <f>P39/[2]행동력!$M$2</f>
        <v>3.9059973881782772</v>
      </c>
      <c r="S39" s="62">
        <f t="shared" si="21"/>
        <v>224985.44955906877</v>
      </c>
      <c r="T39" s="127">
        <f>S39*[2]행동력!$BA$2</f>
        <v>44997.08991181376</v>
      </c>
      <c r="U39" s="76">
        <v>11</v>
      </c>
      <c r="V39" s="98">
        <f t="shared" si="2"/>
        <v>3.6666666666666665</v>
      </c>
      <c r="W39" s="98">
        <f t="shared" si="12"/>
        <v>5.5</v>
      </c>
      <c r="X39" s="208">
        <v>22.836734693877542</v>
      </c>
      <c r="Y39" s="96">
        <f t="shared" si="27"/>
        <v>209275</v>
      </c>
      <c r="Z39" s="96">
        <f t="shared" si="31"/>
        <v>3206212.5</v>
      </c>
      <c r="AA39" s="96">
        <f t="shared" si="28"/>
        <v>171225</v>
      </c>
      <c r="AB39" s="99">
        <f>[2]행동력!$BA40/Y39</f>
        <v>52.109550977137474</v>
      </c>
      <c r="AC39" s="140">
        <f t="shared" si="32"/>
        <v>0.21501416753942784</v>
      </c>
      <c r="AD39" s="97">
        <f t="shared" si="22"/>
        <v>44997.08991181376</v>
      </c>
      <c r="AE39" s="100">
        <f t="shared" si="20"/>
        <v>749.95149853022929</v>
      </c>
      <c r="AF39" s="63">
        <f t="shared" si="29"/>
        <v>10905226.280740445</v>
      </c>
      <c r="AK39" s="63"/>
      <c r="AL39" s="96"/>
      <c r="AM39" s="96"/>
      <c r="AN39" s="97">
        <f t="shared" si="7"/>
        <v>166.95121951219514</v>
      </c>
      <c r="AO39" s="96">
        <f t="shared" si="14"/>
        <v>225.86087599999999</v>
      </c>
      <c r="AP39" s="96">
        <f t="shared" si="15"/>
        <v>270409.75609756098</v>
      </c>
      <c r="AQ39" s="96">
        <f t="shared" si="16"/>
        <v>325239.66144</v>
      </c>
      <c r="AR39" s="96"/>
    </row>
    <row r="40" spans="1:44" s="41" customFormat="1" x14ac:dyDescent="0.2">
      <c r="A40" s="91">
        <f>[1]exp_table_hero!A39</f>
        <v>38</v>
      </c>
      <c r="B40" s="92">
        <f>[1]exp_table_hero!B39</f>
        <v>39025</v>
      </c>
      <c r="C40" s="92">
        <f t="shared" si="24"/>
        <v>2089258.0322364522</v>
      </c>
      <c r="D40" s="92">
        <f t="shared" si="25"/>
        <v>8918.4246520677134</v>
      </c>
      <c r="E40" s="93">
        <f t="shared" si="30"/>
        <v>148.64041086779523</v>
      </c>
      <c r="F40" s="93">
        <f t="shared" si="30"/>
        <v>2.4773401811299203</v>
      </c>
      <c r="G40" s="93">
        <f t="shared" si="26"/>
        <v>0.10322250754708001</v>
      </c>
      <c r="H40" s="94">
        <f t="shared" si="18"/>
        <v>106278.54095296326</v>
      </c>
      <c r="L40" s="41">
        <v>38</v>
      </c>
      <c r="M40" s="95">
        <f t="shared" si="9"/>
        <v>1444</v>
      </c>
      <c r="N40" s="96">
        <f>[2]행동력!$AB41*$I$17</f>
        <v>8904.9807671567924</v>
      </c>
      <c r="O40" s="134"/>
      <c r="P40" s="97">
        <f>'계정 경험치 테이블'!B39/N40</f>
        <v>74.320205433897613</v>
      </c>
      <c r="Q40" s="97">
        <f t="shared" si="19"/>
        <v>4459.2123260338567</v>
      </c>
      <c r="R40" s="125">
        <f>P40/[2]행동력!$M$2</f>
        <v>4.6450128396186008</v>
      </c>
      <c r="S40" s="62">
        <f t="shared" si="21"/>
        <v>267552.73956203141</v>
      </c>
      <c r="T40" s="127">
        <f>S40*[2]행동력!$BA$2</f>
        <v>53510.547912406284</v>
      </c>
      <c r="U40" s="76">
        <v>12</v>
      </c>
      <c r="V40" s="98">
        <f t="shared" si="2"/>
        <v>4</v>
      </c>
      <c r="W40" s="98">
        <f t="shared" si="12"/>
        <v>6</v>
      </c>
      <c r="X40" s="208">
        <v>23.387755102040806</v>
      </c>
      <c r="Y40" s="96">
        <f t="shared" si="27"/>
        <v>234150</v>
      </c>
      <c r="Z40" s="96">
        <f t="shared" si="31"/>
        <v>3440362.5</v>
      </c>
      <c r="AA40" s="96">
        <f t="shared" si="28"/>
        <v>195125</v>
      </c>
      <c r="AB40" s="99">
        <f>[2]행동력!$BA41/Y40</f>
        <v>53.536400569800186</v>
      </c>
      <c r="AC40" s="140">
        <f t="shared" si="32"/>
        <v>0.22853106091140843</v>
      </c>
      <c r="AD40" s="97">
        <f t="shared" si="22"/>
        <v>53510.547912406284</v>
      </c>
      <c r="AE40" s="100">
        <f t="shared" si="20"/>
        <v>891.84246520677141</v>
      </c>
      <c r="AF40" s="63">
        <f t="shared" si="29"/>
        <v>12535548.193418713</v>
      </c>
      <c r="AK40" s="63"/>
      <c r="AL40" s="96"/>
      <c r="AM40" s="96"/>
      <c r="AN40" s="97">
        <f t="shared" si="7"/>
        <v>176.09756097560978</v>
      </c>
      <c r="AO40" s="96">
        <f t="shared" si="14"/>
        <v>231.96522400000001</v>
      </c>
      <c r="AP40" s="96">
        <f t="shared" si="15"/>
        <v>283580.4878048781</v>
      </c>
      <c r="AQ40" s="96">
        <f t="shared" si="16"/>
        <v>334029.92256000004</v>
      </c>
      <c r="AR40" s="96"/>
    </row>
    <row r="41" spans="1:44" s="41" customFormat="1" x14ac:dyDescent="0.2">
      <c r="A41" s="91">
        <f>[1]exp_table_hero!A40</f>
        <v>39</v>
      </c>
      <c r="B41" s="92">
        <f>[1]exp_table_hero!B40</f>
        <v>40000</v>
      </c>
      <c r="C41" s="92">
        <f t="shared" si="24"/>
        <v>2432689.0470766812</v>
      </c>
      <c r="D41" s="92">
        <f t="shared" si="25"/>
        <v>10597.008331765554</v>
      </c>
      <c r="E41" s="93">
        <f t="shared" si="30"/>
        <v>176.6168055294259</v>
      </c>
      <c r="F41" s="93">
        <f t="shared" si="30"/>
        <v>2.9436134254904318</v>
      </c>
      <c r="G41" s="93">
        <f t="shared" si="26"/>
        <v>0.12265055939543466</v>
      </c>
      <c r="H41" s="94">
        <f t="shared" si="18"/>
        <v>116875.54928472881</v>
      </c>
      <c r="L41" s="41">
        <v>39</v>
      </c>
      <c r="M41" s="95">
        <f t="shared" si="9"/>
        <v>1521</v>
      </c>
      <c r="N41" s="96">
        <f>[2]행동력!$AB42*$I$17</f>
        <v>8074.2033337388712</v>
      </c>
      <c r="O41" s="134"/>
      <c r="P41" s="97">
        <f>'계정 경험치 테이블'!B40/N41</f>
        <v>88.308402764712923</v>
      </c>
      <c r="Q41" s="97">
        <f t="shared" si="19"/>
        <v>5298.5041658827759</v>
      </c>
      <c r="R41" s="125">
        <f>P41/[2]행동력!$M$2</f>
        <v>5.5192751727945577</v>
      </c>
      <c r="S41" s="62">
        <f t="shared" si="21"/>
        <v>317910.24995296658</v>
      </c>
      <c r="T41" s="127">
        <f>S41*[2]행동력!$BA$2</f>
        <v>63582.049990593317</v>
      </c>
      <c r="U41" s="76">
        <v>12</v>
      </c>
      <c r="V41" s="98">
        <f t="shared" si="2"/>
        <v>4</v>
      </c>
      <c r="W41" s="98">
        <f t="shared" si="12"/>
        <v>6</v>
      </c>
      <c r="X41" s="208">
        <v>23.938775510204071</v>
      </c>
      <c r="Y41" s="96">
        <f t="shared" si="27"/>
        <v>240000</v>
      </c>
      <c r="Z41" s="96">
        <f t="shared" si="31"/>
        <v>3680362.5</v>
      </c>
      <c r="AA41" s="96">
        <f t="shared" si="28"/>
        <v>200000</v>
      </c>
      <c r="AB41" s="99">
        <f>[2]행동력!$BA42/Y41</f>
        <v>60.817226176917032</v>
      </c>
      <c r="AC41" s="140">
        <f t="shared" si="32"/>
        <v>0.26492520829413885</v>
      </c>
      <c r="AD41" s="97">
        <f t="shared" si="22"/>
        <v>63582.049990593325</v>
      </c>
      <c r="AE41" s="100">
        <f t="shared" si="20"/>
        <v>1059.7008331765553</v>
      </c>
      <c r="AF41" s="63">
        <f t="shared" si="29"/>
        <v>14596134.282460088</v>
      </c>
      <c r="AK41" s="63"/>
      <c r="AL41" s="96"/>
      <c r="AM41" s="96"/>
      <c r="AN41" s="97">
        <f t="shared" si="7"/>
        <v>185.48780487804879</v>
      </c>
      <c r="AO41" s="96">
        <f t="shared" si="14"/>
        <v>238.06957199999999</v>
      </c>
      <c r="AP41" s="96">
        <f t="shared" si="15"/>
        <v>297102.43902439025</v>
      </c>
      <c r="AQ41" s="96">
        <f t="shared" si="16"/>
        <v>342820.18368000002</v>
      </c>
      <c r="AR41" s="96"/>
    </row>
    <row r="42" spans="1:44" s="105" customFormat="1" x14ac:dyDescent="0.2">
      <c r="A42" s="101">
        <f>[1]exp_table_hero!A41</f>
        <v>40</v>
      </c>
      <c r="B42" s="102">
        <f>[1]exp_table_hero!B41</f>
        <v>40975</v>
      </c>
      <c r="C42" s="102">
        <f t="shared" si="24"/>
        <v>2855275.6729015359</v>
      </c>
      <c r="D42" s="102">
        <f t="shared" si="25"/>
        <v>12581.100888612142</v>
      </c>
      <c r="E42" s="103">
        <f t="shared" si="30"/>
        <v>209.68501481020238</v>
      </c>
      <c r="F42" s="103">
        <f t="shared" si="30"/>
        <v>3.4947502468367064</v>
      </c>
      <c r="G42" s="103">
        <f t="shared" si="26"/>
        <v>0.14561459361819609</v>
      </c>
      <c r="H42" s="104">
        <f t="shared" si="18"/>
        <v>129456.65017334095</v>
      </c>
      <c r="L42" s="105">
        <v>40</v>
      </c>
      <c r="M42" s="106">
        <f t="shared" si="9"/>
        <v>1600</v>
      </c>
      <c r="N42" s="107">
        <f>[2]행동력!$AB43*$I$17</f>
        <v>7313.9418254955854</v>
      </c>
      <c r="O42" s="135"/>
      <c r="P42" s="108">
        <f>'계정 경험치 테이블'!B41/N42</f>
        <v>104.84250740510116</v>
      </c>
      <c r="Q42" s="108">
        <f t="shared" si="19"/>
        <v>6290.5504443060699</v>
      </c>
      <c r="R42" s="125">
        <f>P42/[2]행동력!$M$2</f>
        <v>6.5526567128188224</v>
      </c>
      <c r="S42" s="109">
        <f t="shared" si="21"/>
        <v>377433.02665836422</v>
      </c>
      <c r="T42" s="127">
        <f>S42*[2]행동력!$BA$2</f>
        <v>75486.60533167285</v>
      </c>
      <c r="U42" s="110">
        <v>12</v>
      </c>
      <c r="V42" s="111">
        <f t="shared" si="2"/>
        <v>4</v>
      </c>
      <c r="W42" s="111">
        <f t="shared" si="12"/>
        <v>6</v>
      </c>
      <c r="X42" s="208">
        <v>24.489795918367335</v>
      </c>
      <c r="Y42" s="107">
        <f t="shared" si="27"/>
        <v>245850</v>
      </c>
      <c r="Z42" s="107">
        <f t="shared" si="31"/>
        <v>3926212.5</v>
      </c>
      <c r="AA42" s="107">
        <f t="shared" si="28"/>
        <v>204875</v>
      </c>
      <c r="AB42" s="112">
        <f>[2]행동력!$BA43/Y42</f>
        <v>69.683359924381591</v>
      </c>
      <c r="AC42" s="141">
        <f t="shared" si="32"/>
        <v>0.30704334078370082</v>
      </c>
      <c r="AD42" s="108">
        <f t="shared" si="22"/>
        <v>75486.60533167285</v>
      </c>
      <c r="AE42" s="113">
        <f t="shared" si="20"/>
        <v>1258.1100888612141</v>
      </c>
      <c r="AF42" s="63">
        <f t="shared" si="29"/>
        <v>17131654.037409212</v>
      </c>
      <c r="AK42" s="230"/>
      <c r="AL42" s="107"/>
      <c r="AM42" s="107"/>
      <c r="AN42" s="97">
        <f t="shared" si="7"/>
        <v>195.1219512195122</v>
      </c>
      <c r="AO42" s="96">
        <f t="shared" si="14"/>
        <v>244.17392000000001</v>
      </c>
      <c r="AP42" s="96">
        <f t="shared" si="15"/>
        <v>310975.60975609755</v>
      </c>
      <c r="AQ42" s="96">
        <f t="shared" si="16"/>
        <v>351610.4448</v>
      </c>
      <c r="AR42" s="107"/>
    </row>
    <row r="43" spans="1:44" s="122" customFormat="1" x14ac:dyDescent="0.2">
      <c r="A43" s="118">
        <f>[1]exp_table_hero!A42</f>
        <v>41</v>
      </c>
      <c r="B43" s="119">
        <f>[1]exp_table_hero!B42</f>
        <v>41950</v>
      </c>
      <c r="C43" s="119">
        <f t="shared" si="24"/>
        <v>3287286.9633242055</v>
      </c>
      <c r="D43" s="119">
        <f t="shared" si="25"/>
        <v>14924.309772001756</v>
      </c>
      <c r="E43" s="120">
        <f t="shared" si="30"/>
        <v>248.73849620002926</v>
      </c>
      <c r="F43" s="120">
        <f t="shared" si="30"/>
        <v>4.1456416033338206</v>
      </c>
      <c r="G43" s="120">
        <f t="shared" si="26"/>
        <v>0.17273506680557585</v>
      </c>
      <c r="H43" s="121">
        <f t="shared" si="18"/>
        <v>144380.95994534271</v>
      </c>
      <c r="L43" s="122">
        <v>41</v>
      </c>
      <c r="M43" s="123">
        <f t="shared" si="9"/>
        <v>1681</v>
      </c>
      <c r="N43" s="124">
        <f>[2]행동력!$AB44*$I$17</f>
        <v>6619.4820068217741</v>
      </c>
      <c r="O43" s="136"/>
      <c r="P43" s="125">
        <f>'계정 경험치 테이블'!B42/N43</f>
        <v>124.36924810001463</v>
      </c>
      <c r="Q43" s="125">
        <f t="shared" si="19"/>
        <v>7462.1548860008779</v>
      </c>
      <c r="R43" s="125">
        <f>P43/[2]행동력!$M$2</f>
        <v>7.7730780062509144</v>
      </c>
      <c r="S43" s="126">
        <f t="shared" si="21"/>
        <v>447729.29316005268</v>
      </c>
      <c r="T43" s="127">
        <f>S43*[2]행동력!$BA$2</f>
        <v>89545.858632010539</v>
      </c>
      <c r="U43" s="128">
        <v>12</v>
      </c>
      <c r="V43" s="129">
        <f t="shared" si="2"/>
        <v>4</v>
      </c>
      <c r="W43" s="129">
        <f t="shared" si="12"/>
        <v>6</v>
      </c>
      <c r="X43" s="208">
        <v>25.040816326530603</v>
      </c>
      <c r="Y43" s="124">
        <f t="shared" si="27"/>
        <v>251700</v>
      </c>
      <c r="Z43" s="124">
        <f t="shared" si="31"/>
        <v>4177912.5</v>
      </c>
      <c r="AA43" s="124">
        <f t="shared" si="28"/>
        <v>209750</v>
      </c>
      <c r="AB43" s="114">
        <f>[2]행동력!$BA44/Y43</f>
        <v>78.362025347418481</v>
      </c>
      <c r="AC43" s="142">
        <f t="shared" si="32"/>
        <v>0.35576423771160326</v>
      </c>
      <c r="AD43" s="125">
        <f t="shared" si="22"/>
        <v>89545.858632010539</v>
      </c>
      <c r="AE43" s="130">
        <f t="shared" si="20"/>
        <v>1492.4309772001757</v>
      </c>
      <c r="AF43" s="63">
        <f t="shared" si="29"/>
        <v>19723721.779945232</v>
      </c>
      <c r="AK43" s="127"/>
      <c r="AL43" s="124"/>
      <c r="AM43" s="124"/>
      <c r="AN43" s="97">
        <f t="shared" si="7"/>
        <v>205.00000000000003</v>
      </c>
      <c r="AO43" s="96">
        <f t="shared" si="14"/>
        <v>250.278268</v>
      </c>
      <c r="AP43" s="96">
        <f t="shared" si="15"/>
        <v>325200.00000000006</v>
      </c>
      <c r="AQ43" s="96">
        <f t="shared" si="16"/>
        <v>360400.70591999998</v>
      </c>
      <c r="AR43" s="124"/>
    </row>
    <row r="44" spans="1:44" s="41" customFormat="1" x14ac:dyDescent="0.2">
      <c r="A44" s="91">
        <f>[1]exp_table_hero!A43</f>
        <v>42</v>
      </c>
      <c r="B44" s="92">
        <f>[1]exp_table_hero!B43</f>
        <v>42925</v>
      </c>
      <c r="C44" s="92">
        <f t="shared" si="24"/>
        <v>3536574.7275674604</v>
      </c>
      <c r="D44" s="92">
        <f t="shared" si="25"/>
        <v>16328.568227593314</v>
      </c>
      <c r="E44" s="93">
        <f t="shared" si="30"/>
        <v>272.1428037932219</v>
      </c>
      <c r="F44" s="93">
        <f t="shared" si="30"/>
        <v>4.5357133965536987</v>
      </c>
      <c r="G44" s="93">
        <f t="shared" si="26"/>
        <v>0.18898805818973743</v>
      </c>
      <c r="H44" s="94">
        <f t="shared" si="18"/>
        <v>160709.52817293603</v>
      </c>
      <c r="L44" s="41">
        <v>42</v>
      </c>
      <c r="M44" s="95">
        <f t="shared" si="9"/>
        <v>1764</v>
      </c>
      <c r="N44" s="96">
        <f>[2]행동력!$AB45*$I$17</f>
        <v>5986.1874848311572</v>
      </c>
      <c r="O44" s="134"/>
      <c r="P44" s="97">
        <f>'계정 경험치 테이블'!B43/N44</f>
        <v>147.41068538799519</v>
      </c>
      <c r="Q44" s="97">
        <f t="shared" si="19"/>
        <v>8844.6411232797109</v>
      </c>
      <c r="R44" s="125">
        <f>P44/[2]행동력!$M$2</f>
        <v>9.2131678367496992</v>
      </c>
      <c r="S44" s="62">
        <f t="shared" si="21"/>
        <v>530678.46739678271</v>
      </c>
      <c r="T44" s="127">
        <f>S44*[2]행동력!$BA$2</f>
        <v>106135.69347935655</v>
      </c>
      <c r="U44" s="76">
        <v>13</v>
      </c>
      <c r="V44" s="98">
        <f t="shared" si="2"/>
        <v>4.333333333333333</v>
      </c>
      <c r="W44" s="98">
        <f t="shared" si="12"/>
        <v>6.5</v>
      </c>
      <c r="X44" s="208">
        <v>25.591836734693867</v>
      </c>
      <c r="Y44" s="96">
        <f t="shared" si="27"/>
        <v>279012.5</v>
      </c>
      <c r="Z44" s="96">
        <f t="shared" si="31"/>
        <v>4456925</v>
      </c>
      <c r="AA44" s="96">
        <f t="shared" si="28"/>
        <v>236087.5</v>
      </c>
      <c r="AB44" s="99">
        <f>[2]행동력!$BA45/Y44</f>
        <v>82.389626734244857</v>
      </c>
      <c r="AC44" s="140">
        <f t="shared" si="32"/>
        <v>0.38039762906449187</v>
      </c>
      <c r="AD44" s="97">
        <f t="shared" si="22"/>
        <v>106135.69347935655</v>
      </c>
      <c r="AE44" s="100">
        <f t="shared" si="20"/>
        <v>1768.9282246559424</v>
      </c>
      <c r="AF44" s="63">
        <f t="shared" si="29"/>
        <v>22987735.729188494</v>
      </c>
      <c r="AK44" s="63"/>
      <c r="AL44" s="96"/>
      <c r="AM44" s="96"/>
      <c r="AN44" s="97">
        <f t="shared" si="7"/>
        <v>215.12195121951223</v>
      </c>
      <c r="AO44" s="96">
        <f t="shared" si="14"/>
        <v>256.38261599999998</v>
      </c>
      <c r="AP44" s="96">
        <f t="shared" si="15"/>
        <v>339775.6097560976</v>
      </c>
      <c r="AQ44" s="96">
        <f t="shared" si="16"/>
        <v>369190.96703999996</v>
      </c>
      <c r="AR44" s="96"/>
    </row>
    <row r="45" spans="1:44" s="41" customFormat="1" x14ac:dyDescent="0.2">
      <c r="A45" s="91">
        <f>[1]exp_table_hero!A44</f>
        <v>43</v>
      </c>
      <c r="B45" s="92">
        <f>[1]exp_table_hero!B44</f>
        <v>43900</v>
      </c>
      <c r="C45" s="92">
        <f t="shared" si="24"/>
        <v>4154025.8586160471</v>
      </c>
      <c r="D45" s="92">
        <f t="shared" si="25"/>
        <v>19337.69745685935</v>
      </c>
      <c r="E45" s="93">
        <f t="shared" si="30"/>
        <v>322.29495761432253</v>
      </c>
      <c r="F45" s="93">
        <f t="shared" si="30"/>
        <v>5.3715826269053757</v>
      </c>
      <c r="G45" s="93">
        <f t="shared" si="26"/>
        <v>0.22381594278772399</v>
      </c>
      <c r="H45" s="94">
        <f t="shared" si="18"/>
        <v>180047.22562979537</v>
      </c>
      <c r="L45" s="41">
        <v>43</v>
      </c>
      <c r="M45" s="95">
        <f t="shared" si="9"/>
        <v>1849</v>
      </c>
      <c r="N45" s="96">
        <f>[2]행동력!$AB46*$I$17</f>
        <v>5409.5502521547714</v>
      </c>
      <c r="O45" s="134"/>
      <c r="P45" s="97">
        <f>'계정 경험치 테이블'!B44/N45</f>
        <v>174.57643537442465</v>
      </c>
      <c r="Q45" s="97">
        <f t="shared" si="19"/>
        <v>10474.586122465478</v>
      </c>
      <c r="R45" s="125">
        <f>P45/[2]행동력!$M$2</f>
        <v>10.91102721090154</v>
      </c>
      <c r="S45" s="62">
        <f t="shared" si="21"/>
        <v>628475.16734792874</v>
      </c>
      <c r="T45" s="127">
        <f>S45*[2]행동력!$BA$2</f>
        <v>125695.03346958576</v>
      </c>
      <c r="U45" s="76">
        <v>13</v>
      </c>
      <c r="V45" s="98">
        <f t="shared" si="2"/>
        <v>4.333333333333333</v>
      </c>
      <c r="W45" s="98">
        <f t="shared" si="12"/>
        <v>6.5</v>
      </c>
      <c r="X45" s="208">
        <v>26.142857142857132</v>
      </c>
      <c r="Y45" s="96">
        <f t="shared" si="27"/>
        <v>285350</v>
      </c>
      <c r="Z45" s="96">
        <f t="shared" si="31"/>
        <v>4742275</v>
      </c>
      <c r="AA45" s="96">
        <f t="shared" si="28"/>
        <v>241450</v>
      </c>
      <c r="AB45" s="99">
        <f>[2]행동력!$BA46/Y45</f>
        <v>94.624734820411092</v>
      </c>
      <c r="AC45" s="140">
        <f t="shared" si="32"/>
        <v>0.44049424730886899</v>
      </c>
      <c r="AD45" s="97">
        <f t="shared" si="22"/>
        <v>125695.03346958576</v>
      </c>
      <c r="AE45" s="100">
        <f t="shared" si="20"/>
        <v>2094.917224493096</v>
      </c>
      <c r="AF45" s="63">
        <f t="shared" si="29"/>
        <v>27001168.081004307</v>
      </c>
      <c r="AK45" s="63"/>
      <c r="AL45" s="96"/>
      <c r="AM45" s="96"/>
      <c r="AN45" s="97">
        <f t="shared" si="7"/>
        <v>225.48780487804879</v>
      </c>
      <c r="AO45" s="96">
        <f t="shared" si="14"/>
        <v>262.486964</v>
      </c>
      <c r="AP45" s="96">
        <f t="shared" si="15"/>
        <v>354702.43902439025</v>
      </c>
      <c r="AQ45" s="96">
        <f t="shared" si="16"/>
        <v>377981.22816</v>
      </c>
      <c r="AR45" s="96"/>
    </row>
    <row r="46" spans="1:44" s="41" customFormat="1" x14ac:dyDescent="0.2">
      <c r="A46" s="91">
        <f>[1]exp_table_hero!A45</f>
        <v>44</v>
      </c>
      <c r="B46" s="92">
        <f>[1]exp_table_hero!B45</f>
        <v>44875</v>
      </c>
      <c r="C46" s="92">
        <f t="shared" si="24"/>
        <v>4795205.5266974699</v>
      </c>
      <c r="D46" s="92">
        <f t="shared" si="25"/>
        <v>22882.46528645639</v>
      </c>
      <c r="E46" s="93">
        <f t="shared" si="30"/>
        <v>381.37442144093984</v>
      </c>
      <c r="F46" s="93">
        <f t="shared" si="30"/>
        <v>6.3562403573489972</v>
      </c>
      <c r="G46" s="93">
        <f t="shared" si="26"/>
        <v>0.26484334822287486</v>
      </c>
      <c r="H46" s="94">
        <f t="shared" si="18"/>
        <v>202929.69091625177</v>
      </c>
      <c r="L46" s="41">
        <v>44</v>
      </c>
      <c r="M46" s="95">
        <f t="shared" si="9"/>
        <v>1936</v>
      </c>
      <c r="N46" s="96">
        <f>[2]행동력!$AB47*$I$17</f>
        <v>4885.2294063723957</v>
      </c>
      <c r="O46" s="134"/>
      <c r="P46" s="97">
        <f>'계정 경험치 테이블'!B45/N46</f>
        <v>206.57781161384241</v>
      </c>
      <c r="Q46" s="97">
        <f t="shared" si="19"/>
        <v>12394.668696830544</v>
      </c>
      <c r="R46" s="125">
        <f>P46/[2]행동력!$M$2</f>
        <v>12.911113225865151</v>
      </c>
      <c r="S46" s="62">
        <f t="shared" si="21"/>
        <v>743680.12180983264</v>
      </c>
      <c r="T46" s="127">
        <f>S46*[2]행동력!$BA$2</f>
        <v>148736.02436196653</v>
      </c>
      <c r="U46" s="76">
        <v>13</v>
      </c>
      <c r="V46" s="98">
        <f t="shared" si="2"/>
        <v>4.333333333333333</v>
      </c>
      <c r="W46" s="98">
        <f t="shared" si="12"/>
        <v>6.5</v>
      </c>
      <c r="X46" s="208">
        <v>26.693877551020396</v>
      </c>
      <c r="Y46" s="96">
        <f t="shared" si="27"/>
        <v>291687.5</v>
      </c>
      <c r="Z46" s="96">
        <f t="shared" si="31"/>
        <v>5033962.5</v>
      </c>
      <c r="AA46" s="96">
        <f t="shared" si="28"/>
        <v>246812.5</v>
      </c>
      <c r="AB46" s="99">
        <f>[2]행동력!$BA47/Y46</f>
        <v>106.85694767013861</v>
      </c>
      <c r="AC46" s="140">
        <f t="shared" si="32"/>
        <v>0.50991566097952956</v>
      </c>
      <c r="AD46" s="97">
        <f t="shared" si="22"/>
        <v>148736.02436196653</v>
      </c>
      <c r="AE46" s="100">
        <f t="shared" si="20"/>
        <v>2478.933739366109</v>
      </c>
      <c r="AF46" s="63">
        <f t="shared" si="29"/>
        <v>31168835.923533555</v>
      </c>
      <c r="AK46" s="63"/>
      <c r="AL46" s="96"/>
      <c r="AM46" s="96"/>
      <c r="AN46" s="97">
        <f t="shared" si="7"/>
        <v>236.09756097560978</v>
      </c>
      <c r="AO46" s="96">
        <f t="shared" si="14"/>
        <v>268.59131200000002</v>
      </c>
      <c r="AP46" s="96">
        <f t="shared" si="15"/>
        <v>369980.4878048781</v>
      </c>
      <c r="AQ46" s="96">
        <f t="shared" si="16"/>
        <v>386771.48928000004</v>
      </c>
      <c r="AR46" s="96"/>
    </row>
    <row r="47" spans="1:44" s="105" customFormat="1" x14ac:dyDescent="0.2">
      <c r="A47" s="101">
        <f>[1]exp_table_hero!A46</f>
        <v>45</v>
      </c>
      <c r="B47" s="102">
        <f>[1]exp_table_hero!B46</f>
        <v>45850</v>
      </c>
      <c r="C47" s="102">
        <f t="shared" si="24"/>
        <v>5599784.6611374505</v>
      </c>
      <c r="D47" s="102">
        <f t="shared" si="25"/>
        <v>27054.739684510252</v>
      </c>
      <c r="E47" s="103">
        <f t="shared" si="30"/>
        <v>450.91232807517088</v>
      </c>
      <c r="F47" s="103">
        <f t="shared" si="30"/>
        <v>7.5152054679195146</v>
      </c>
      <c r="G47" s="103">
        <f t="shared" si="26"/>
        <v>0.31313356116331309</v>
      </c>
      <c r="H47" s="104">
        <f t="shared" si="18"/>
        <v>229984.43060076202</v>
      </c>
      <c r="L47" s="105">
        <v>45</v>
      </c>
      <c r="M47" s="106">
        <f t="shared" si="9"/>
        <v>2025</v>
      </c>
      <c r="N47" s="107">
        <f>[2]행동력!$AB48*$I$17</f>
        <v>4409.0795125940167</v>
      </c>
      <c r="O47" s="135"/>
      <c r="P47" s="108">
        <f>'계정 경험치 테이블'!B46/N47</f>
        <v>244.24417770738421</v>
      </c>
      <c r="Q47" s="108">
        <f t="shared" si="19"/>
        <v>14654.650662443053</v>
      </c>
      <c r="R47" s="125">
        <f>P47/[2]행동력!$M$2</f>
        <v>15.265261106711513</v>
      </c>
      <c r="S47" s="109">
        <f t="shared" si="21"/>
        <v>879279.03974658321</v>
      </c>
      <c r="T47" s="127">
        <f>S47*[2]행동력!$BA$2</f>
        <v>175855.80794931666</v>
      </c>
      <c r="U47" s="110">
        <v>13</v>
      </c>
      <c r="V47" s="111">
        <f t="shared" si="2"/>
        <v>4.333333333333333</v>
      </c>
      <c r="W47" s="111">
        <f t="shared" si="12"/>
        <v>6.5</v>
      </c>
      <c r="X47" s="208">
        <v>27.24489795918366</v>
      </c>
      <c r="Y47" s="107">
        <f t="shared" si="27"/>
        <v>298025</v>
      </c>
      <c r="Z47" s="107">
        <f t="shared" si="31"/>
        <v>5331987.5</v>
      </c>
      <c r="AA47" s="107">
        <f t="shared" si="28"/>
        <v>252175</v>
      </c>
      <c r="AB47" s="112">
        <f>[2]행동력!$BA48/Y47</f>
        <v>122.13270798554963</v>
      </c>
      <c r="AC47" s="141">
        <f t="shared" si="32"/>
        <v>0.59007065833173944</v>
      </c>
      <c r="AD47" s="108">
        <f t="shared" si="22"/>
        <v>175855.80794931666</v>
      </c>
      <c r="AE47" s="113">
        <f t="shared" si="20"/>
        <v>2930.930132488611</v>
      </c>
      <c r="AF47" s="63">
        <f t="shared" si="29"/>
        <v>36398600.297393426</v>
      </c>
      <c r="AK47" s="230"/>
      <c r="AL47" s="107"/>
      <c r="AM47" s="107"/>
      <c r="AN47" s="97">
        <f t="shared" si="7"/>
        <v>246.95121951219514</v>
      </c>
      <c r="AO47" s="96">
        <f t="shared" si="14"/>
        <v>274.69566000000003</v>
      </c>
      <c r="AP47" s="96">
        <f t="shared" si="15"/>
        <v>385609.75609756098</v>
      </c>
      <c r="AQ47" s="96">
        <f t="shared" si="16"/>
        <v>395561.75040000002</v>
      </c>
      <c r="AR47" s="107"/>
    </row>
    <row r="48" spans="1:44" s="122" customFormat="1" x14ac:dyDescent="0.2">
      <c r="A48" s="118">
        <f>[1]exp_table_hero!A47</f>
        <v>46</v>
      </c>
      <c r="B48" s="119">
        <f>[1]exp_table_hero!B47</f>
        <v>46825</v>
      </c>
      <c r="C48" s="119">
        <f t="shared" si="24"/>
        <v>6117646.9951704359</v>
      </c>
      <c r="D48" s="119">
        <f t="shared" si="25"/>
        <v>29678.589956721873</v>
      </c>
      <c r="E48" s="120">
        <f t="shared" si="30"/>
        <v>494.64316594536456</v>
      </c>
      <c r="F48" s="120">
        <f t="shared" si="30"/>
        <v>8.2440527657560754</v>
      </c>
      <c r="G48" s="120">
        <f t="shared" si="26"/>
        <v>0.34350219857316983</v>
      </c>
      <c r="H48" s="121">
        <f t="shared" si="18"/>
        <v>259663.02055748389</v>
      </c>
      <c r="L48" s="122">
        <v>46</v>
      </c>
      <c r="M48" s="123">
        <f t="shared" si="9"/>
        <v>2116</v>
      </c>
      <c r="N48" s="124">
        <f>[2]행동력!$AB49*$I$17</f>
        <v>3977.1700802539631</v>
      </c>
      <c r="O48" s="136"/>
      <c r="P48" s="125">
        <f>'계정 경험치 테이블'!B47/N48</f>
        <v>288.54184680146267</v>
      </c>
      <c r="Q48" s="125">
        <f t="shared" si="19"/>
        <v>17312.510808087762</v>
      </c>
      <c r="R48" s="125">
        <f>P48/[2]행동력!$M$2</f>
        <v>18.033865425091417</v>
      </c>
      <c r="S48" s="126">
        <f t="shared" si="21"/>
        <v>1038750.6484852657</v>
      </c>
      <c r="T48" s="127">
        <f>S48*[2]행동력!$BA$2</f>
        <v>207750.12969705314</v>
      </c>
      <c r="U48" s="128">
        <v>14</v>
      </c>
      <c r="V48" s="129">
        <f t="shared" si="2"/>
        <v>4.666666666666667</v>
      </c>
      <c r="W48" s="129">
        <f t="shared" si="12"/>
        <v>7</v>
      </c>
      <c r="X48" s="208">
        <v>27.795918367346925</v>
      </c>
      <c r="Y48" s="124">
        <f t="shared" si="27"/>
        <v>327775</v>
      </c>
      <c r="Z48" s="124">
        <f t="shared" si="31"/>
        <v>5659762.5</v>
      </c>
      <c r="AA48" s="124">
        <f t="shared" si="28"/>
        <v>280950</v>
      </c>
      <c r="AB48" s="114">
        <f>[2]행동력!$BA49/Y48</f>
        <v>130.64916166941669</v>
      </c>
      <c r="AC48" s="142">
        <f t="shared" si="32"/>
        <v>0.63381932635818206</v>
      </c>
      <c r="AD48" s="125">
        <f t="shared" si="22"/>
        <v>207750.12969705311</v>
      </c>
      <c r="AE48" s="130">
        <f t="shared" si="20"/>
        <v>3462.5021616175518</v>
      </c>
      <c r="AF48" s="63">
        <f t="shared" si="29"/>
        <v>42823528.966193058</v>
      </c>
      <c r="AK48" s="127"/>
      <c r="AL48" s="124"/>
      <c r="AM48" s="124"/>
      <c r="AN48" s="97">
        <f t="shared" si="7"/>
        <v>258.04878048780489</v>
      </c>
      <c r="AO48" s="96">
        <f t="shared" si="14"/>
        <v>280.80000799999999</v>
      </c>
      <c r="AP48" s="96">
        <f t="shared" si="15"/>
        <v>401590.24390243902</v>
      </c>
      <c r="AQ48" s="96">
        <f t="shared" si="16"/>
        <v>404352.01152</v>
      </c>
      <c r="AR48" s="124"/>
    </row>
    <row r="49" spans="1:44" s="41" customFormat="1" x14ac:dyDescent="0.2">
      <c r="A49" s="91">
        <f>[1]exp_table_hero!A48</f>
        <v>47</v>
      </c>
      <c r="B49" s="92">
        <f>[1]exp_table_hero!B48</f>
        <v>47800</v>
      </c>
      <c r="C49" s="92">
        <f t="shared" si="24"/>
        <v>7083789.8369789729</v>
      </c>
      <c r="D49" s="92">
        <f t="shared" si="25"/>
        <v>35032.722594457817</v>
      </c>
      <c r="E49" s="93">
        <f t="shared" si="30"/>
        <v>583.87870990763031</v>
      </c>
      <c r="F49" s="93">
        <f t="shared" si="30"/>
        <v>9.731311831793839</v>
      </c>
      <c r="G49" s="93">
        <f t="shared" si="26"/>
        <v>0.40547132632474331</v>
      </c>
      <c r="H49" s="94">
        <f t="shared" si="18"/>
        <v>294695.74315194169</v>
      </c>
      <c r="L49" s="41">
        <v>47</v>
      </c>
      <c r="M49" s="95">
        <f t="shared" si="9"/>
        <v>2209</v>
      </c>
      <c r="N49" s="96">
        <f>[2]행동력!$AB50*$I$17</f>
        <v>3585.7975665426752</v>
      </c>
      <c r="O49" s="134"/>
      <c r="P49" s="97">
        <f>'계정 경험치 테이블'!B48/N49</f>
        <v>340.59591411278433</v>
      </c>
      <c r="Q49" s="97">
        <f t="shared" si="19"/>
        <v>20435.75484676706</v>
      </c>
      <c r="R49" s="125">
        <f>P49/[2]행동력!$M$2</f>
        <v>21.287244632049021</v>
      </c>
      <c r="S49" s="62">
        <f t="shared" si="21"/>
        <v>1226145.2908060236</v>
      </c>
      <c r="T49" s="127">
        <f>S49*[2]행동력!$BA$2</f>
        <v>245229.05816120474</v>
      </c>
      <c r="U49" s="76">
        <v>14</v>
      </c>
      <c r="V49" s="98">
        <f t="shared" si="2"/>
        <v>4.666666666666667</v>
      </c>
      <c r="W49" s="98">
        <f t="shared" si="12"/>
        <v>7</v>
      </c>
      <c r="X49" s="208">
        <v>28.346938775510193</v>
      </c>
      <c r="Y49" s="96">
        <f t="shared" si="27"/>
        <v>334600</v>
      </c>
      <c r="Z49" s="96">
        <f t="shared" si="31"/>
        <v>5994362.5</v>
      </c>
      <c r="AA49" s="96">
        <f t="shared" si="28"/>
        <v>286800</v>
      </c>
      <c r="AB49" s="99">
        <f>[2]행동력!$BA50/Y49</f>
        <v>148.1964401041626</v>
      </c>
      <c r="AC49" s="140">
        <f t="shared" si="32"/>
        <v>0.73290214632756945</v>
      </c>
      <c r="AD49" s="97">
        <f t="shared" si="22"/>
        <v>245229.05816120474</v>
      </c>
      <c r="AE49" s="100">
        <f t="shared" si="20"/>
        <v>4087.1509693534122</v>
      </c>
      <c r="AF49" s="63">
        <f t="shared" si="29"/>
        <v>49586528.858852811</v>
      </c>
      <c r="AK49" s="63"/>
      <c r="AL49" s="96"/>
      <c r="AM49" s="96"/>
      <c r="AN49" s="97">
        <f t="shared" si="7"/>
        <v>269.39024390243907</v>
      </c>
      <c r="AO49" s="96">
        <f t="shared" si="14"/>
        <v>286.90435600000001</v>
      </c>
      <c r="AP49" s="96">
        <f t="shared" si="15"/>
        <v>417921.95121951227</v>
      </c>
      <c r="AQ49" s="96">
        <f t="shared" si="16"/>
        <v>413142.27263999998</v>
      </c>
      <c r="AR49" s="96"/>
    </row>
    <row r="50" spans="1:44" s="41" customFormat="1" x14ac:dyDescent="0.2">
      <c r="A50" s="91">
        <f>[1]exp_table_hero!A49</f>
        <v>48</v>
      </c>
      <c r="B50" s="92">
        <f>[1]exp_table_hero!B49</f>
        <v>48775</v>
      </c>
      <c r="C50" s="92">
        <f t="shared" si="24"/>
        <v>8291912.0997028789</v>
      </c>
      <c r="D50" s="92">
        <f t="shared" si="25"/>
        <v>41319.305055177152</v>
      </c>
      <c r="E50" s="93">
        <f t="shared" si="30"/>
        <v>688.65508425295252</v>
      </c>
      <c r="F50" s="93">
        <f t="shared" si="30"/>
        <v>11.477584737549209</v>
      </c>
      <c r="G50" s="93">
        <f t="shared" si="26"/>
        <v>0.47823269739788371</v>
      </c>
      <c r="H50" s="94">
        <f t="shared" si="18"/>
        <v>336015.04820711882</v>
      </c>
      <c r="L50" s="41">
        <v>48</v>
      </c>
      <c r="M50" s="95">
        <f t="shared" si="9"/>
        <v>2304</v>
      </c>
      <c r="N50" s="96">
        <f>[2]행동력!$AB51*$I$17</f>
        <v>3231.4912182154794</v>
      </c>
      <c r="O50" s="134"/>
      <c r="P50" s="97">
        <f>'계정 경험치 테이블'!B49/N50</f>
        <v>401.71546581422228</v>
      </c>
      <c r="Q50" s="97">
        <f t="shared" si="19"/>
        <v>24102.927948853336</v>
      </c>
      <c r="R50" s="125">
        <f>P50/[2]행동력!$M$2</f>
        <v>25.107216613388893</v>
      </c>
      <c r="S50" s="62">
        <f t="shared" si="21"/>
        <v>1446175.6769312001</v>
      </c>
      <c r="T50" s="127">
        <f>S50*[2]행동력!$BA$2</f>
        <v>289235.13538624003</v>
      </c>
      <c r="U50" s="76">
        <v>14</v>
      </c>
      <c r="V50" s="98">
        <f t="shared" si="2"/>
        <v>4.666666666666667</v>
      </c>
      <c r="W50" s="98">
        <f t="shared" si="12"/>
        <v>7</v>
      </c>
      <c r="X50" s="208">
        <v>28.897959183673457</v>
      </c>
      <c r="Y50" s="96">
        <f t="shared" si="27"/>
        <v>341425</v>
      </c>
      <c r="Z50" s="96">
        <f t="shared" si="31"/>
        <v>6335787.5</v>
      </c>
      <c r="AA50" s="96">
        <f t="shared" si="28"/>
        <v>292650</v>
      </c>
      <c r="AB50" s="99">
        <f>[2]행동력!$BA51/Y50</f>
        <v>170.00332341779352</v>
      </c>
      <c r="AC50" s="140">
        <f t="shared" si="32"/>
        <v>0.84714105700004405</v>
      </c>
      <c r="AD50" s="97">
        <f t="shared" si="22"/>
        <v>289235.13538624003</v>
      </c>
      <c r="AE50" s="100">
        <f t="shared" si="20"/>
        <v>4820.585589770667</v>
      </c>
      <c r="AF50" s="63">
        <f t="shared" si="29"/>
        <v>58043384.697920151</v>
      </c>
      <c r="AK50" s="63"/>
      <c r="AL50" s="96"/>
      <c r="AM50" s="96"/>
      <c r="AN50" s="97">
        <f t="shared" si="7"/>
        <v>280.97560975609758</v>
      </c>
      <c r="AO50" s="96">
        <f t="shared" si="14"/>
        <v>293.00870399999997</v>
      </c>
      <c r="AP50" s="96">
        <f t="shared" si="15"/>
        <v>434604.87804878049</v>
      </c>
      <c r="AQ50" s="96">
        <f t="shared" si="16"/>
        <v>421932.53375999996</v>
      </c>
      <c r="AR50" s="96"/>
    </row>
    <row r="51" spans="1:44" s="41" customFormat="1" x14ac:dyDescent="0.2">
      <c r="A51" s="91">
        <f>[1]exp_table_hero!A50</f>
        <v>49</v>
      </c>
      <c r="B51" s="92">
        <f>[1]exp_table_hero!B50</f>
        <v>49750</v>
      </c>
      <c r="C51" s="92">
        <f t="shared" si="24"/>
        <v>9774252.7956503741</v>
      </c>
      <c r="D51" s="92">
        <f t="shared" si="25"/>
        <v>48694.90352257718</v>
      </c>
      <c r="E51" s="93">
        <f t="shared" si="30"/>
        <v>811.58172537628639</v>
      </c>
      <c r="F51" s="93">
        <f t="shared" si="30"/>
        <v>13.526362089604772</v>
      </c>
      <c r="G51" s="93">
        <f t="shared" si="26"/>
        <v>0.56359842040019881</v>
      </c>
      <c r="H51" s="94">
        <f t="shared" si="18"/>
        <v>384709.95172969601</v>
      </c>
      <c r="L51" s="41">
        <v>49</v>
      </c>
      <c r="M51" s="95">
        <f t="shared" si="9"/>
        <v>2401</v>
      </c>
      <c r="N51" s="96">
        <f>[2]행동력!$AB52*$I$17</f>
        <v>2911.0139378635463</v>
      </c>
      <c r="O51" s="134"/>
      <c r="P51" s="97">
        <f>'계정 경험치 테이블'!B50/N51</f>
        <v>473.42267313616696</v>
      </c>
      <c r="Q51" s="97">
        <f t="shared" si="19"/>
        <v>28405.360388170018</v>
      </c>
      <c r="R51" s="125">
        <f>P51/[2]행동력!$M$2</f>
        <v>29.588917071010435</v>
      </c>
      <c r="S51" s="62">
        <f t="shared" si="21"/>
        <v>1704321.6232902012</v>
      </c>
      <c r="T51" s="127">
        <f>S51*[2]행동력!$BA$2</f>
        <v>340864.32465804025</v>
      </c>
      <c r="U51" s="76">
        <v>14</v>
      </c>
      <c r="V51" s="98">
        <f t="shared" si="2"/>
        <v>4.666666666666667</v>
      </c>
      <c r="W51" s="98">
        <f t="shared" si="12"/>
        <v>7</v>
      </c>
      <c r="X51" s="208">
        <v>29.448979591836721</v>
      </c>
      <c r="Y51" s="96">
        <f t="shared" si="27"/>
        <v>348250</v>
      </c>
      <c r="Z51" s="96">
        <f t="shared" si="31"/>
        <v>6684037.5</v>
      </c>
      <c r="AA51" s="96">
        <f t="shared" si="28"/>
        <v>298500</v>
      </c>
      <c r="AB51" s="99">
        <f>[2]행동력!$BA52/Y51</f>
        <v>196.46739287739445</v>
      </c>
      <c r="AC51" s="140">
        <f t="shared" si="32"/>
        <v>0.97879203060456643</v>
      </c>
      <c r="AD51" s="97">
        <f t="shared" si="22"/>
        <v>340864.32465804025</v>
      </c>
      <c r="AE51" s="100">
        <f t="shared" si="20"/>
        <v>5681.072077634004</v>
      </c>
      <c r="AF51" s="63">
        <f t="shared" si="29"/>
        <v>68419769.569552615</v>
      </c>
      <c r="AK51" s="63"/>
      <c r="AL51" s="96"/>
      <c r="AM51" s="96"/>
      <c r="AN51" s="97">
        <f t="shared" si="7"/>
        <v>292.80487804878049</v>
      </c>
      <c r="AO51" s="96">
        <f t="shared" si="14"/>
        <v>299.11305199999998</v>
      </c>
      <c r="AP51" s="96">
        <f t="shared" si="15"/>
        <v>451639.02439024393</v>
      </c>
      <c r="AQ51" s="96">
        <f t="shared" si="16"/>
        <v>430722.79488</v>
      </c>
      <c r="AR51" s="96"/>
    </row>
    <row r="52" spans="1:44" s="105" customFormat="1" x14ac:dyDescent="0.2">
      <c r="A52" s="101">
        <f>[1]exp_table_hero!A51</f>
        <v>50</v>
      </c>
      <c r="B52" s="102">
        <f>[1]exp_table_hero!B51</f>
        <v>0</v>
      </c>
      <c r="C52" s="102">
        <f t="shared" si="24"/>
        <v>0</v>
      </c>
      <c r="D52" s="102">
        <v>0</v>
      </c>
      <c r="E52" s="103">
        <f>D52/60</f>
        <v>0</v>
      </c>
      <c r="F52" s="103"/>
      <c r="G52" s="103"/>
      <c r="H52" s="104">
        <f t="shared" si="18"/>
        <v>384709.95172969601</v>
      </c>
      <c r="L52" s="105">
        <v>50</v>
      </c>
      <c r="M52" s="106">
        <f t="shared" si="9"/>
        <v>2500</v>
      </c>
      <c r="N52" s="107">
        <f>[2]행동력!$AB53*$I$17</f>
        <v>2621.3592233009867</v>
      </c>
      <c r="O52" s="135"/>
      <c r="P52" s="108">
        <f>'계정 경험치 테이블'!B51/N52</f>
        <v>0</v>
      </c>
      <c r="Q52" s="108">
        <f t="shared" si="19"/>
        <v>0</v>
      </c>
      <c r="R52" s="125">
        <f>P52/[2]행동력!$M$2</f>
        <v>0</v>
      </c>
      <c r="S52" s="109">
        <f t="shared" si="21"/>
        <v>0</v>
      </c>
      <c r="T52" s="127">
        <f>S52*[2]행동력!$BA$2</f>
        <v>0</v>
      </c>
      <c r="U52" s="110">
        <v>15</v>
      </c>
      <c r="V52" s="111">
        <f t="shared" si="2"/>
        <v>5</v>
      </c>
      <c r="W52" s="111">
        <f t="shared" si="12"/>
        <v>7.5</v>
      </c>
      <c r="X52" s="208">
        <v>29.999999999999986</v>
      </c>
      <c r="Y52" s="107">
        <f t="shared" si="27"/>
        <v>0</v>
      </c>
      <c r="Z52" s="107">
        <f t="shared" si="31"/>
        <v>6684037.5</v>
      </c>
      <c r="AA52" s="107">
        <f t="shared" si="28"/>
        <v>0</v>
      </c>
      <c r="AB52" s="112">
        <v>0</v>
      </c>
      <c r="AC52" s="141">
        <v>0</v>
      </c>
      <c r="AD52" s="108">
        <f t="shared" si="22"/>
        <v>0</v>
      </c>
      <c r="AE52" s="113">
        <f t="shared" si="20"/>
        <v>0</v>
      </c>
      <c r="AF52" s="63">
        <f t="shared" si="29"/>
        <v>0</v>
      </c>
      <c r="AK52" s="230"/>
      <c r="AL52" s="107"/>
      <c r="AM52" s="107"/>
      <c r="AN52" s="97">
        <f>POWER(A52,2)/8.2</f>
        <v>304.87804878048786</v>
      </c>
      <c r="AO52" s="96">
        <f t="shared" si="14"/>
        <v>305.2174</v>
      </c>
      <c r="AP52" s="96">
        <f t="shared" si="15"/>
        <v>469024.39024390251</v>
      </c>
      <c r="AQ52" s="96">
        <f t="shared" si="16"/>
        <v>439513.05599999998</v>
      </c>
      <c r="AR52" s="107"/>
    </row>
    <row r="53" spans="1:44" s="84" customFormat="1" x14ac:dyDescent="0.2">
      <c r="A53" s="84" t="s">
        <v>101</v>
      </c>
      <c r="B53" s="85">
        <f>SUM(B3:B52)</f>
        <v>1289200</v>
      </c>
      <c r="C53" s="85">
        <f>SUM(C3:C51)</f>
        <v>73547292.966644153</v>
      </c>
      <c r="D53" s="85">
        <f>SUM(D3:D52)</f>
        <v>384709.95172969601</v>
      </c>
      <c r="E53" s="84">
        <f>D53/60</f>
        <v>6411.8325288282667</v>
      </c>
      <c r="F53" s="84">
        <f>E53/60</f>
        <v>106.86387548047111</v>
      </c>
      <c r="G53" s="84">
        <f>F53/24</f>
        <v>4.4526614783529626</v>
      </c>
      <c r="H53" s="84">
        <f>G53/60</f>
        <v>7.4211024639216042E-2</v>
      </c>
      <c r="N53" s="85"/>
      <c r="O53" s="137"/>
      <c r="P53" s="87">
        <f>SUM(P3:P52)</f>
        <v>3027.1380642231243</v>
      </c>
      <c r="Q53" s="87">
        <f>SUM(Q3:Q52)</f>
        <v>181628.28385338749</v>
      </c>
      <c r="R53" s="87">
        <f>SUM(R3:R52)</f>
        <v>189.19612901394527</v>
      </c>
      <c r="S53" s="87">
        <f>SUM(S3:S52)/60/60/24</f>
        <v>126.15362776301696</v>
      </c>
      <c r="T53" s="87">
        <f>SUM(T3:T52)</f>
        <v>2180081.2854906498</v>
      </c>
      <c r="U53" s="88"/>
      <c r="V53" s="89"/>
      <c r="W53" s="89"/>
      <c r="X53" s="89"/>
      <c r="Y53" s="85">
        <f>SUM(Y3:Y52)</f>
        <v>6684037.5</v>
      </c>
      <c r="AB53" s="85"/>
      <c r="AC53" s="138"/>
      <c r="AD53" s="85"/>
      <c r="AE53" s="90"/>
      <c r="AF53" s="86"/>
      <c r="AK53" s="86"/>
      <c r="AL53" s="85"/>
      <c r="AM53" s="85"/>
      <c r="AN53" s="87"/>
      <c r="AO53" s="85"/>
      <c r="AP53" s="85"/>
      <c r="AQ53" s="85"/>
      <c r="AR53" s="85"/>
    </row>
    <row r="54" spans="1:44" x14ac:dyDescent="0.2">
      <c r="R54" s="56">
        <f>P53/16</f>
        <v>189.19612901394527</v>
      </c>
      <c r="Y54" s="37" t="s">
        <v>114</v>
      </c>
      <c r="Z54" s="37">
        <v>50</v>
      </c>
    </row>
    <row r="55" spans="1:44" x14ac:dyDescent="0.2">
      <c r="I55" s="37" t="s">
        <v>34</v>
      </c>
      <c r="J55" s="37">
        <v>125</v>
      </c>
      <c r="Y55" s="37" t="s">
        <v>113</v>
      </c>
      <c r="Z55" s="37">
        <v>50</v>
      </c>
    </row>
    <row r="56" spans="1:44" x14ac:dyDescent="0.2">
      <c r="Y56" s="37" t="s">
        <v>111</v>
      </c>
      <c r="Z56" s="37">
        <v>10</v>
      </c>
    </row>
    <row r="57" spans="1:44" x14ac:dyDescent="0.2">
      <c r="Y57" s="37" t="s">
        <v>112</v>
      </c>
      <c r="Z57" s="37">
        <v>16</v>
      </c>
    </row>
  </sheetData>
  <mergeCells count="1">
    <mergeCell ref="S1:T1"/>
  </mergeCells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G1:AA55"/>
  <sheetViews>
    <sheetView topLeftCell="A25" workbookViewId="0">
      <selection activeCell="N55" sqref="N55"/>
    </sheetView>
  </sheetViews>
  <sheetFormatPr defaultRowHeight="11.25" x14ac:dyDescent="0.2"/>
  <cols>
    <col min="1" max="7" width="9" style="37"/>
    <col min="8" max="9" width="9" style="132"/>
    <col min="10" max="10" width="9" style="76"/>
    <col min="11" max="11" width="9" style="41"/>
    <col min="12" max="12" width="9" style="237"/>
    <col min="13" max="13" width="9" style="76"/>
    <col min="14" max="14" width="9" style="41"/>
    <col min="15" max="15" width="9" style="237"/>
    <col min="16" max="16384" width="9" style="37"/>
  </cols>
  <sheetData>
    <row r="1" spans="7:27" ht="19.5" x14ac:dyDescent="0.2">
      <c r="J1" s="239" t="s">
        <v>177</v>
      </c>
      <c r="K1" s="240"/>
      <c r="L1" s="241"/>
      <c r="M1" s="239" t="s">
        <v>181</v>
      </c>
    </row>
    <row r="2" spans="7:27" x14ac:dyDescent="0.2">
      <c r="J2" s="37">
        <v>0.2</v>
      </c>
      <c r="K2" s="37">
        <v>0.5</v>
      </c>
      <c r="L2" s="37">
        <v>0.3</v>
      </c>
      <c r="M2" s="37">
        <v>1</v>
      </c>
    </row>
    <row r="3" spans="7:27" s="238" customFormat="1" ht="24.75" customHeight="1" x14ac:dyDescent="0.2">
      <c r="G3" s="238" t="s">
        <v>184</v>
      </c>
      <c r="H3" s="242" t="s">
        <v>183</v>
      </c>
      <c r="I3" s="132" t="s">
        <v>185</v>
      </c>
      <c r="J3" s="76" t="s">
        <v>178</v>
      </c>
      <c r="K3" s="41" t="s">
        <v>179</v>
      </c>
      <c r="L3" s="237" t="s">
        <v>180</v>
      </c>
      <c r="M3" s="76" t="s">
        <v>182</v>
      </c>
      <c r="N3" s="240"/>
      <c r="O3" s="241"/>
    </row>
    <row r="4" spans="7:27" x14ac:dyDescent="0.2">
      <c r="G4" s="37">
        <v>1</v>
      </c>
      <c r="H4" s="132">
        <f>영웅렙업zero!P3</f>
        <v>0</v>
      </c>
      <c r="J4" s="37"/>
      <c r="K4" s="37"/>
      <c r="L4" s="37"/>
      <c r="M4" s="132">
        <f>H4</f>
        <v>0</v>
      </c>
    </row>
    <row r="5" spans="7:27" x14ac:dyDescent="0.2">
      <c r="G5" s="37">
        <v>2</v>
      </c>
      <c r="H5" s="132">
        <f>영웅렙업zero!P4</f>
        <v>0</v>
      </c>
      <c r="J5" s="37"/>
      <c r="K5" s="37"/>
      <c r="L5" s="37"/>
      <c r="M5" s="132">
        <f t="shared" ref="M5:M53" si="0">H5</f>
        <v>0</v>
      </c>
    </row>
    <row r="6" spans="7:27" x14ac:dyDescent="0.2">
      <c r="G6" s="37">
        <v>3</v>
      </c>
      <c r="H6" s="132">
        <f>영웅렙업zero!P5</f>
        <v>0</v>
      </c>
      <c r="M6" s="132">
        <f t="shared" si="0"/>
        <v>0</v>
      </c>
    </row>
    <row r="7" spans="7:27" x14ac:dyDescent="0.2">
      <c r="G7" s="37">
        <v>4</v>
      </c>
      <c r="H7" s="132">
        <f>영웅렙업zero!P6</f>
        <v>0</v>
      </c>
      <c r="M7" s="132">
        <f t="shared" si="0"/>
        <v>0</v>
      </c>
    </row>
    <row r="8" spans="7:27" x14ac:dyDescent="0.2">
      <c r="G8" s="37">
        <v>5</v>
      </c>
      <c r="H8" s="132">
        <f>영웅렙업zero!P7</f>
        <v>0</v>
      </c>
      <c r="M8" s="132">
        <f t="shared" si="0"/>
        <v>0</v>
      </c>
    </row>
    <row r="9" spans="7:27" x14ac:dyDescent="0.2">
      <c r="G9" s="37">
        <v>6</v>
      </c>
      <c r="H9" s="132">
        <f>영웅렙업zero!P8</f>
        <v>0.30104402777777778</v>
      </c>
      <c r="J9" s="37"/>
      <c r="K9" s="37"/>
      <c r="L9" s="37"/>
      <c r="M9" s="132">
        <f t="shared" si="0"/>
        <v>0.30104402777777778</v>
      </c>
      <c r="N9" s="235"/>
      <c r="O9" s="236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</row>
    <row r="10" spans="7:27" x14ac:dyDescent="0.2">
      <c r="G10" s="37">
        <v>7</v>
      </c>
      <c r="H10" s="132">
        <f>영웅렙업zero!P9</f>
        <v>0.18095555555555554</v>
      </c>
      <c r="J10" s="37"/>
      <c r="K10" s="37"/>
      <c r="L10" s="37"/>
      <c r="M10" s="132">
        <f t="shared" si="0"/>
        <v>0.18095555555555554</v>
      </c>
    </row>
    <row r="11" spans="7:27" x14ac:dyDescent="0.2">
      <c r="G11" s="37">
        <v>8</v>
      </c>
      <c r="H11" s="132">
        <f>영웅렙업zero!P10</f>
        <v>0.17844482950171428</v>
      </c>
      <c r="M11" s="132">
        <f t="shared" si="0"/>
        <v>0.17844482950171428</v>
      </c>
    </row>
    <row r="12" spans="7:27" x14ac:dyDescent="0.2">
      <c r="G12" s="37">
        <v>9</v>
      </c>
      <c r="H12" s="132">
        <f>영웅렙업zero!P11</f>
        <v>0.21170342826082036</v>
      </c>
      <c r="M12" s="132">
        <f t="shared" si="0"/>
        <v>0.21170342826082036</v>
      </c>
    </row>
    <row r="13" spans="7:27" x14ac:dyDescent="0.2">
      <c r="G13" s="37">
        <v>10</v>
      </c>
      <c r="H13" s="132">
        <f>영웅렙업zero!P12</f>
        <v>0.24978183905130572</v>
      </c>
      <c r="M13" s="132">
        <f t="shared" si="0"/>
        <v>0.24978183905130572</v>
      </c>
    </row>
    <row r="14" spans="7:27" x14ac:dyDescent="0.2">
      <c r="G14" s="37">
        <v>11</v>
      </c>
      <c r="H14" s="132">
        <f>영웅렙업zero!P13</f>
        <v>0.29082554970631291</v>
      </c>
      <c r="M14" s="132">
        <f t="shared" si="0"/>
        <v>0.29082554970631291</v>
      </c>
    </row>
    <row r="15" spans="7:27" x14ac:dyDescent="0.2">
      <c r="G15" s="37">
        <v>12</v>
      </c>
      <c r="H15" s="132">
        <f>영웅렙업zero!P14</f>
        <v>0.34819384830992817</v>
      </c>
      <c r="M15" s="132">
        <f t="shared" si="0"/>
        <v>0.34819384830992817</v>
      </c>
    </row>
    <row r="16" spans="7:27" x14ac:dyDescent="0.2">
      <c r="G16" s="37">
        <v>13</v>
      </c>
      <c r="H16" s="132">
        <f>영웅렙업zero!P15</f>
        <v>0.41592989835401462</v>
      </c>
      <c r="M16" s="132">
        <f t="shared" si="0"/>
        <v>0.41592989835401462</v>
      </c>
    </row>
    <row r="17" spans="7:13" x14ac:dyDescent="0.2">
      <c r="G17" s="37">
        <v>14</v>
      </c>
      <c r="H17" s="132">
        <f>영웅렙업zero!P16</f>
        <v>0.50391414378375832</v>
      </c>
      <c r="M17" s="132">
        <f t="shared" si="0"/>
        <v>0.50391414378375832</v>
      </c>
    </row>
    <row r="18" spans="7:13" x14ac:dyDescent="0.2">
      <c r="G18" s="37">
        <v>15</v>
      </c>
      <c r="H18" s="132">
        <f>영웅렙업zero!P17</f>
        <v>0.61506594580612517</v>
      </c>
      <c r="M18" s="132">
        <f t="shared" si="0"/>
        <v>0.61506594580612517</v>
      </c>
    </row>
    <row r="19" spans="7:13" x14ac:dyDescent="0.2">
      <c r="G19" s="37">
        <v>16</v>
      </c>
      <c r="H19" s="132">
        <f>영웅렙업zero!P18</f>
        <v>0.76825499173917489</v>
      </c>
      <c r="M19" s="132">
        <f t="shared" si="0"/>
        <v>0.76825499173917489</v>
      </c>
    </row>
    <row r="20" spans="7:13" x14ac:dyDescent="0.2">
      <c r="G20" s="37">
        <v>17</v>
      </c>
      <c r="H20" s="132">
        <f>영웅렙업zero!P19</f>
        <v>0.93774788512571106</v>
      </c>
      <c r="M20" s="132">
        <f t="shared" si="0"/>
        <v>0.93774788512571106</v>
      </c>
    </row>
    <row r="21" spans="7:13" x14ac:dyDescent="0.2">
      <c r="G21" s="37">
        <v>18</v>
      </c>
      <c r="H21" s="132">
        <f>영웅렙업zero!P20</f>
        <v>1.1602653724476879</v>
      </c>
      <c r="M21" s="132">
        <f t="shared" si="0"/>
        <v>1.1602653724476879</v>
      </c>
    </row>
    <row r="22" spans="7:13" x14ac:dyDescent="0.2">
      <c r="G22" s="37">
        <v>19</v>
      </c>
      <c r="H22" s="132">
        <f>영웅렙업zero!P21</f>
        <v>1.480882895383089</v>
      </c>
      <c r="M22" s="132">
        <f t="shared" si="0"/>
        <v>1.480882895383089</v>
      </c>
    </row>
    <row r="23" spans="7:13" x14ac:dyDescent="0.2">
      <c r="G23" s="37">
        <v>20</v>
      </c>
      <c r="H23" s="132">
        <f>영웅렙업zero!P22</f>
        <v>1.9170197363882173</v>
      </c>
      <c r="M23" s="132">
        <f t="shared" si="0"/>
        <v>1.9170197363882173</v>
      </c>
    </row>
    <row r="24" spans="7:13" x14ac:dyDescent="0.2">
      <c r="G24" s="37">
        <v>21</v>
      </c>
      <c r="H24" s="132">
        <f>영웅렙업zero!P23</f>
        <v>2.5604828146224268</v>
      </c>
      <c r="M24" s="132">
        <f t="shared" si="0"/>
        <v>2.5604828146224268</v>
      </c>
    </row>
    <row r="25" spans="7:13" x14ac:dyDescent="0.2">
      <c r="G25" s="37">
        <v>22</v>
      </c>
      <c r="H25" s="132">
        <f>영웅렙업zero!P24</f>
        <v>3.3376855995002006</v>
      </c>
      <c r="M25" s="132">
        <f t="shared" si="0"/>
        <v>3.3376855995002006</v>
      </c>
    </row>
    <row r="26" spans="7:13" x14ac:dyDescent="0.2">
      <c r="G26" s="37">
        <v>23</v>
      </c>
      <c r="H26" s="132">
        <f>영웅렙업zero!P25</f>
        <v>4.2198521577261667</v>
      </c>
      <c r="M26" s="132">
        <f t="shared" si="0"/>
        <v>4.2198521577261667</v>
      </c>
    </row>
    <row r="27" spans="7:13" x14ac:dyDescent="0.2">
      <c r="G27" s="37">
        <v>24</v>
      </c>
      <c r="H27" s="132">
        <f>영웅렙업zero!P26</f>
        <v>5.2238335500079423</v>
      </c>
      <c r="M27" s="132">
        <f t="shared" si="0"/>
        <v>5.2238335500079423</v>
      </c>
    </row>
    <row r="28" spans="7:13" x14ac:dyDescent="0.2">
      <c r="G28" s="37">
        <v>25</v>
      </c>
      <c r="H28" s="132">
        <f>영웅렙업zero!P27</f>
        <v>6.4839108559081202</v>
      </c>
      <c r="M28" s="132">
        <f t="shared" si="0"/>
        <v>6.4839108559081202</v>
      </c>
    </row>
    <row r="29" spans="7:13" x14ac:dyDescent="0.2">
      <c r="G29" s="37">
        <v>26</v>
      </c>
      <c r="H29" s="132">
        <f>영웅렙업zero!P28</f>
        <v>7.6153824806217019</v>
      </c>
      <c r="M29" s="132">
        <f t="shared" si="0"/>
        <v>7.6153824806217019</v>
      </c>
    </row>
    <row r="30" spans="7:13" x14ac:dyDescent="0.2">
      <c r="G30" s="37">
        <v>27</v>
      </c>
      <c r="H30" s="132">
        <f>영웅렙업zero!P29</f>
        <v>9.2415597457271002</v>
      </c>
      <c r="M30" s="132">
        <f t="shared" si="0"/>
        <v>9.2415597457271002</v>
      </c>
    </row>
    <row r="31" spans="7:13" x14ac:dyDescent="0.2">
      <c r="G31" s="37">
        <v>28</v>
      </c>
      <c r="H31" s="132">
        <f>영웅렙업zero!P30</f>
        <v>11.107393664573415</v>
      </c>
      <c r="M31" s="132">
        <f t="shared" si="0"/>
        <v>11.107393664573415</v>
      </c>
    </row>
    <row r="32" spans="7:13" x14ac:dyDescent="0.2">
      <c r="G32" s="37">
        <v>29</v>
      </c>
      <c r="H32" s="132">
        <f>영웅렙업zero!P31</f>
        <v>13.249890114616031</v>
      </c>
      <c r="M32" s="132">
        <f t="shared" si="0"/>
        <v>13.249890114616031</v>
      </c>
    </row>
    <row r="33" spans="7:13" x14ac:dyDescent="0.2">
      <c r="G33" s="37">
        <v>30</v>
      </c>
      <c r="H33" s="132">
        <f>영웅렙업zero!P32</f>
        <v>15.711381433839129</v>
      </c>
      <c r="M33" s="132">
        <f t="shared" si="0"/>
        <v>15.711381433839129</v>
      </c>
    </row>
    <row r="34" spans="7:13" x14ac:dyDescent="0.2">
      <c r="G34" s="37">
        <v>31</v>
      </c>
      <c r="H34" s="132">
        <f>영웅렙업zero!P33</f>
        <v>19.008892521138929</v>
      </c>
      <c r="M34" s="132">
        <f t="shared" si="0"/>
        <v>19.008892521138929</v>
      </c>
    </row>
    <row r="35" spans="7:13" x14ac:dyDescent="0.2">
      <c r="G35" s="37">
        <v>32</v>
      </c>
      <c r="H35" s="132">
        <f>영웅렙업zero!P34</f>
        <v>23.839794396614863</v>
      </c>
      <c r="M35" s="132">
        <f t="shared" si="0"/>
        <v>23.839794396614863</v>
      </c>
    </row>
    <row r="36" spans="7:13" x14ac:dyDescent="0.2">
      <c r="G36" s="37">
        <v>33</v>
      </c>
      <c r="H36" s="132">
        <f>영웅렙업zero!P35</f>
        <v>30.9893853441156</v>
      </c>
      <c r="M36" s="132">
        <f t="shared" si="0"/>
        <v>30.9893853441156</v>
      </c>
    </row>
    <row r="37" spans="7:13" x14ac:dyDescent="0.2">
      <c r="G37" s="37">
        <v>34</v>
      </c>
      <c r="H37" s="132">
        <f>영웅렙업zero!P36</f>
        <v>36.976016804915695</v>
      </c>
      <c r="M37" s="132">
        <f t="shared" si="0"/>
        <v>36.976016804915695</v>
      </c>
    </row>
    <row r="38" spans="7:13" x14ac:dyDescent="0.2">
      <c r="G38" s="37">
        <v>35</v>
      </c>
      <c r="H38" s="132">
        <f>영웅렙업zero!P37</f>
        <v>44.081883647044819</v>
      </c>
      <c r="M38" s="132">
        <f t="shared" si="0"/>
        <v>44.081883647044819</v>
      </c>
    </row>
    <row r="39" spans="7:13" x14ac:dyDescent="0.2">
      <c r="G39" s="37">
        <v>36</v>
      </c>
      <c r="H39" s="132">
        <f>영웅렙업zero!P38</f>
        <v>52.509357282099714</v>
      </c>
      <c r="M39" s="132">
        <f t="shared" si="0"/>
        <v>52.509357282099714</v>
      </c>
    </row>
    <row r="40" spans="7:13" x14ac:dyDescent="0.2">
      <c r="G40" s="37">
        <v>37</v>
      </c>
      <c r="H40" s="132">
        <f>영웅렙업zero!P39</f>
        <v>62.495958210852436</v>
      </c>
      <c r="M40" s="132">
        <f t="shared" si="0"/>
        <v>62.495958210852436</v>
      </c>
    </row>
    <row r="41" spans="7:13" x14ac:dyDescent="0.2">
      <c r="G41" s="37">
        <v>38</v>
      </c>
      <c r="H41" s="132">
        <f>영웅렙업zero!P40</f>
        <v>74.320205433897613</v>
      </c>
      <c r="M41" s="132">
        <f t="shared" si="0"/>
        <v>74.320205433897613</v>
      </c>
    </row>
    <row r="42" spans="7:13" x14ac:dyDescent="0.2">
      <c r="G42" s="37">
        <v>39</v>
      </c>
      <c r="H42" s="132">
        <f>영웅렙업zero!P41</f>
        <v>88.308402764712923</v>
      </c>
      <c r="M42" s="132">
        <f t="shared" si="0"/>
        <v>88.308402764712923</v>
      </c>
    </row>
    <row r="43" spans="7:13" x14ac:dyDescent="0.2">
      <c r="G43" s="37">
        <v>40</v>
      </c>
      <c r="H43" s="132">
        <f>영웅렙업zero!P42</f>
        <v>104.84250740510116</v>
      </c>
      <c r="M43" s="132">
        <f t="shared" si="0"/>
        <v>104.84250740510116</v>
      </c>
    </row>
    <row r="44" spans="7:13" x14ac:dyDescent="0.2">
      <c r="G44" s="37">
        <v>41</v>
      </c>
      <c r="H44" s="132">
        <f>영웅렙업zero!P43</f>
        <v>124.36924810001463</v>
      </c>
      <c r="M44" s="132">
        <f t="shared" si="0"/>
        <v>124.36924810001463</v>
      </c>
    </row>
    <row r="45" spans="7:13" x14ac:dyDescent="0.2">
      <c r="G45" s="37">
        <v>42</v>
      </c>
      <c r="H45" s="132">
        <f>영웅렙업zero!P44</f>
        <v>147.41068538799519</v>
      </c>
      <c r="M45" s="132">
        <f t="shared" si="0"/>
        <v>147.41068538799519</v>
      </c>
    </row>
    <row r="46" spans="7:13" x14ac:dyDescent="0.2">
      <c r="G46" s="37">
        <v>43</v>
      </c>
      <c r="H46" s="132">
        <f>영웅렙업zero!P45</f>
        <v>174.57643537442465</v>
      </c>
      <c r="M46" s="132">
        <f t="shared" si="0"/>
        <v>174.57643537442465</v>
      </c>
    </row>
    <row r="47" spans="7:13" x14ac:dyDescent="0.2">
      <c r="G47" s="37">
        <v>44</v>
      </c>
      <c r="H47" s="132">
        <f>영웅렙업zero!P46</f>
        <v>206.57781161384241</v>
      </c>
      <c r="M47" s="132">
        <f t="shared" si="0"/>
        <v>206.57781161384241</v>
      </c>
    </row>
    <row r="48" spans="7:13" x14ac:dyDescent="0.2">
      <c r="G48" s="37">
        <v>45</v>
      </c>
      <c r="H48" s="132">
        <f>영웅렙업zero!P47</f>
        <v>244.24417770738421</v>
      </c>
      <c r="M48" s="132">
        <f t="shared" si="0"/>
        <v>244.24417770738421</v>
      </c>
    </row>
    <row r="49" spans="7:15" x14ac:dyDescent="0.2">
      <c r="G49" s="37">
        <v>46</v>
      </c>
      <c r="H49" s="132">
        <f>영웅렙업zero!P48</f>
        <v>288.54184680146267</v>
      </c>
      <c r="M49" s="132">
        <f t="shared" si="0"/>
        <v>288.54184680146267</v>
      </c>
    </row>
    <row r="50" spans="7:15" x14ac:dyDescent="0.2">
      <c r="G50" s="37">
        <v>47</v>
      </c>
      <c r="H50" s="132">
        <f>영웅렙업zero!P49</f>
        <v>340.59591411278433</v>
      </c>
      <c r="M50" s="132">
        <f t="shared" si="0"/>
        <v>340.59591411278433</v>
      </c>
    </row>
    <row r="51" spans="7:15" x14ac:dyDescent="0.2">
      <c r="G51" s="37">
        <v>48</v>
      </c>
      <c r="H51" s="132">
        <f>영웅렙업zero!P50</f>
        <v>401.71546581422228</v>
      </c>
      <c r="M51" s="132">
        <f t="shared" si="0"/>
        <v>401.71546581422228</v>
      </c>
    </row>
    <row r="52" spans="7:15" x14ac:dyDescent="0.2">
      <c r="G52" s="37">
        <v>49</v>
      </c>
      <c r="H52" s="132">
        <f>영웅렙업zero!P51</f>
        <v>473.42267313616696</v>
      </c>
      <c r="M52" s="132">
        <f t="shared" si="0"/>
        <v>473.42267313616696</v>
      </c>
    </row>
    <row r="53" spans="7:15" x14ac:dyDescent="0.2">
      <c r="G53" s="37">
        <v>50</v>
      </c>
      <c r="H53" s="132">
        <f>영웅렙업zero!P52</f>
        <v>0</v>
      </c>
      <c r="M53" s="132">
        <f t="shared" si="0"/>
        <v>0</v>
      </c>
    </row>
    <row r="54" spans="7:15" s="122" customFormat="1" x14ac:dyDescent="0.2">
      <c r="H54" s="136">
        <f>SUM(H4:H53)</f>
        <v>3027.1380642231243</v>
      </c>
      <c r="I54" s="136"/>
      <c r="J54" s="128"/>
      <c r="L54" s="243"/>
      <c r="M54" s="244">
        <f>SUM(M4:M53)</f>
        <v>3027.1380642231243</v>
      </c>
      <c r="N54" s="124">
        <f>M54/9</f>
        <v>336.34867380256935</v>
      </c>
      <c r="O54" s="243"/>
    </row>
    <row r="55" spans="7:15" x14ac:dyDescent="0.2">
      <c r="H55" s="132">
        <f>H54/16</f>
        <v>189.19612901394527</v>
      </c>
      <c r="N55" s="96">
        <f>N54*60*60</f>
        <v>1210855.2256892496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34"/>
  <sheetViews>
    <sheetView workbookViewId="0">
      <selection activeCell="O65" sqref="O65"/>
    </sheetView>
  </sheetViews>
  <sheetFormatPr defaultRowHeight="12" x14ac:dyDescent="0.2"/>
  <cols>
    <col min="1" max="2" width="3.25" style="1" customWidth="1"/>
    <col min="3" max="3" width="4.75" style="1" customWidth="1"/>
    <col min="4" max="4" width="9" style="15"/>
    <col min="5" max="5" width="9" style="1"/>
    <col min="6" max="6" width="8.875" style="33" bestFit="1" customWidth="1"/>
    <col min="7" max="7" width="9.75" style="17" customWidth="1"/>
    <col min="8" max="8" width="11.5" style="17" bestFit="1" customWidth="1"/>
    <col min="9" max="9" width="9.75" style="17" customWidth="1"/>
    <col min="10" max="11" width="9.75" style="18" customWidth="1"/>
    <col min="12" max="13" width="9" style="29"/>
    <col min="14" max="14" width="9.75" style="29" bestFit="1" customWidth="1"/>
    <col min="15" max="15" width="9.75" style="1" customWidth="1"/>
    <col min="16" max="20" width="9" style="1"/>
    <col min="21" max="21" width="9" style="32"/>
    <col min="22" max="24" width="9" style="1"/>
    <col min="25" max="25" width="9.75" style="1" bestFit="1" customWidth="1"/>
    <col min="26" max="26" width="11.625" style="1" bestFit="1" customWidth="1"/>
    <col min="27" max="16384" width="9" style="1"/>
  </cols>
  <sheetData>
    <row r="1" spans="1:25" s="70" customFormat="1" ht="25.5" customHeight="1" x14ac:dyDescent="0.3">
      <c r="A1" s="70" t="s">
        <v>132</v>
      </c>
      <c r="B1" s="70" t="s">
        <v>133</v>
      </c>
      <c r="C1" s="47" t="s">
        <v>35</v>
      </c>
      <c r="D1" s="48" t="s">
        <v>61</v>
      </c>
      <c r="E1" s="70" t="s">
        <v>77</v>
      </c>
      <c r="F1" s="144" t="s">
        <v>78</v>
      </c>
      <c r="G1" s="145" t="s">
        <v>79</v>
      </c>
      <c r="H1" s="145"/>
      <c r="I1" s="145"/>
      <c r="J1" s="146"/>
      <c r="K1" s="146"/>
      <c r="L1" s="45"/>
      <c r="M1" s="45"/>
      <c r="N1" s="45"/>
      <c r="U1" s="147"/>
    </row>
    <row r="2" spans="1:25" x14ac:dyDescent="0.2">
      <c r="A2" s="1">
        <v>1</v>
      </c>
      <c r="B2" s="1">
        <f>POWER(A2,2)</f>
        <v>1</v>
      </c>
      <c r="C2" s="1">
        <v>1</v>
      </c>
      <c r="D2" s="15">
        <f>$H$15*B2</f>
        <v>1000</v>
      </c>
      <c r="E2" s="1">
        <f t="shared" ref="E2:E17" si="0">D2*$I$13</f>
        <v>35000</v>
      </c>
      <c r="F2" s="33">
        <f>D2*$J$13</f>
        <v>1000</v>
      </c>
      <c r="N2" s="31"/>
      <c r="O2" s="28"/>
      <c r="P2" s="28"/>
      <c r="Q2" s="27"/>
      <c r="R2" s="26"/>
      <c r="S2" s="28"/>
      <c r="U2" s="32" t="s">
        <v>36</v>
      </c>
      <c r="V2" s="1">
        <v>0.99</v>
      </c>
      <c r="W2" s="1">
        <v>0.01</v>
      </c>
      <c r="X2" s="1">
        <v>0</v>
      </c>
      <c r="Y2" s="1">
        <v>0</v>
      </c>
    </row>
    <row r="3" spans="1:25" x14ac:dyDescent="0.2">
      <c r="A3" s="1">
        <v>2</v>
      </c>
      <c r="B3" s="1">
        <f t="shared" ref="B3:B17" si="1">POWER(A3,2)</f>
        <v>4</v>
      </c>
      <c r="C3" s="1">
        <v>3</v>
      </c>
      <c r="D3" s="15">
        <f t="shared" ref="D3:D17" si="2">$H$15*B3</f>
        <v>4000</v>
      </c>
      <c r="E3" s="1">
        <f t="shared" si="0"/>
        <v>140000</v>
      </c>
      <c r="F3" s="33">
        <f t="shared" ref="F3:F17" si="3">D3*$J$13</f>
        <v>4000</v>
      </c>
      <c r="N3" s="31"/>
      <c r="O3" s="28"/>
      <c r="P3" s="28"/>
      <c r="Q3" s="27"/>
      <c r="R3" s="26"/>
      <c r="S3" s="28"/>
      <c r="U3" s="32" t="s">
        <v>37</v>
      </c>
      <c r="V3" s="1">
        <v>0.88</v>
      </c>
      <c r="W3" s="1">
        <v>0.11</v>
      </c>
      <c r="X3" s="1">
        <v>0.01</v>
      </c>
      <c r="Y3" s="1">
        <v>0</v>
      </c>
    </row>
    <row r="4" spans="1:25" x14ac:dyDescent="0.2">
      <c r="A4" s="1">
        <v>3</v>
      </c>
      <c r="B4" s="1">
        <f t="shared" si="1"/>
        <v>9</v>
      </c>
      <c r="C4" s="1">
        <v>4</v>
      </c>
      <c r="D4" s="15">
        <f t="shared" si="2"/>
        <v>9000</v>
      </c>
      <c r="E4" s="1">
        <f t="shared" si="0"/>
        <v>315000</v>
      </c>
      <c r="F4" s="33">
        <f t="shared" si="3"/>
        <v>9000</v>
      </c>
      <c r="N4" s="31"/>
      <c r="O4" s="28"/>
      <c r="P4" s="28"/>
      <c r="Q4" s="27"/>
      <c r="R4" s="26"/>
      <c r="S4" s="28"/>
      <c r="U4" s="32" t="s">
        <v>38</v>
      </c>
      <c r="V4" s="1">
        <v>0.72</v>
      </c>
      <c r="W4" s="1">
        <v>0.21</v>
      </c>
      <c r="X4" s="1">
        <v>0.06</v>
      </c>
      <c r="Y4" s="1">
        <v>0.01</v>
      </c>
    </row>
    <row r="5" spans="1:25" x14ac:dyDescent="0.2">
      <c r="A5" s="1">
        <v>4</v>
      </c>
      <c r="B5" s="1">
        <f t="shared" si="1"/>
        <v>16</v>
      </c>
      <c r="C5" s="1">
        <v>6</v>
      </c>
      <c r="D5" s="15">
        <f t="shared" si="2"/>
        <v>16000</v>
      </c>
      <c r="E5" s="1">
        <f t="shared" si="0"/>
        <v>560000</v>
      </c>
      <c r="F5" s="33">
        <f t="shared" si="3"/>
        <v>16000</v>
      </c>
      <c r="N5" s="31"/>
      <c r="O5" s="28"/>
      <c r="P5" s="28"/>
      <c r="Q5" s="27"/>
      <c r="R5" s="26"/>
      <c r="S5" s="28"/>
      <c r="U5" s="32" t="s">
        <v>39</v>
      </c>
      <c r="V5" s="1">
        <v>0.56000000000000005</v>
      </c>
      <c r="W5" s="1">
        <v>0.31</v>
      </c>
      <c r="X5" s="1">
        <v>0.11</v>
      </c>
      <c r="Y5" s="1">
        <v>0.02</v>
      </c>
    </row>
    <row r="6" spans="1:25" x14ac:dyDescent="0.2">
      <c r="A6" s="1">
        <v>5</v>
      </c>
      <c r="B6" s="1">
        <f t="shared" si="1"/>
        <v>25</v>
      </c>
      <c r="C6" s="1">
        <v>7</v>
      </c>
      <c r="D6" s="15">
        <f t="shared" si="2"/>
        <v>25000</v>
      </c>
      <c r="E6" s="1">
        <f t="shared" si="0"/>
        <v>875000</v>
      </c>
      <c r="F6" s="33">
        <f t="shared" si="3"/>
        <v>25000</v>
      </c>
      <c r="N6" s="31"/>
      <c r="O6" s="28"/>
      <c r="P6" s="28"/>
      <c r="Q6" s="27"/>
      <c r="R6" s="26"/>
      <c r="S6" s="28"/>
    </row>
    <row r="7" spans="1:25" x14ac:dyDescent="0.2">
      <c r="A7" s="1">
        <v>6</v>
      </c>
      <c r="B7" s="1">
        <f t="shared" si="1"/>
        <v>36</v>
      </c>
      <c r="C7" s="1">
        <v>9</v>
      </c>
      <c r="D7" s="15">
        <f t="shared" si="2"/>
        <v>36000</v>
      </c>
      <c r="E7" s="1">
        <f t="shared" si="0"/>
        <v>1260000</v>
      </c>
      <c r="F7" s="33">
        <f t="shared" si="3"/>
        <v>36000</v>
      </c>
      <c r="G7" s="36">
        <f>F7/60</f>
        <v>600</v>
      </c>
      <c r="N7" s="31"/>
      <c r="O7" s="28"/>
      <c r="P7" s="28"/>
      <c r="Q7" s="27"/>
      <c r="R7" s="26"/>
      <c r="S7" s="28"/>
    </row>
    <row r="8" spans="1:25" x14ac:dyDescent="0.2">
      <c r="A8" s="1">
        <v>7</v>
      </c>
      <c r="B8" s="1">
        <f t="shared" si="1"/>
        <v>49</v>
      </c>
      <c r="C8" s="1">
        <v>10</v>
      </c>
      <c r="D8" s="15">
        <f t="shared" si="2"/>
        <v>49000</v>
      </c>
      <c r="E8" s="1">
        <f t="shared" si="0"/>
        <v>1715000</v>
      </c>
      <c r="F8" s="33">
        <f t="shared" si="3"/>
        <v>49000</v>
      </c>
      <c r="G8" s="36">
        <f t="shared" ref="G8:G17" si="4">F8/60</f>
        <v>816.66666666666663</v>
      </c>
      <c r="N8" s="31"/>
      <c r="O8" s="28"/>
      <c r="P8" s="28"/>
      <c r="Q8" s="27"/>
      <c r="R8" s="26"/>
      <c r="S8" s="28"/>
    </row>
    <row r="9" spans="1:25" x14ac:dyDescent="0.2">
      <c r="A9" s="1">
        <v>8</v>
      </c>
      <c r="B9" s="1">
        <f t="shared" si="1"/>
        <v>64</v>
      </c>
      <c r="C9" s="1">
        <v>12</v>
      </c>
      <c r="D9" s="15">
        <f t="shared" si="2"/>
        <v>64000</v>
      </c>
      <c r="E9" s="1">
        <f t="shared" si="0"/>
        <v>2240000</v>
      </c>
      <c r="F9" s="33">
        <f t="shared" si="3"/>
        <v>64000</v>
      </c>
      <c r="G9" s="36">
        <f t="shared" si="4"/>
        <v>1066.6666666666667</v>
      </c>
      <c r="N9" s="31"/>
      <c r="O9" s="28"/>
      <c r="P9" s="28"/>
      <c r="Q9" s="27"/>
      <c r="R9" s="26"/>
      <c r="S9" s="28"/>
    </row>
    <row r="10" spans="1:25" x14ac:dyDescent="0.2">
      <c r="A10" s="1">
        <v>9</v>
      </c>
      <c r="B10" s="1">
        <f t="shared" si="1"/>
        <v>81</v>
      </c>
      <c r="C10" s="1">
        <v>13</v>
      </c>
      <c r="D10" s="15">
        <f t="shared" si="2"/>
        <v>81000</v>
      </c>
      <c r="E10" s="1">
        <f t="shared" si="0"/>
        <v>2835000</v>
      </c>
      <c r="F10" s="33">
        <f t="shared" si="3"/>
        <v>81000</v>
      </c>
      <c r="G10" s="36">
        <f t="shared" si="4"/>
        <v>1350</v>
      </c>
      <c r="N10" s="31"/>
      <c r="O10" s="28"/>
      <c r="P10" s="28"/>
      <c r="Q10" s="27"/>
      <c r="R10" s="26"/>
      <c r="S10" s="28"/>
    </row>
    <row r="11" spans="1:25" x14ac:dyDescent="0.2">
      <c r="A11" s="1">
        <v>10</v>
      </c>
      <c r="B11" s="1">
        <f t="shared" si="1"/>
        <v>100</v>
      </c>
      <c r="C11" s="1">
        <v>15</v>
      </c>
      <c r="D11" s="15">
        <f t="shared" si="2"/>
        <v>100000</v>
      </c>
      <c r="E11" s="1">
        <f t="shared" si="0"/>
        <v>3500000</v>
      </c>
      <c r="F11" s="33">
        <f t="shared" si="3"/>
        <v>100000</v>
      </c>
      <c r="G11" s="36">
        <f t="shared" si="4"/>
        <v>1666.6666666666667</v>
      </c>
      <c r="H11" s="34" t="s">
        <v>67</v>
      </c>
      <c r="I11" s="34"/>
      <c r="J11" s="34"/>
      <c r="N11" s="31"/>
      <c r="O11" s="28"/>
      <c r="P11" s="28"/>
      <c r="Q11" s="27"/>
      <c r="R11" s="26"/>
      <c r="S11" s="28"/>
    </row>
    <row r="12" spans="1:25" x14ac:dyDescent="0.2">
      <c r="A12" s="1">
        <v>11</v>
      </c>
      <c r="B12" s="1">
        <f t="shared" si="1"/>
        <v>121</v>
      </c>
      <c r="C12" s="1">
        <v>16</v>
      </c>
      <c r="D12" s="15">
        <f t="shared" si="2"/>
        <v>121000</v>
      </c>
      <c r="E12" s="1">
        <f t="shared" si="0"/>
        <v>4235000</v>
      </c>
      <c r="F12" s="33">
        <f t="shared" si="3"/>
        <v>121000</v>
      </c>
      <c r="G12" s="36">
        <f t="shared" si="4"/>
        <v>2016.6666666666667</v>
      </c>
      <c r="H12" s="34" t="s">
        <v>68</v>
      </c>
      <c r="I12" s="34" t="s">
        <v>55</v>
      </c>
      <c r="J12" s="34" t="s">
        <v>69</v>
      </c>
      <c r="N12" s="31"/>
      <c r="O12" s="28"/>
      <c r="P12" s="28"/>
      <c r="Q12" s="27"/>
      <c r="R12" s="26"/>
      <c r="S12" s="28"/>
    </row>
    <row r="13" spans="1:25" x14ac:dyDescent="0.2">
      <c r="A13" s="1">
        <v>12</v>
      </c>
      <c r="B13" s="1">
        <f t="shared" si="1"/>
        <v>144</v>
      </c>
      <c r="C13" s="1">
        <v>18</v>
      </c>
      <c r="D13" s="15">
        <f t="shared" si="2"/>
        <v>144000</v>
      </c>
      <c r="E13" s="1">
        <f t="shared" si="0"/>
        <v>5040000</v>
      </c>
      <c r="F13" s="33">
        <f t="shared" si="3"/>
        <v>144000</v>
      </c>
      <c r="G13" s="36">
        <f t="shared" si="4"/>
        <v>2400</v>
      </c>
      <c r="H13" s="34">
        <v>1</v>
      </c>
      <c r="I13" s="34">
        <v>35</v>
      </c>
      <c r="J13" s="34">
        <v>1</v>
      </c>
      <c r="N13" s="31"/>
      <c r="O13" s="28"/>
      <c r="P13" s="28"/>
      <c r="Q13" s="27"/>
      <c r="R13" s="26"/>
      <c r="S13" s="28"/>
    </row>
    <row r="14" spans="1:25" x14ac:dyDescent="0.2">
      <c r="A14" s="1">
        <v>13</v>
      </c>
      <c r="B14" s="1">
        <f t="shared" si="1"/>
        <v>169</v>
      </c>
      <c r="C14" s="1">
        <v>19</v>
      </c>
      <c r="D14" s="15">
        <f t="shared" si="2"/>
        <v>169000</v>
      </c>
      <c r="E14" s="1">
        <f t="shared" si="0"/>
        <v>5915000</v>
      </c>
      <c r="F14" s="33">
        <f t="shared" si="3"/>
        <v>169000</v>
      </c>
      <c r="G14" s="36">
        <f t="shared" si="4"/>
        <v>2816.6666666666665</v>
      </c>
      <c r="H14" s="17" t="s">
        <v>134</v>
      </c>
      <c r="N14" s="31"/>
      <c r="O14" s="28"/>
      <c r="P14" s="28"/>
      <c r="Q14" s="27"/>
      <c r="R14" s="26"/>
      <c r="S14" s="28"/>
    </row>
    <row r="15" spans="1:25" x14ac:dyDescent="0.2">
      <c r="A15" s="1">
        <v>14</v>
      </c>
      <c r="B15" s="1">
        <f t="shared" si="1"/>
        <v>196</v>
      </c>
      <c r="C15" s="1">
        <v>21</v>
      </c>
      <c r="D15" s="15">
        <f t="shared" si="2"/>
        <v>196000</v>
      </c>
      <c r="E15" s="1">
        <f t="shared" si="0"/>
        <v>6860000</v>
      </c>
      <c r="F15" s="33">
        <f t="shared" si="3"/>
        <v>196000</v>
      </c>
      <c r="G15" s="36">
        <f t="shared" si="4"/>
        <v>3266.6666666666665</v>
      </c>
      <c r="H15" s="17">
        <v>1000</v>
      </c>
      <c r="N15" s="31"/>
      <c r="O15" s="28"/>
      <c r="P15" s="28"/>
      <c r="Q15" s="27"/>
      <c r="R15" s="26"/>
      <c r="S15" s="28"/>
    </row>
    <row r="16" spans="1:25" x14ac:dyDescent="0.2">
      <c r="A16" s="1">
        <v>15</v>
      </c>
      <c r="B16" s="1">
        <f t="shared" si="1"/>
        <v>225</v>
      </c>
      <c r="C16" s="1">
        <v>22</v>
      </c>
      <c r="D16" s="15">
        <f t="shared" si="2"/>
        <v>225000</v>
      </c>
      <c r="E16" s="1">
        <f t="shared" si="0"/>
        <v>7875000</v>
      </c>
      <c r="F16" s="33">
        <f t="shared" si="3"/>
        <v>225000</v>
      </c>
      <c r="G16" s="36">
        <f t="shared" si="4"/>
        <v>3750</v>
      </c>
      <c r="N16" s="31"/>
      <c r="O16" s="28"/>
      <c r="P16" s="28"/>
      <c r="Q16" s="27"/>
      <c r="R16" s="26"/>
      <c r="S16" s="28"/>
    </row>
    <row r="17" spans="1:26" x14ac:dyDescent="0.2">
      <c r="A17" s="1">
        <v>16</v>
      </c>
      <c r="B17" s="1">
        <f t="shared" si="1"/>
        <v>256</v>
      </c>
      <c r="C17" s="1">
        <v>24</v>
      </c>
      <c r="D17" s="15">
        <f t="shared" si="2"/>
        <v>256000</v>
      </c>
      <c r="E17" s="1">
        <f t="shared" si="0"/>
        <v>8960000</v>
      </c>
      <c r="F17" s="33">
        <f t="shared" si="3"/>
        <v>256000</v>
      </c>
      <c r="G17" s="36">
        <f t="shared" si="4"/>
        <v>4266.666666666667</v>
      </c>
      <c r="V17" s="1" t="s">
        <v>41</v>
      </c>
      <c r="W17" s="1" t="s">
        <v>42</v>
      </c>
    </row>
    <row r="18" spans="1:26" s="148" customFormat="1" x14ac:dyDescent="0.2">
      <c r="A18" s="148" t="s">
        <v>131</v>
      </c>
      <c r="D18" s="149">
        <f>SUM(D2:D17)</f>
        <v>1496000</v>
      </c>
      <c r="E18" s="149">
        <f t="shared" ref="E18:F18" si="5">SUM(E2:E17)</f>
        <v>52360000</v>
      </c>
      <c r="F18" s="149">
        <f t="shared" si="5"/>
        <v>1496000</v>
      </c>
      <c r="G18" s="150"/>
      <c r="H18" s="150"/>
      <c r="I18" s="150"/>
      <c r="J18" s="150"/>
      <c r="K18" s="150"/>
      <c r="U18" s="151"/>
      <c r="V18" s="148" t="s">
        <v>40</v>
      </c>
    </row>
    <row r="19" spans="1:26" x14ac:dyDescent="0.2">
      <c r="V19" s="1" t="s">
        <v>43</v>
      </c>
      <c r="X19" s="1" t="s">
        <v>45</v>
      </c>
      <c r="Z19" s="1">
        <f>7/3</f>
        <v>2.3333333333333335</v>
      </c>
    </row>
    <row r="20" spans="1:26" x14ac:dyDescent="0.2">
      <c r="L20" s="30"/>
      <c r="M20" s="30"/>
      <c r="V20" s="1" t="s">
        <v>44</v>
      </c>
      <c r="X20" s="1" t="s">
        <v>50</v>
      </c>
      <c r="Z20" s="1">
        <f>7/3</f>
        <v>2.3333333333333335</v>
      </c>
    </row>
    <row r="21" spans="1:26" x14ac:dyDescent="0.2">
      <c r="L21" s="30"/>
      <c r="M21" s="30"/>
      <c r="X21" s="1" t="s">
        <v>51</v>
      </c>
      <c r="Z21" s="1">
        <f>7/3</f>
        <v>2.3333333333333335</v>
      </c>
    </row>
    <row r="22" spans="1:26" x14ac:dyDescent="0.2">
      <c r="L22" s="30"/>
      <c r="M22" s="30"/>
    </row>
    <row r="23" spans="1:26" x14ac:dyDescent="0.2">
      <c r="L23" s="30"/>
      <c r="M23" s="30"/>
      <c r="V23" s="1" t="s">
        <v>46</v>
      </c>
    </row>
    <row r="24" spans="1:26" x14ac:dyDescent="0.2">
      <c r="L24" s="30"/>
      <c r="M24" s="30"/>
      <c r="V24" s="1">
        <f>10/2.33</f>
        <v>4.2918454935622314</v>
      </c>
      <c r="W24" s="1" t="s">
        <v>47</v>
      </c>
      <c r="Y24" s="1" t="s">
        <v>49</v>
      </c>
    </row>
    <row r="25" spans="1:26" x14ac:dyDescent="0.2">
      <c r="L25" s="30"/>
      <c r="M25" s="30"/>
      <c r="Y25" s="1">
        <f>10/3</f>
        <v>3.3333333333333335</v>
      </c>
    </row>
    <row r="26" spans="1:26" x14ac:dyDescent="0.2">
      <c r="L26" s="30"/>
      <c r="M26" s="30"/>
      <c r="U26" s="32" t="s">
        <v>48</v>
      </c>
      <c r="X26" s="1" t="s">
        <v>52</v>
      </c>
      <c r="Y26" s="1" t="s">
        <v>53</v>
      </c>
      <c r="Z26" s="13" t="s">
        <v>54</v>
      </c>
    </row>
    <row r="27" spans="1:26" x14ac:dyDescent="0.2">
      <c r="L27" s="30"/>
      <c r="M27" s="30"/>
      <c r="V27" s="1">
        <f>V$24/0.72</f>
        <v>5.9608965188364325</v>
      </c>
      <c r="X27" s="1">
        <v>0.72</v>
      </c>
      <c r="Y27" s="27">
        <f>Y$25/X27</f>
        <v>4.6296296296296298</v>
      </c>
      <c r="Z27" s="28">
        <f>Y27*60</f>
        <v>277.77777777777777</v>
      </c>
    </row>
    <row r="28" spans="1:26" x14ac:dyDescent="0.2">
      <c r="L28" s="30"/>
      <c r="M28" s="30"/>
      <c r="V28" s="1">
        <f>V$24/0.21</f>
        <v>20.437359493153483</v>
      </c>
      <c r="X28" s="1">
        <v>0.21</v>
      </c>
      <c r="Y28" s="27">
        <f>Y$25/X28</f>
        <v>15.873015873015873</v>
      </c>
      <c r="Z28" s="28">
        <f>Y28*60</f>
        <v>952.38095238095241</v>
      </c>
    </row>
    <row r="29" spans="1:26" x14ac:dyDescent="0.2">
      <c r="L29" s="30"/>
      <c r="M29" s="30"/>
      <c r="V29" s="1">
        <f>V$24/0.06</f>
        <v>71.530758226037193</v>
      </c>
      <c r="X29" s="1">
        <v>0.06</v>
      </c>
      <c r="Y29" s="27">
        <f>Y$25/X29</f>
        <v>55.555555555555557</v>
      </c>
      <c r="Z29" s="28">
        <f>Y29*60</f>
        <v>3333.3333333333335</v>
      </c>
    </row>
    <row r="30" spans="1:26" x14ac:dyDescent="0.2">
      <c r="L30" s="30"/>
      <c r="M30" s="30"/>
      <c r="V30" s="1">
        <f>V$24/0.01</f>
        <v>429.18454935622316</v>
      </c>
      <c r="X30" s="1">
        <v>0.01</v>
      </c>
      <c r="Y30" s="27">
        <f>Y$25/X30</f>
        <v>333.33333333333331</v>
      </c>
      <c r="Z30" s="28">
        <f>Y30*60</f>
        <v>20000</v>
      </c>
    </row>
    <row r="31" spans="1:26" x14ac:dyDescent="0.2">
      <c r="L31" s="30"/>
      <c r="M31" s="30"/>
    </row>
    <row r="32" spans="1:26" x14ac:dyDescent="0.2">
      <c r="L32" s="30"/>
      <c r="M32" s="30"/>
    </row>
    <row r="33" spans="12:13" x14ac:dyDescent="0.2">
      <c r="L33" s="30"/>
      <c r="M33" s="30"/>
    </row>
    <row r="34" spans="12:13" x14ac:dyDescent="0.2">
      <c r="L34" s="30"/>
      <c r="M34" s="3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L17"/>
  <sheetViews>
    <sheetView zoomScaleNormal="100" workbookViewId="0">
      <selection activeCell="F2" sqref="F2"/>
    </sheetView>
  </sheetViews>
  <sheetFormatPr defaultRowHeight="11.25" x14ac:dyDescent="0.2"/>
  <cols>
    <col min="1" max="1" width="3.375" style="34" customWidth="1"/>
    <col min="2" max="2" width="5.625" style="35" customWidth="1"/>
    <col min="3" max="3" width="4.375" style="35" customWidth="1"/>
    <col min="4" max="4" width="7.75" style="35" bestFit="1" customWidth="1"/>
    <col min="5" max="5" width="8.5" style="35" bestFit="1" customWidth="1"/>
    <col min="6" max="6" width="7.75" style="35" bestFit="1" customWidth="1"/>
    <col min="7" max="7" width="6" style="74" bestFit="1" customWidth="1"/>
    <col min="8" max="8" width="5.125" style="79" bestFit="1" customWidth="1"/>
    <col min="9" max="9" width="4.125" style="34" customWidth="1"/>
    <col min="10" max="16384" width="9" style="34"/>
  </cols>
  <sheetData>
    <row r="1" spans="1:12" s="70" customFormat="1" ht="24.75" customHeight="1" x14ac:dyDescent="0.3">
      <c r="A1" s="70" t="s">
        <v>102</v>
      </c>
      <c r="B1" s="75" t="s">
        <v>98</v>
      </c>
      <c r="C1" s="70" t="s">
        <v>153</v>
      </c>
      <c r="D1" s="48" t="s">
        <v>66</v>
      </c>
      <c r="E1" s="48" t="s">
        <v>104</v>
      </c>
      <c r="F1" s="48" t="s">
        <v>70</v>
      </c>
      <c r="G1" s="115" t="s">
        <v>97</v>
      </c>
      <c r="H1" s="117" t="s">
        <v>107</v>
      </c>
      <c r="I1" s="70" t="s">
        <v>108</v>
      </c>
    </row>
    <row r="2" spans="1:12" ht="12" x14ac:dyDescent="0.2">
      <c r="A2" s="34">
        <v>1</v>
      </c>
      <c r="B2" s="35">
        <f>POWER(A2,2.6)</f>
        <v>1</v>
      </c>
      <c r="C2" s="202">
        <v>1</v>
      </c>
      <c r="D2" s="35">
        <f>(B2*$K$7)/2</f>
        <v>500</v>
      </c>
      <c r="E2" s="35">
        <f>D2*$K$6</f>
        <v>17500</v>
      </c>
      <c r="F2" s="35">
        <f>D2*$L$6</f>
        <v>500</v>
      </c>
      <c r="G2" s="74">
        <f>F2/60</f>
        <v>8.3333333333333339</v>
      </c>
      <c r="H2" s="79">
        <f>G2/60</f>
        <v>0.1388888888888889</v>
      </c>
      <c r="I2" s="79">
        <f>H2/24</f>
        <v>5.7870370370370376E-3</v>
      </c>
    </row>
    <row r="3" spans="1:12" ht="12" x14ac:dyDescent="0.2">
      <c r="A3" s="34">
        <v>2</v>
      </c>
      <c r="B3" s="35">
        <f t="shared" ref="B3:B11" si="0">POWER(A3,2.6)</f>
        <v>6.062866266041592</v>
      </c>
      <c r="C3" s="202">
        <v>6.4444444444444402</v>
      </c>
      <c r="D3" s="35">
        <f t="shared" ref="D3:D11" si="1">(B3*$K$7)/2</f>
        <v>3031.433133020796</v>
      </c>
      <c r="E3" s="35">
        <f t="shared" ref="E3:E11" si="2">D3*$K$6</f>
        <v>106100.15965572787</v>
      </c>
      <c r="F3" s="35">
        <f t="shared" ref="F3:F11" si="3">D3*$L$6</f>
        <v>3031.433133020796</v>
      </c>
      <c r="G3" s="74">
        <f t="shared" ref="G3:H12" si="4">F3/60</f>
        <v>50.523885550346598</v>
      </c>
      <c r="H3" s="79">
        <f t="shared" si="4"/>
        <v>0.84206475917244328</v>
      </c>
      <c r="I3" s="79">
        <f t="shared" ref="I3:I12" si="5">H3/24</f>
        <v>3.5086031632185134E-2</v>
      </c>
    </row>
    <row r="4" spans="1:12" ht="12" x14ac:dyDescent="0.2">
      <c r="A4" s="34">
        <v>3</v>
      </c>
      <c r="B4" s="35">
        <f t="shared" si="0"/>
        <v>17.398638404385867</v>
      </c>
      <c r="C4" s="202">
        <v>11.88888888888888</v>
      </c>
      <c r="D4" s="35">
        <f t="shared" si="1"/>
        <v>8699.3192021929335</v>
      </c>
      <c r="E4" s="35">
        <f t="shared" si="2"/>
        <v>304476.1720767527</v>
      </c>
      <c r="F4" s="35">
        <f t="shared" si="3"/>
        <v>8699.3192021929335</v>
      </c>
      <c r="G4" s="74">
        <f t="shared" si="4"/>
        <v>144.98865336988223</v>
      </c>
      <c r="H4" s="79">
        <f t="shared" si="4"/>
        <v>2.4164775561647036</v>
      </c>
      <c r="I4" s="79">
        <f t="shared" si="5"/>
        <v>0.10068656484019599</v>
      </c>
      <c r="J4" s="34" t="s">
        <v>67</v>
      </c>
    </row>
    <row r="5" spans="1:12" ht="12" x14ac:dyDescent="0.2">
      <c r="A5" s="34">
        <v>4</v>
      </c>
      <c r="B5" s="35">
        <f t="shared" si="0"/>
        <v>36.758347359905123</v>
      </c>
      <c r="C5" s="202">
        <v>17.333333333333321</v>
      </c>
      <c r="D5" s="35">
        <f t="shared" si="1"/>
        <v>18379.173679952561</v>
      </c>
      <c r="E5" s="35">
        <f t="shared" si="2"/>
        <v>643271.07879833959</v>
      </c>
      <c r="F5" s="35">
        <f t="shared" si="3"/>
        <v>18379.173679952561</v>
      </c>
      <c r="G5" s="74">
        <f t="shared" si="4"/>
        <v>306.31956133254266</v>
      </c>
      <c r="H5" s="79">
        <f t="shared" si="4"/>
        <v>5.1053260222090442</v>
      </c>
      <c r="I5" s="79">
        <f t="shared" si="5"/>
        <v>0.21272191759204351</v>
      </c>
      <c r="J5" s="34" t="s">
        <v>68</v>
      </c>
      <c r="K5" s="34" t="s">
        <v>55</v>
      </c>
      <c r="L5" s="34" t="s">
        <v>64</v>
      </c>
    </row>
    <row r="6" spans="1:12" ht="12" x14ac:dyDescent="0.2">
      <c r="A6" s="34">
        <v>5</v>
      </c>
      <c r="B6" s="35">
        <f t="shared" si="0"/>
        <v>65.663195110094165</v>
      </c>
      <c r="C6" s="202">
        <v>22.777777777777761</v>
      </c>
      <c r="D6" s="35">
        <f t="shared" si="1"/>
        <v>32831.597555047083</v>
      </c>
      <c r="E6" s="35">
        <f t="shared" si="2"/>
        <v>1149105.9144266478</v>
      </c>
      <c r="F6" s="35">
        <f t="shared" si="3"/>
        <v>32831.597555047083</v>
      </c>
      <c r="G6" s="74">
        <f t="shared" si="4"/>
        <v>547.19329258411801</v>
      </c>
      <c r="H6" s="79">
        <f t="shared" si="4"/>
        <v>9.1198882097353007</v>
      </c>
      <c r="I6" s="79">
        <f t="shared" si="5"/>
        <v>0.37999534207230418</v>
      </c>
      <c r="J6" s="34">
        <v>1</v>
      </c>
      <c r="K6" s="34">
        <v>35</v>
      </c>
      <c r="L6" s="34">
        <v>1</v>
      </c>
    </row>
    <row r="7" spans="1:12" ht="12" x14ac:dyDescent="0.2">
      <c r="A7" s="34">
        <v>6</v>
      </c>
      <c r="B7" s="35">
        <f t="shared" si="0"/>
        <v>105.48561785700677</v>
      </c>
      <c r="C7" s="202">
        <v>28.2222222222222</v>
      </c>
      <c r="D7" s="35">
        <f t="shared" si="1"/>
        <v>52742.808928503386</v>
      </c>
      <c r="E7" s="35">
        <f t="shared" si="2"/>
        <v>1845998.3124976186</v>
      </c>
      <c r="F7" s="35">
        <f t="shared" si="3"/>
        <v>52742.808928503386</v>
      </c>
      <c r="G7" s="74">
        <f t="shared" si="4"/>
        <v>879.04681547505641</v>
      </c>
      <c r="H7" s="79">
        <f t="shared" si="4"/>
        <v>14.650780257917607</v>
      </c>
      <c r="I7" s="79">
        <f t="shared" si="5"/>
        <v>0.61044917741323357</v>
      </c>
      <c r="J7" s="34" t="s">
        <v>127</v>
      </c>
      <c r="K7" s="34">
        <v>1000</v>
      </c>
    </row>
    <row r="8" spans="1:12" ht="12" x14ac:dyDescent="0.2">
      <c r="A8" s="34">
        <v>7</v>
      </c>
      <c r="B8" s="35">
        <f t="shared" si="0"/>
        <v>157.49069663608589</v>
      </c>
      <c r="C8" s="202">
        <v>33.666666666666643</v>
      </c>
      <c r="D8" s="35">
        <f t="shared" si="1"/>
        <v>78745.348318042947</v>
      </c>
      <c r="E8" s="35">
        <f t="shared" si="2"/>
        <v>2756087.1911315033</v>
      </c>
      <c r="F8" s="35">
        <f t="shared" si="3"/>
        <v>78745.348318042947</v>
      </c>
      <c r="G8" s="74">
        <f t="shared" si="4"/>
        <v>1312.4224719673825</v>
      </c>
      <c r="H8" s="79">
        <f t="shared" si="4"/>
        <v>21.873707866123041</v>
      </c>
      <c r="I8" s="79">
        <f t="shared" si="5"/>
        <v>0.91140449442179339</v>
      </c>
    </row>
    <row r="9" spans="1:12" ht="12" x14ac:dyDescent="0.2">
      <c r="A9" s="34">
        <v>8</v>
      </c>
      <c r="B9" s="35">
        <f t="shared" si="0"/>
        <v>222.86094420380775</v>
      </c>
      <c r="C9" s="202">
        <v>39.111111111111079</v>
      </c>
      <c r="D9" s="35">
        <f t="shared" si="1"/>
        <v>111430.47210190387</v>
      </c>
      <c r="E9" s="35">
        <f t="shared" si="2"/>
        <v>3900066.5235666353</v>
      </c>
      <c r="F9" s="35">
        <f t="shared" si="3"/>
        <v>111430.47210190387</v>
      </c>
      <c r="G9" s="74">
        <f t="shared" si="4"/>
        <v>1857.1745350317312</v>
      </c>
      <c r="H9" s="79">
        <f t="shared" si="4"/>
        <v>30.952908917195522</v>
      </c>
      <c r="I9" s="79">
        <f t="shared" si="5"/>
        <v>1.28970453821648</v>
      </c>
    </row>
    <row r="10" spans="1:12" ht="12" x14ac:dyDescent="0.2">
      <c r="A10" s="34">
        <v>9</v>
      </c>
      <c r="B10" s="35">
        <f t="shared" si="0"/>
        <v>302.71261832657081</v>
      </c>
      <c r="C10" s="202">
        <v>44.555555555555522</v>
      </c>
      <c r="D10" s="35">
        <f t="shared" si="1"/>
        <v>151356.30916328539</v>
      </c>
      <c r="E10" s="35">
        <f t="shared" si="2"/>
        <v>5297470.8207149887</v>
      </c>
      <c r="F10" s="35">
        <f t="shared" si="3"/>
        <v>151356.30916328539</v>
      </c>
      <c r="G10" s="74">
        <f t="shared" si="4"/>
        <v>2522.6051527214231</v>
      </c>
      <c r="H10" s="79">
        <f t="shared" si="4"/>
        <v>42.043419212023721</v>
      </c>
      <c r="I10" s="79">
        <f t="shared" si="5"/>
        <v>1.7518091338343218</v>
      </c>
    </row>
    <row r="11" spans="1:12" ht="12" x14ac:dyDescent="0.2">
      <c r="A11" s="34">
        <v>10</v>
      </c>
      <c r="B11" s="35">
        <f t="shared" si="0"/>
        <v>398.10717055349761</v>
      </c>
      <c r="C11" s="202">
        <v>49.999999999999964</v>
      </c>
      <c r="D11" s="35">
        <f t="shared" si="1"/>
        <v>199053.58527674881</v>
      </c>
      <c r="E11" s="35">
        <f t="shared" si="2"/>
        <v>6966875.484686208</v>
      </c>
      <c r="F11" s="35">
        <f t="shared" si="3"/>
        <v>199053.58527674881</v>
      </c>
      <c r="G11" s="74">
        <f t="shared" si="4"/>
        <v>3317.55975461248</v>
      </c>
      <c r="H11" s="79">
        <f t="shared" si="4"/>
        <v>55.292662576874669</v>
      </c>
      <c r="I11" s="79">
        <f t="shared" si="5"/>
        <v>2.3038609407031112</v>
      </c>
    </row>
    <row r="12" spans="1:12" x14ac:dyDescent="0.2">
      <c r="A12" s="80"/>
      <c r="B12" s="81" t="s">
        <v>130</v>
      </c>
      <c r="C12" s="81"/>
      <c r="D12" s="81">
        <f>SUM(D2:D11)</f>
        <v>656770.04735869775</v>
      </c>
      <c r="E12" s="81">
        <f>SUM(E2:E11)</f>
        <v>22986951.657554422</v>
      </c>
      <c r="F12" s="81">
        <f>SUM(F2:F11)</f>
        <v>656770.04735869775</v>
      </c>
      <c r="G12" s="116">
        <f t="shared" si="4"/>
        <v>10946.167455978295</v>
      </c>
      <c r="H12" s="82">
        <f t="shared" si="4"/>
        <v>182.43612426630492</v>
      </c>
      <c r="I12" s="82">
        <f t="shared" si="5"/>
        <v>7.6015051777627045</v>
      </c>
      <c r="J12" s="34" t="s">
        <v>71</v>
      </c>
    </row>
    <row r="13" spans="1:12" x14ac:dyDescent="0.2">
      <c r="B13" s="35" t="s">
        <v>129</v>
      </c>
      <c r="D13" s="35">
        <f>D12*2</f>
        <v>1313540.0947173955</v>
      </c>
      <c r="E13" s="35">
        <f t="shared" ref="E13:I13" si="6">E12*2</f>
        <v>45973903.315108843</v>
      </c>
      <c r="F13" s="35">
        <f t="shared" si="6"/>
        <v>1313540.0947173955</v>
      </c>
      <c r="G13" s="35">
        <f t="shared" si="6"/>
        <v>21892.33491195659</v>
      </c>
      <c r="H13" s="35">
        <f t="shared" si="6"/>
        <v>364.87224853260983</v>
      </c>
      <c r="I13" s="35">
        <f t="shared" si="6"/>
        <v>15.203010355525409</v>
      </c>
      <c r="J13" s="34" t="s">
        <v>72</v>
      </c>
    </row>
    <row r="14" spans="1:12" x14ac:dyDescent="0.2">
      <c r="J14" s="34" t="s">
        <v>73</v>
      </c>
    </row>
    <row r="15" spans="1:12" x14ac:dyDescent="0.2">
      <c r="B15" s="35" t="s">
        <v>128</v>
      </c>
      <c r="D15" s="35">
        <v>1313540.0947173955</v>
      </c>
      <c r="E15" s="35">
        <v>45973903.315108843</v>
      </c>
      <c r="F15" s="35">
        <v>1313540.0947173955</v>
      </c>
      <c r="G15" s="74">
        <v>21892.33491195659</v>
      </c>
      <c r="H15" s="79">
        <v>364.87224853260983</v>
      </c>
      <c r="I15" s="34">
        <v>15.203010355525409</v>
      </c>
      <c r="J15" s="34" t="s">
        <v>74</v>
      </c>
    </row>
    <row r="16" spans="1:12" x14ac:dyDescent="0.2">
      <c r="J16" s="34" t="s">
        <v>75</v>
      </c>
    </row>
    <row r="17" spans="10:10" x14ac:dyDescent="0.2">
      <c r="J17" s="34" t="s">
        <v>76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6"/>
  <sheetViews>
    <sheetView zoomScaleNormal="100" workbookViewId="0">
      <selection activeCell="E17" sqref="E17"/>
    </sheetView>
  </sheetViews>
  <sheetFormatPr defaultRowHeight="12" x14ac:dyDescent="0.2"/>
  <cols>
    <col min="1" max="1" width="5.625" style="14" customWidth="1"/>
    <col min="2" max="2" width="8.5" style="21" bestFit="1" customWidth="1"/>
    <col min="3" max="3" width="9.125" style="21" bestFit="1" customWidth="1"/>
    <col min="4" max="4" width="9.125" style="14" bestFit="1" customWidth="1"/>
    <col min="5" max="16384" width="9" style="14"/>
  </cols>
  <sheetData>
    <row r="1" spans="1:7" x14ac:dyDescent="0.2">
      <c r="A1" s="68" t="s">
        <v>157</v>
      </c>
      <c r="B1" s="71"/>
      <c r="C1" s="71"/>
      <c r="D1" s="68"/>
      <c r="E1" s="68"/>
      <c r="F1" s="68"/>
      <c r="G1" s="68"/>
    </row>
    <row r="2" spans="1:7" x14ac:dyDescent="0.2">
      <c r="A2" s="69">
        <f>스킬렙업!K6</f>
        <v>35</v>
      </c>
      <c r="B2" s="71"/>
      <c r="C2" s="71"/>
      <c r="D2" s="68"/>
      <c r="E2" s="68"/>
      <c r="F2" s="68"/>
      <c r="G2" s="68"/>
    </row>
    <row r="3" spans="1:7" x14ac:dyDescent="0.2">
      <c r="A3" s="68" t="s">
        <v>158</v>
      </c>
      <c r="B3" s="71"/>
      <c r="C3" s="71"/>
      <c r="D3" s="68"/>
      <c r="E3" s="68"/>
      <c r="F3" s="68"/>
      <c r="G3" s="68"/>
    </row>
    <row r="4" spans="1:7" x14ac:dyDescent="0.2">
      <c r="A4" s="69">
        <f>스킬렙업!L6</f>
        <v>1</v>
      </c>
      <c r="B4" s="71"/>
      <c r="C4" s="71"/>
      <c r="D4" s="68"/>
      <c r="E4" s="68"/>
      <c r="F4" s="68"/>
      <c r="G4" s="68"/>
    </row>
    <row r="5" spans="1:7" x14ac:dyDescent="0.2">
      <c r="A5" s="68" t="s">
        <v>22</v>
      </c>
      <c r="B5" s="69"/>
      <c r="C5" s="69"/>
      <c r="D5" s="68"/>
      <c r="E5" s="68"/>
      <c r="F5" s="68"/>
      <c r="G5" s="68"/>
    </row>
    <row r="6" spans="1:7" s="73" customFormat="1" ht="9.75" x14ac:dyDescent="0.2">
      <c r="A6" s="73" t="s">
        <v>154</v>
      </c>
      <c r="B6" s="73" t="s">
        <v>155</v>
      </c>
      <c r="C6" s="143" t="s">
        <v>156</v>
      </c>
    </row>
    <row r="7" spans="1:7" x14ac:dyDescent="0.2">
      <c r="A7" s="72">
        <f>스킬렙업!A2</f>
        <v>1</v>
      </c>
      <c r="B7" s="73">
        <f>스킬렙업!C2</f>
        <v>1</v>
      </c>
      <c r="C7" s="72">
        <f>스킬렙업!D2</f>
        <v>500</v>
      </c>
      <c r="D7" s="74"/>
      <c r="E7" s="68"/>
      <c r="F7" s="68"/>
      <c r="G7" s="68"/>
    </row>
    <row r="8" spans="1:7" x14ac:dyDescent="0.2">
      <c r="A8" s="72">
        <f>스킬렙업!A3</f>
        <v>2</v>
      </c>
      <c r="B8" s="73">
        <f>스킬렙업!C3</f>
        <v>6.4444444444444402</v>
      </c>
      <c r="C8" s="72">
        <f>스킬렙업!D3</f>
        <v>3031.433133020796</v>
      </c>
      <c r="D8" s="74"/>
      <c r="E8" s="68"/>
      <c r="F8" s="68"/>
      <c r="G8" s="68"/>
    </row>
    <row r="9" spans="1:7" x14ac:dyDescent="0.2">
      <c r="A9" s="72">
        <f>스킬렙업!A4</f>
        <v>3</v>
      </c>
      <c r="B9" s="73">
        <f>스킬렙업!C4</f>
        <v>11.88888888888888</v>
      </c>
      <c r="C9" s="72">
        <f>스킬렙업!D4</f>
        <v>8699.3192021929335</v>
      </c>
      <c r="D9" s="74"/>
      <c r="E9" s="68"/>
      <c r="F9" s="68"/>
      <c r="G9" s="68"/>
    </row>
    <row r="10" spans="1:7" x14ac:dyDescent="0.2">
      <c r="A10" s="72">
        <f>스킬렙업!A5</f>
        <v>4</v>
      </c>
      <c r="B10" s="73">
        <f>스킬렙업!C5</f>
        <v>17.333333333333321</v>
      </c>
      <c r="C10" s="72">
        <f>스킬렙업!D5</f>
        <v>18379.173679952561</v>
      </c>
      <c r="D10" s="74"/>
      <c r="E10" s="68"/>
      <c r="F10" s="68"/>
      <c r="G10" s="68"/>
    </row>
    <row r="11" spans="1:7" x14ac:dyDescent="0.2">
      <c r="A11" s="72">
        <f>스킬렙업!A6</f>
        <v>5</v>
      </c>
      <c r="B11" s="73">
        <f>스킬렙업!C6</f>
        <v>22.777777777777761</v>
      </c>
      <c r="C11" s="72">
        <f>스킬렙업!D6</f>
        <v>32831.597555047083</v>
      </c>
      <c r="D11" s="74"/>
      <c r="E11" s="68"/>
      <c r="F11" s="68"/>
      <c r="G11" s="68"/>
    </row>
    <row r="12" spans="1:7" x14ac:dyDescent="0.2">
      <c r="A12" s="72">
        <f>스킬렙업!A7</f>
        <v>6</v>
      </c>
      <c r="B12" s="73">
        <f>스킬렙업!C7</f>
        <v>28.2222222222222</v>
      </c>
      <c r="C12" s="72">
        <f>스킬렙업!D7</f>
        <v>52742.808928503386</v>
      </c>
      <c r="D12" s="74"/>
      <c r="E12" s="68"/>
      <c r="F12" s="68"/>
      <c r="G12" s="68"/>
    </row>
    <row r="13" spans="1:7" x14ac:dyDescent="0.2">
      <c r="A13" s="72">
        <f>스킬렙업!A8</f>
        <v>7</v>
      </c>
      <c r="B13" s="73">
        <f>스킬렙업!C8</f>
        <v>33.666666666666643</v>
      </c>
      <c r="C13" s="72">
        <f>스킬렙업!D8</f>
        <v>78745.348318042947</v>
      </c>
      <c r="D13" s="74"/>
      <c r="E13" s="68"/>
      <c r="F13" s="68"/>
      <c r="G13" s="68"/>
    </row>
    <row r="14" spans="1:7" x14ac:dyDescent="0.2">
      <c r="A14" s="72">
        <f>스킬렙업!A9</f>
        <v>8</v>
      </c>
      <c r="B14" s="73">
        <f>스킬렙업!C9</f>
        <v>39.111111111111079</v>
      </c>
      <c r="C14" s="72">
        <f>스킬렙업!D9</f>
        <v>111430.47210190387</v>
      </c>
      <c r="D14" s="74"/>
      <c r="E14" s="68"/>
      <c r="F14" s="68"/>
      <c r="G14" s="68"/>
    </row>
    <row r="15" spans="1:7" x14ac:dyDescent="0.2">
      <c r="A15" s="72">
        <f>스킬렙업!A10</f>
        <v>9</v>
      </c>
      <c r="B15" s="73">
        <f>스킬렙업!C10</f>
        <v>44.555555555555522</v>
      </c>
      <c r="C15" s="72">
        <f>스킬렙업!D10</f>
        <v>151356.30916328539</v>
      </c>
      <c r="D15" s="74"/>
      <c r="E15" s="68"/>
      <c r="F15" s="68"/>
      <c r="G15" s="68"/>
    </row>
    <row r="16" spans="1:7" x14ac:dyDescent="0.2">
      <c r="A16" s="72">
        <f>스킬렙업!A11</f>
        <v>10</v>
      </c>
      <c r="B16" s="73">
        <f>스킬렙업!C11</f>
        <v>49.999999999999964</v>
      </c>
      <c r="C16" s="72">
        <f>스킬렙업!D11</f>
        <v>199053.58527674881</v>
      </c>
      <c r="D16" s="74"/>
      <c r="E16" s="68"/>
      <c r="F16" s="68"/>
      <c r="G16" s="6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1"/>
  <sheetViews>
    <sheetView topLeftCell="A16" zoomScale="115" zoomScaleNormal="115" workbookViewId="0">
      <selection activeCell="D43" sqref="D43"/>
    </sheetView>
  </sheetViews>
  <sheetFormatPr defaultRowHeight="11.25" x14ac:dyDescent="0.2"/>
  <cols>
    <col min="1" max="1" width="9" style="43"/>
    <col min="2" max="2" width="9" style="53"/>
    <col min="3" max="16384" width="9" style="37"/>
  </cols>
  <sheetData>
    <row r="1" spans="1:2" x14ac:dyDescent="0.2">
      <c r="A1" s="49" t="s">
        <v>86</v>
      </c>
      <c r="B1" s="50" t="s">
        <v>87</v>
      </c>
    </row>
    <row r="2" spans="1:2" x14ac:dyDescent="0.2">
      <c r="A2" s="51">
        <v>1</v>
      </c>
      <c r="B2" s="52">
        <f>[3]exp_table_user!$B2</f>
        <v>4875</v>
      </c>
    </row>
    <row r="3" spans="1:2" x14ac:dyDescent="0.2">
      <c r="A3" s="51">
        <v>2</v>
      </c>
      <c r="B3" s="52">
        <f>[3]exp_table_user!$B3</f>
        <v>5125</v>
      </c>
    </row>
    <row r="4" spans="1:2" x14ac:dyDescent="0.2">
      <c r="A4" s="51">
        <v>3</v>
      </c>
      <c r="B4" s="52">
        <f>[3]exp_table_user!$B4</f>
        <v>5400</v>
      </c>
    </row>
    <row r="5" spans="1:2" x14ac:dyDescent="0.2">
      <c r="A5" s="51">
        <v>4</v>
      </c>
      <c r="B5" s="52">
        <f>[3]exp_table_user!$B5</f>
        <v>6025</v>
      </c>
    </row>
    <row r="6" spans="1:2" x14ac:dyDescent="0.2">
      <c r="A6" s="51">
        <v>5</v>
      </c>
      <c r="B6" s="52">
        <f>[3]exp_table_user!$B6</f>
        <v>7167</v>
      </c>
    </row>
    <row r="7" spans="1:2" x14ac:dyDescent="0.2">
      <c r="A7" s="51">
        <v>6</v>
      </c>
      <c r="B7" s="52">
        <f>[3]exp_table_user!$B7</f>
        <v>8087.75</v>
      </c>
    </row>
    <row r="8" spans="1:2" x14ac:dyDescent="0.2">
      <c r="A8" s="51">
        <v>7</v>
      </c>
      <c r="B8" s="52">
        <f>[3]exp_table_user!$B8</f>
        <v>9580</v>
      </c>
    </row>
    <row r="9" spans="1:2" x14ac:dyDescent="0.2">
      <c r="A9" s="51">
        <v>8</v>
      </c>
      <c r="B9" s="52">
        <f>[3]exp_table_user!$B9</f>
        <v>11850</v>
      </c>
    </row>
    <row r="10" spans="1:2" x14ac:dyDescent="0.2">
      <c r="A10" s="51">
        <v>9</v>
      </c>
      <c r="B10" s="52">
        <f>[3]exp_table_user!$B10</f>
        <v>13650</v>
      </c>
    </row>
    <row r="11" spans="1:2" x14ac:dyDescent="0.2">
      <c r="A11" s="51">
        <v>10</v>
      </c>
      <c r="B11" s="52">
        <f>[3]exp_table_user!$B11</f>
        <v>15600</v>
      </c>
    </row>
    <row r="12" spans="1:2" x14ac:dyDescent="0.2">
      <c r="A12" s="51">
        <v>11</v>
      </c>
      <c r="B12" s="52">
        <f>[3]exp_table_user!$B12</f>
        <v>17550</v>
      </c>
    </row>
    <row r="13" spans="1:2" x14ac:dyDescent="0.2">
      <c r="A13" s="51">
        <v>12</v>
      </c>
      <c r="B13" s="52">
        <f>[3]exp_table_user!$B13</f>
        <v>20250</v>
      </c>
    </row>
    <row r="14" spans="1:2" x14ac:dyDescent="0.2">
      <c r="A14" s="51">
        <v>13</v>
      </c>
      <c r="B14" s="52">
        <f>[3]exp_table_user!$B14</f>
        <v>23250</v>
      </c>
    </row>
    <row r="15" spans="1:2" x14ac:dyDescent="0.2">
      <c r="A15" s="51">
        <v>14</v>
      </c>
      <c r="B15" s="52">
        <f>[3]exp_table_user!$B15</f>
        <v>27000</v>
      </c>
    </row>
    <row r="16" spans="1:2" x14ac:dyDescent="0.2">
      <c r="A16" s="51">
        <v>15</v>
      </c>
      <c r="B16" s="52">
        <f>[3]exp_table_user!$B16</f>
        <v>31500</v>
      </c>
    </row>
    <row r="17" spans="1:2" x14ac:dyDescent="0.2">
      <c r="A17" s="51">
        <v>16</v>
      </c>
      <c r="B17" s="52">
        <f>[3]exp_table_user!$B17</f>
        <v>37500</v>
      </c>
    </row>
    <row r="18" spans="1:2" x14ac:dyDescent="0.2">
      <c r="A18" s="51">
        <v>17</v>
      </c>
      <c r="B18" s="52">
        <f>[3]exp_table_user!$B18</f>
        <v>43500</v>
      </c>
    </row>
    <row r="19" spans="1:2" x14ac:dyDescent="0.2">
      <c r="A19" s="51">
        <v>18</v>
      </c>
      <c r="B19" s="52">
        <f>[3]exp_table_user!$B19</f>
        <v>51000</v>
      </c>
    </row>
    <row r="20" spans="1:2" x14ac:dyDescent="0.2">
      <c r="A20" s="51">
        <v>19</v>
      </c>
      <c r="B20" s="52">
        <f>[3]exp_table_user!$B20</f>
        <v>61500</v>
      </c>
    </row>
    <row r="21" spans="1:2" x14ac:dyDescent="0.2">
      <c r="A21" s="51">
        <v>20</v>
      </c>
      <c r="B21" s="52">
        <f>[3]exp_table_user!$B21</f>
        <v>75000</v>
      </c>
    </row>
    <row r="22" spans="1:2" x14ac:dyDescent="0.2">
      <c r="A22" s="51">
        <v>21</v>
      </c>
      <c r="B22" s="52">
        <f>[3]exp_table_user!$B22</f>
        <v>94100</v>
      </c>
    </row>
    <row r="23" spans="1:2" x14ac:dyDescent="0.2">
      <c r="A23" s="51">
        <v>22</v>
      </c>
      <c r="B23" s="52">
        <f>[3]exp_table_user!$B23</f>
        <v>114900</v>
      </c>
    </row>
    <row r="24" spans="1:2" x14ac:dyDescent="0.2">
      <c r="A24" s="51">
        <v>23</v>
      </c>
      <c r="B24" s="52">
        <f>[3]exp_table_user!$B24</f>
        <v>135700</v>
      </c>
    </row>
    <row r="25" spans="1:2" x14ac:dyDescent="0.2">
      <c r="A25" s="51">
        <v>24</v>
      </c>
      <c r="B25" s="52">
        <f>[3]exp_table_user!$B25</f>
        <v>156500</v>
      </c>
    </row>
    <row r="26" spans="1:2" x14ac:dyDescent="0.2">
      <c r="A26" s="51">
        <v>25</v>
      </c>
      <c r="B26" s="52">
        <f>[3]exp_table_user!$B26</f>
        <v>180500</v>
      </c>
    </row>
    <row r="27" spans="1:2" x14ac:dyDescent="0.2">
      <c r="A27" s="51">
        <v>26</v>
      </c>
      <c r="B27" s="52">
        <f>[3]exp_table_user!$B27</f>
        <v>196500</v>
      </c>
    </row>
    <row r="28" spans="1:2" x14ac:dyDescent="0.2">
      <c r="A28" s="51">
        <v>27</v>
      </c>
      <c r="B28" s="52">
        <f>[3]exp_table_user!$B28</f>
        <v>220500</v>
      </c>
    </row>
    <row r="29" spans="1:2" x14ac:dyDescent="0.2">
      <c r="A29" s="51">
        <v>28</v>
      </c>
      <c r="B29" s="52">
        <f>[3]exp_table_user!$B29</f>
        <v>244500</v>
      </c>
    </row>
    <row r="30" spans="1:2" x14ac:dyDescent="0.2">
      <c r="A30" s="51">
        <v>29</v>
      </c>
      <c r="B30" s="52">
        <f>[3]exp_table_user!$B30</f>
        <v>268500</v>
      </c>
    </row>
    <row r="31" spans="1:2" x14ac:dyDescent="0.2">
      <c r="A31" s="51">
        <v>30</v>
      </c>
      <c r="B31" s="52">
        <f>[3]exp_table_user!$B31</f>
        <v>292500</v>
      </c>
    </row>
    <row r="32" spans="1:2" x14ac:dyDescent="0.2">
      <c r="A32" s="51">
        <v>31</v>
      </c>
      <c r="B32" s="52">
        <f>[3]exp_table_user!$B32</f>
        <v>324500</v>
      </c>
    </row>
    <row r="33" spans="1:2" x14ac:dyDescent="0.2">
      <c r="A33" s="51">
        <v>32</v>
      </c>
      <c r="B33" s="52">
        <f>[3]exp_table_user!$B33</f>
        <v>372500</v>
      </c>
    </row>
    <row r="34" spans="1:2" x14ac:dyDescent="0.2">
      <c r="A34" s="51">
        <v>33</v>
      </c>
      <c r="B34" s="52">
        <f>[3]exp_table_user!$B34</f>
        <v>442460</v>
      </c>
    </row>
    <row r="35" spans="1:2" x14ac:dyDescent="0.2">
      <c r="A35" s="51">
        <v>34</v>
      </c>
      <c r="B35" s="52">
        <f>[3]exp_table_user!$B35</f>
        <v>481660</v>
      </c>
    </row>
    <row r="36" spans="1:2" x14ac:dyDescent="0.2">
      <c r="A36" s="51">
        <v>35</v>
      </c>
      <c r="B36" s="52">
        <f>[3]exp_table_user!$B36</f>
        <v>523132</v>
      </c>
    </row>
    <row r="37" spans="1:2" x14ac:dyDescent="0.2">
      <c r="A37" s="51">
        <v>36</v>
      </c>
      <c r="B37" s="52">
        <f>[3]exp_table_user!$B37</f>
        <v>566940</v>
      </c>
    </row>
    <row r="38" spans="1:2" x14ac:dyDescent="0.2">
      <c r="A38" s="51">
        <v>37</v>
      </c>
      <c r="B38" s="52">
        <f>[3]exp_table_user!$B38</f>
        <v>613148</v>
      </c>
    </row>
    <row r="39" spans="1:2" x14ac:dyDescent="0.2">
      <c r="A39" s="51">
        <v>38</v>
      </c>
      <c r="B39" s="52">
        <f>[3]exp_table_user!$B39</f>
        <v>661820</v>
      </c>
    </row>
    <row r="40" spans="1:2" x14ac:dyDescent="0.2">
      <c r="A40" s="51">
        <v>39</v>
      </c>
      <c r="B40" s="52">
        <f>[3]exp_table_user!$B40</f>
        <v>713020</v>
      </c>
    </row>
    <row r="41" spans="1:2" x14ac:dyDescent="0.2">
      <c r="A41" s="51">
        <v>40</v>
      </c>
      <c r="B41" s="52">
        <f>[3]exp_table_user!$B41</f>
        <v>766812</v>
      </c>
    </row>
    <row r="42" spans="1:2" x14ac:dyDescent="0.2">
      <c r="A42" s="51">
        <v>41</v>
      </c>
      <c r="B42" s="52">
        <f>[3]exp_table_user!$B42</f>
        <v>823260</v>
      </c>
    </row>
    <row r="43" spans="1:2" x14ac:dyDescent="0.2">
      <c r="A43" s="51">
        <v>42</v>
      </c>
      <c r="B43" s="52">
        <f>[3]exp_table_user!$B43</f>
        <v>882428</v>
      </c>
    </row>
    <row r="44" spans="1:2" x14ac:dyDescent="0.2">
      <c r="A44" s="51">
        <v>43</v>
      </c>
      <c r="B44" s="52">
        <f>[3]exp_table_user!$B44</f>
        <v>944380</v>
      </c>
    </row>
    <row r="45" spans="1:2" x14ac:dyDescent="0.2">
      <c r="A45" s="51">
        <v>44</v>
      </c>
      <c r="B45" s="52">
        <f>[3]exp_table_user!$B45</f>
        <v>1009180</v>
      </c>
    </row>
    <row r="46" spans="1:2" x14ac:dyDescent="0.2">
      <c r="A46" s="51">
        <v>45</v>
      </c>
      <c r="B46" s="52">
        <f>[3]exp_table_user!$B46</f>
        <v>1076892</v>
      </c>
    </row>
    <row r="47" spans="1:2" x14ac:dyDescent="0.2">
      <c r="A47" s="51">
        <v>46</v>
      </c>
      <c r="B47" s="52">
        <f>[3]exp_table_user!$B47</f>
        <v>1147580</v>
      </c>
    </row>
    <row r="48" spans="1:2" x14ac:dyDescent="0.2">
      <c r="A48" s="51">
        <v>47</v>
      </c>
      <c r="B48" s="52">
        <f>[3]exp_table_user!$B48</f>
        <v>1221308</v>
      </c>
    </row>
    <row r="49" spans="1:2" x14ac:dyDescent="0.2">
      <c r="A49" s="51">
        <v>48</v>
      </c>
      <c r="B49" s="52">
        <f>[3]exp_table_user!$B49</f>
        <v>1298140</v>
      </c>
    </row>
    <row r="50" spans="1:2" x14ac:dyDescent="0.2">
      <c r="A50" s="51">
        <v>49</v>
      </c>
      <c r="B50" s="52">
        <f>[3]exp_table_user!$B50</f>
        <v>1378140</v>
      </c>
    </row>
    <row r="51" spans="1:2" x14ac:dyDescent="0.2">
      <c r="A51" s="51">
        <v>50</v>
      </c>
      <c r="B51" s="52">
        <f>[3]exp_table_user!$B51</f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U78"/>
  <sheetViews>
    <sheetView workbookViewId="0">
      <selection activeCell="L11" sqref="L11"/>
    </sheetView>
  </sheetViews>
  <sheetFormatPr defaultRowHeight="11.25" x14ac:dyDescent="0.2"/>
  <cols>
    <col min="1" max="1" width="4.25" style="34" bestFit="1" customWidth="1"/>
    <col min="2" max="2" width="4.5" style="34" customWidth="1"/>
    <col min="3" max="3" width="3.625" style="34" bestFit="1" customWidth="1"/>
    <col min="4" max="4" width="3.5" style="34" customWidth="1"/>
    <col min="5" max="5" width="10.25" style="35" bestFit="1" customWidth="1"/>
    <col min="6" max="6" width="9" style="34"/>
    <col min="7" max="7" width="3.375" style="193" customWidth="1"/>
    <col min="8" max="8" width="10.25" style="177" bestFit="1" customWidth="1"/>
    <col min="9" max="9" width="10.25" style="186" bestFit="1" customWidth="1"/>
    <col min="10" max="10" width="5" style="193" customWidth="1"/>
    <col min="11" max="11" width="9.25" style="181" bestFit="1" customWidth="1"/>
    <col min="12" max="12" width="7.75" style="181" bestFit="1" customWidth="1"/>
    <col min="13" max="13" width="9.25" style="167" bestFit="1" customWidth="1"/>
    <col min="14" max="16" width="9.25" style="35" bestFit="1" customWidth="1"/>
    <col min="17" max="17" width="9.25" style="195" bestFit="1" customWidth="1"/>
    <col min="18" max="18" width="7" style="34" bestFit="1" customWidth="1"/>
    <col min="19" max="19" width="4.5" style="34" bestFit="1" customWidth="1"/>
    <col min="20" max="20" width="8.25" style="34" bestFit="1" customWidth="1"/>
    <col min="21" max="16384" width="9" style="34"/>
  </cols>
  <sheetData>
    <row r="1" spans="1:21" x14ac:dyDescent="0.2">
      <c r="M1" s="265" t="s">
        <v>148</v>
      </c>
      <c r="N1" s="266"/>
      <c r="O1" s="266"/>
      <c r="P1" s="266"/>
      <c r="Q1" s="267"/>
    </row>
    <row r="2" spans="1:21" s="152" customFormat="1" ht="34.5" thickBot="1" x14ac:dyDescent="0.35">
      <c r="A2" s="158" t="s">
        <v>193</v>
      </c>
      <c r="B2" s="152" t="s">
        <v>138</v>
      </c>
      <c r="C2" s="152" t="s">
        <v>135</v>
      </c>
      <c r="D2" s="158" t="s">
        <v>136</v>
      </c>
      <c r="E2" s="159" t="s">
        <v>137</v>
      </c>
      <c r="F2" s="152" t="s">
        <v>142</v>
      </c>
      <c r="G2" s="187" t="s">
        <v>138</v>
      </c>
      <c r="H2" s="176" t="s">
        <v>137</v>
      </c>
      <c r="I2" s="185" t="s">
        <v>142</v>
      </c>
      <c r="J2" s="245" t="s">
        <v>191</v>
      </c>
      <c r="K2" s="184" t="s">
        <v>188</v>
      </c>
      <c r="L2" s="184" t="s">
        <v>187</v>
      </c>
      <c r="M2" s="201" t="s">
        <v>147</v>
      </c>
      <c r="N2" s="194" t="s">
        <v>149</v>
      </c>
      <c r="O2" s="194" t="s">
        <v>150</v>
      </c>
      <c r="P2" s="194" t="s">
        <v>151</v>
      </c>
      <c r="Q2" s="196" t="s">
        <v>152</v>
      </c>
    </row>
    <row r="3" spans="1:21" s="155" customFormat="1" ht="12" thickTop="1" x14ac:dyDescent="0.2">
      <c r="A3" s="155">
        <v>1</v>
      </c>
      <c r="B3" s="171">
        <f t="shared" ref="B3:B27" si="0">POWER($A3,$S$5)</f>
        <v>1</v>
      </c>
      <c r="C3" s="155">
        <v>1</v>
      </c>
      <c r="D3" s="155">
        <v>1</v>
      </c>
      <c r="E3" s="160">
        <f t="shared" ref="E3:E27" si="1">$S$6*$B3</f>
        <v>90</v>
      </c>
      <c r="F3" s="203">
        <f>$B3*$S$7</f>
        <v>450</v>
      </c>
      <c r="G3" s="188">
        <f t="shared" ref="G3:G66" si="2">POWER($A3,$T$5)</f>
        <v>1</v>
      </c>
      <c r="H3" s="183">
        <f t="shared" ref="H3:H11" si="3">$T$6*$G3+$T$4</f>
        <v>560</v>
      </c>
      <c r="I3" s="251">
        <f>G7*$T$7</f>
        <v>31250</v>
      </c>
      <c r="J3" s="188">
        <f>POWER($A3,$T$9)</f>
        <v>1</v>
      </c>
      <c r="K3" s="183">
        <f>(K$10/8)*A3</f>
        <v>23.633884506039188</v>
      </c>
      <c r="L3" s="183">
        <f>K3/60</f>
        <v>0.39389807510065311</v>
      </c>
      <c r="M3" s="166">
        <f>$H3/2</f>
        <v>280</v>
      </c>
      <c r="N3" s="160">
        <f>$H3/2</f>
        <v>280</v>
      </c>
      <c r="O3" s="160"/>
      <c r="P3" s="160"/>
      <c r="Q3" s="197"/>
    </row>
    <row r="4" spans="1:21" s="153" customFormat="1" x14ac:dyDescent="0.2">
      <c r="A4" s="153">
        <v>2</v>
      </c>
      <c r="B4" s="172">
        <f t="shared" si="0"/>
        <v>13.454342644059432</v>
      </c>
      <c r="D4" s="153">
        <v>2</v>
      </c>
      <c r="E4" s="161">
        <f t="shared" si="1"/>
        <v>1210.890837965349</v>
      </c>
      <c r="F4" s="204"/>
      <c r="G4" s="189">
        <f t="shared" si="2"/>
        <v>16</v>
      </c>
      <c r="H4" s="177">
        <f t="shared" si="3"/>
        <v>1460</v>
      </c>
      <c r="I4" s="252"/>
      <c r="J4" s="189">
        <f t="shared" ref="J4:J67" si="4">POWER($A4,$T$9)</f>
        <v>90.509667991878061</v>
      </c>
      <c r="K4" s="177">
        <f t="shared" ref="K4:K9" si="5">(K$10/8)*A4</f>
        <v>47.267769012078375</v>
      </c>
      <c r="L4" s="177">
        <f t="shared" ref="L4:L28" si="6">K4/60</f>
        <v>0.78779615020130622</v>
      </c>
      <c r="M4" s="167">
        <f t="shared" ref="M4:N12" si="7">$H4/2</f>
        <v>730</v>
      </c>
      <c r="N4" s="161">
        <f t="shared" si="7"/>
        <v>730</v>
      </c>
      <c r="O4" s="161"/>
      <c r="P4" s="161"/>
      <c r="Q4" s="195"/>
      <c r="T4" s="153">
        <v>500</v>
      </c>
    </row>
    <row r="5" spans="1:21" s="153" customFormat="1" x14ac:dyDescent="0.2">
      <c r="A5" s="153">
        <v>3</v>
      </c>
      <c r="B5" s="172">
        <f t="shared" si="0"/>
        <v>61.546690537779</v>
      </c>
      <c r="D5" s="153">
        <v>3</v>
      </c>
      <c r="E5" s="161">
        <f t="shared" si="1"/>
        <v>5539.2021484001098</v>
      </c>
      <c r="F5" s="204"/>
      <c r="G5" s="189">
        <f t="shared" si="2"/>
        <v>81</v>
      </c>
      <c r="H5" s="177">
        <f t="shared" si="3"/>
        <v>5360</v>
      </c>
      <c r="I5" s="252"/>
      <c r="J5" s="189">
        <f t="shared" si="4"/>
        <v>1262.6650387177124</v>
      </c>
      <c r="K5" s="177">
        <f t="shared" si="5"/>
        <v>70.90165351811757</v>
      </c>
      <c r="L5" s="177">
        <f t="shared" si="6"/>
        <v>1.1816942253019596</v>
      </c>
      <c r="M5" s="167">
        <f t="shared" si="7"/>
        <v>2680</v>
      </c>
      <c r="N5" s="161">
        <f t="shared" si="7"/>
        <v>2680</v>
      </c>
      <c r="O5" s="161"/>
      <c r="P5" s="161"/>
      <c r="Q5" s="195"/>
      <c r="R5" s="153" t="s">
        <v>140</v>
      </c>
      <c r="S5" s="153">
        <v>3.75</v>
      </c>
      <c r="T5" s="182">
        <v>4</v>
      </c>
    </row>
    <row r="6" spans="1:21" s="153" customFormat="1" x14ac:dyDescent="0.2">
      <c r="A6" s="153">
        <v>4</v>
      </c>
      <c r="B6" s="172">
        <f t="shared" si="0"/>
        <v>181.01933598375612</v>
      </c>
      <c r="D6" s="153">
        <v>4</v>
      </c>
      <c r="E6" s="161">
        <f t="shared" si="1"/>
        <v>16291.74023853805</v>
      </c>
      <c r="F6" s="204"/>
      <c r="G6" s="189">
        <f t="shared" si="2"/>
        <v>256</v>
      </c>
      <c r="H6" s="177">
        <f t="shared" si="3"/>
        <v>15860</v>
      </c>
      <c r="I6" s="252"/>
      <c r="J6" s="189">
        <f t="shared" si="4"/>
        <v>8191.9999999999945</v>
      </c>
      <c r="K6" s="177">
        <f t="shared" si="5"/>
        <v>94.53553802415675</v>
      </c>
      <c r="L6" s="177">
        <f t="shared" si="6"/>
        <v>1.5755923004026124</v>
      </c>
      <c r="M6" s="167">
        <f t="shared" si="7"/>
        <v>7930</v>
      </c>
      <c r="N6" s="161">
        <f t="shared" si="7"/>
        <v>7930</v>
      </c>
      <c r="O6" s="161"/>
      <c r="P6" s="161"/>
      <c r="Q6" s="195"/>
      <c r="R6" s="153" t="s">
        <v>139</v>
      </c>
      <c r="S6" s="153">
        <v>90</v>
      </c>
      <c r="T6" s="182">
        <v>60</v>
      </c>
    </row>
    <row r="7" spans="1:21" s="153" customFormat="1" x14ac:dyDescent="0.2">
      <c r="A7" s="153">
        <v>5</v>
      </c>
      <c r="B7" s="172">
        <f t="shared" si="0"/>
        <v>417.96269061026368</v>
      </c>
      <c r="D7" s="153">
        <v>5</v>
      </c>
      <c r="E7" s="161">
        <f t="shared" si="1"/>
        <v>37616.642154923728</v>
      </c>
      <c r="F7" s="205"/>
      <c r="G7" s="189">
        <f t="shared" si="2"/>
        <v>625</v>
      </c>
      <c r="H7" s="177">
        <f t="shared" si="3"/>
        <v>38000</v>
      </c>
      <c r="I7" s="253"/>
      <c r="J7" s="189">
        <f t="shared" si="4"/>
        <v>34938.562148434168</v>
      </c>
      <c r="K7" s="177">
        <f t="shared" si="5"/>
        <v>118.16942253019593</v>
      </c>
      <c r="L7" s="177">
        <f t="shared" si="6"/>
        <v>1.9694903755032656</v>
      </c>
      <c r="M7" s="167">
        <f t="shared" si="7"/>
        <v>19000</v>
      </c>
      <c r="N7" s="161">
        <f t="shared" si="7"/>
        <v>19000</v>
      </c>
      <c r="O7" s="161"/>
      <c r="P7" s="161"/>
      <c r="Q7" s="195"/>
      <c r="R7" s="153" t="s">
        <v>143</v>
      </c>
      <c r="S7" s="153">
        <v>450</v>
      </c>
      <c r="T7" s="182">
        <v>50</v>
      </c>
      <c r="U7" s="153" t="s">
        <v>194</v>
      </c>
    </row>
    <row r="8" spans="1:21" s="156" customFormat="1" x14ac:dyDescent="0.2">
      <c r="A8" s="156">
        <v>6</v>
      </c>
      <c r="B8" s="173">
        <f t="shared" si="0"/>
        <v>828.07026310316905</v>
      </c>
      <c r="C8" s="156">
        <v>2</v>
      </c>
      <c r="D8" s="156">
        <v>1</v>
      </c>
      <c r="E8" s="162">
        <f t="shared" si="1"/>
        <v>74526.323679285211</v>
      </c>
      <c r="F8" s="206">
        <f>$B8*$S$7</f>
        <v>372631.61839642609</v>
      </c>
      <c r="G8" s="190">
        <f t="shared" si="2"/>
        <v>1296</v>
      </c>
      <c r="H8" s="179">
        <f t="shared" si="3"/>
        <v>78260</v>
      </c>
      <c r="I8" s="254">
        <f t="shared" ref="I8" si="8">G12*$T$7</f>
        <v>500000</v>
      </c>
      <c r="J8" s="190">
        <f t="shared" si="4"/>
        <v>114283.39343929201</v>
      </c>
      <c r="K8" s="179">
        <f t="shared" si="5"/>
        <v>141.80330703623514</v>
      </c>
      <c r="L8" s="179">
        <f t="shared" si="6"/>
        <v>2.3633884506039191</v>
      </c>
      <c r="M8" s="168">
        <f t="shared" si="7"/>
        <v>39130</v>
      </c>
      <c r="N8" s="162">
        <f t="shared" si="7"/>
        <v>39130</v>
      </c>
      <c r="P8" s="162"/>
      <c r="Q8" s="198"/>
      <c r="R8" s="156" t="s">
        <v>145</v>
      </c>
      <c r="T8" s="156">
        <v>2.5500000000000002E-4</v>
      </c>
    </row>
    <row r="9" spans="1:21" s="153" customFormat="1" x14ac:dyDescent="0.2">
      <c r="A9" s="153">
        <v>7</v>
      </c>
      <c r="B9" s="172">
        <f t="shared" si="0"/>
        <v>1476.1063552359858</v>
      </c>
      <c r="D9" s="153">
        <v>2</v>
      </c>
      <c r="E9" s="161">
        <f t="shared" si="1"/>
        <v>132849.57197123874</v>
      </c>
      <c r="F9" s="204"/>
      <c r="G9" s="189">
        <f t="shared" si="2"/>
        <v>2401</v>
      </c>
      <c r="H9" s="177">
        <f t="shared" si="3"/>
        <v>144560</v>
      </c>
      <c r="I9" s="255"/>
      <c r="J9" s="189">
        <f t="shared" si="4"/>
        <v>311269.99599543802</v>
      </c>
      <c r="K9" s="177">
        <f t="shared" si="5"/>
        <v>165.43719154227432</v>
      </c>
      <c r="L9" s="177">
        <f t="shared" si="6"/>
        <v>2.757286525704572</v>
      </c>
      <c r="M9" s="167">
        <f t="shared" si="7"/>
        <v>72280</v>
      </c>
      <c r="N9" s="161">
        <f t="shared" si="7"/>
        <v>72280</v>
      </c>
      <c r="P9" s="161"/>
      <c r="Q9" s="195"/>
      <c r="R9" s="153" t="s">
        <v>190</v>
      </c>
      <c r="T9" s="153">
        <v>6.5</v>
      </c>
    </row>
    <row r="10" spans="1:21" s="153" customFormat="1" x14ac:dyDescent="0.2">
      <c r="A10" s="153">
        <v>8</v>
      </c>
      <c r="B10" s="172">
        <f t="shared" si="0"/>
        <v>2435.4961715255718</v>
      </c>
      <c r="D10" s="153">
        <v>3</v>
      </c>
      <c r="E10" s="161">
        <f t="shared" si="1"/>
        <v>219194.65543730147</v>
      </c>
      <c r="F10" s="204"/>
      <c r="G10" s="189">
        <f t="shared" si="2"/>
        <v>4096</v>
      </c>
      <c r="H10" s="177">
        <f t="shared" si="3"/>
        <v>246260</v>
      </c>
      <c r="I10" s="255"/>
      <c r="J10" s="189">
        <f t="shared" si="4"/>
        <v>741455.20018946461</v>
      </c>
      <c r="K10" s="177">
        <f>J10*$T$8</f>
        <v>189.0710760483135</v>
      </c>
      <c r="L10" s="177">
        <f t="shared" si="6"/>
        <v>3.1511846008052249</v>
      </c>
      <c r="M10" s="167">
        <f t="shared" si="7"/>
        <v>123130</v>
      </c>
      <c r="N10" s="161">
        <f t="shared" si="7"/>
        <v>123130</v>
      </c>
      <c r="P10" s="161"/>
      <c r="Q10" s="195"/>
      <c r="R10" s="156" t="s">
        <v>145</v>
      </c>
    </row>
    <row r="11" spans="1:21" s="153" customFormat="1" x14ac:dyDescent="0.2">
      <c r="A11" s="153">
        <v>9</v>
      </c>
      <c r="B11" s="172">
        <f t="shared" si="0"/>
        <v>3787.9951161531353</v>
      </c>
      <c r="D11" s="153">
        <v>4</v>
      </c>
      <c r="E11" s="161">
        <f t="shared" si="1"/>
        <v>340919.56045378221</v>
      </c>
      <c r="F11" s="204"/>
      <c r="G11" s="189">
        <f t="shared" si="2"/>
        <v>6561</v>
      </c>
      <c r="H11" s="177">
        <f t="shared" si="3"/>
        <v>394160</v>
      </c>
      <c r="I11" s="255"/>
      <c r="J11" s="189">
        <f t="shared" si="4"/>
        <v>1594323.0000000023</v>
      </c>
      <c r="K11" s="177">
        <f t="shared" ref="K11:K32" si="9">J11*$T$8</f>
        <v>406.55236500000063</v>
      </c>
      <c r="L11" s="177">
        <f t="shared" si="6"/>
        <v>6.7758727500000102</v>
      </c>
      <c r="M11" s="167">
        <f t="shared" si="7"/>
        <v>197080</v>
      </c>
      <c r="N11" s="161">
        <f t="shared" si="7"/>
        <v>197080</v>
      </c>
      <c r="P11" s="161"/>
      <c r="Q11" s="195"/>
    </row>
    <row r="12" spans="1:21" s="157" customFormat="1" x14ac:dyDescent="0.2">
      <c r="A12" s="157">
        <v>10</v>
      </c>
      <c r="B12" s="174">
        <f t="shared" si="0"/>
        <v>5623.4132519034993</v>
      </c>
      <c r="D12" s="157">
        <v>5</v>
      </c>
      <c r="E12" s="163">
        <f t="shared" si="1"/>
        <v>506107.19267131493</v>
      </c>
      <c r="F12" s="205"/>
      <c r="G12" s="191">
        <f t="shared" si="2"/>
        <v>10000</v>
      </c>
      <c r="H12" s="178">
        <f>$T$6*$G12+$T$4</f>
        <v>600500</v>
      </c>
      <c r="I12" s="256"/>
      <c r="J12" s="191">
        <f t="shared" si="4"/>
        <v>3162277.6601683851</v>
      </c>
      <c r="K12" s="178">
        <f t="shared" si="9"/>
        <v>806.38080334293829</v>
      </c>
      <c r="L12" s="178">
        <f t="shared" si="6"/>
        <v>13.439680055715638</v>
      </c>
      <c r="M12" s="169">
        <f t="shared" si="7"/>
        <v>300250</v>
      </c>
      <c r="N12" s="163">
        <f t="shared" si="7"/>
        <v>300250</v>
      </c>
      <c r="P12" s="163"/>
      <c r="Q12" s="199"/>
      <c r="R12" s="153" t="s">
        <v>140</v>
      </c>
      <c r="S12" s="153">
        <v>3.75</v>
      </c>
      <c r="T12" s="182">
        <v>8</v>
      </c>
    </row>
    <row r="13" spans="1:21" s="153" customFormat="1" x14ac:dyDescent="0.2">
      <c r="A13" s="153">
        <v>11</v>
      </c>
      <c r="B13" s="172">
        <f t="shared" si="0"/>
        <v>8039.3802268890622</v>
      </c>
      <c r="C13" s="153">
        <v>3</v>
      </c>
      <c r="D13" s="153">
        <v>1</v>
      </c>
      <c r="E13" s="161">
        <f t="shared" si="1"/>
        <v>723544.22042001563</v>
      </c>
      <c r="F13" s="206">
        <f>$B13*$S$7</f>
        <v>3617721.102100078</v>
      </c>
      <c r="G13" s="189">
        <f t="shared" si="2"/>
        <v>14641</v>
      </c>
      <c r="H13" s="177">
        <f t="shared" ref="H13:H32" si="10">$T$6*$G13+$T$4</f>
        <v>878960</v>
      </c>
      <c r="I13" s="254">
        <f t="shared" ref="I13" si="11">G17*$T$7</f>
        <v>2531250</v>
      </c>
      <c r="J13" s="189">
        <f t="shared" si="4"/>
        <v>5875603.1302268123</v>
      </c>
      <c r="K13" s="177">
        <f t="shared" si="9"/>
        <v>1498.2787982078373</v>
      </c>
      <c r="L13" s="177">
        <f t="shared" si="6"/>
        <v>24.971313303463955</v>
      </c>
      <c r="M13" s="167"/>
      <c r="N13" s="161"/>
      <c r="O13" s="162">
        <f>H13/2</f>
        <v>439480</v>
      </c>
      <c r="P13" s="161"/>
      <c r="Q13" s="195"/>
      <c r="R13" s="153" t="s">
        <v>139</v>
      </c>
      <c r="S13" s="153">
        <v>55</v>
      </c>
      <c r="T13" s="182">
        <v>1.1E-4</v>
      </c>
    </row>
    <row r="14" spans="1:21" s="153" customFormat="1" x14ac:dyDescent="0.2">
      <c r="A14" s="153">
        <v>12</v>
      </c>
      <c r="B14" s="172">
        <f t="shared" si="0"/>
        <v>11141.141053146481</v>
      </c>
      <c r="D14" s="153">
        <v>2</v>
      </c>
      <c r="E14" s="161">
        <f t="shared" si="1"/>
        <v>1002702.6947831833</v>
      </c>
      <c r="F14" s="204"/>
      <c r="G14" s="189">
        <f t="shared" si="2"/>
        <v>20736</v>
      </c>
      <c r="H14" s="177">
        <f t="shared" si="10"/>
        <v>1244660</v>
      </c>
      <c r="I14" s="255"/>
      <c r="J14" s="189">
        <f t="shared" si="4"/>
        <v>10343751.997175513</v>
      </c>
      <c r="K14" s="177">
        <f t="shared" si="9"/>
        <v>2637.656759279756</v>
      </c>
      <c r="L14" s="177">
        <f t="shared" si="6"/>
        <v>43.960945987995935</v>
      </c>
      <c r="M14" s="167"/>
      <c r="N14" s="161"/>
      <c r="O14" s="161">
        <f t="shared" ref="O14:O17" si="12">H14/2</f>
        <v>622330</v>
      </c>
      <c r="P14" s="161"/>
      <c r="Q14" s="195"/>
      <c r="R14" s="153" t="s">
        <v>143</v>
      </c>
      <c r="S14" s="153">
        <v>280</v>
      </c>
      <c r="T14" s="182">
        <v>2.1000000000000001E-4</v>
      </c>
    </row>
    <row r="15" spans="1:21" s="153" customFormat="1" x14ac:dyDescent="0.2">
      <c r="A15" s="153">
        <v>13</v>
      </c>
      <c r="B15" s="172">
        <f t="shared" si="0"/>
        <v>15041.376117324633</v>
      </c>
      <c r="D15" s="153">
        <v>3</v>
      </c>
      <c r="E15" s="161">
        <f t="shared" si="1"/>
        <v>1353723.8505592169</v>
      </c>
      <c r="F15" s="204"/>
      <c r="G15" s="189">
        <f t="shared" si="2"/>
        <v>28561</v>
      </c>
      <c r="H15" s="177">
        <f t="shared" si="10"/>
        <v>1714160</v>
      </c>
      <c r="I15" s="255"/>
      <c r="J15" s="189">
        <f t="shared" si="4"/>
        <v>17403307.346371073</v>
      </c>
      <c r="K15" s="177">
        <f t="shared" si="9"/>
        <v>4437.8433733246238</v>
      </c>
      <c r="L15" s="177">
        <f t="shared" si="6"/>
        <v>73.964056222077062</v>
      </c>
      <c r="M15" s="167"/>
      <c r="N15" s="161"/>
      <c r="O15" s="161">
        <f t="shared" si="12"/>
        <v>857080</v>
      </c>
      <c r="P15" s="161"/>
      <c r="Q15" s="195"/>
      <c r="R15" s="156" t="s">
        <v>145</v>
      </c>
      <c r="S15" s="156"/>
      <c r="T15" s="156">
        <v>7.7999999999999999E-6</v>
      </c>
    </row>
    <row r="16" spans="1:21" s="153" customFormat="1" x14ac:dyDescent="0.2">
      <c r="A16" s="153">
        <v>14</v>
      </c>
      <c r="B16" s="172">
        <f t="shared" si="0"/>
        <v>19860.040682418665</v>
      </c>
      <c r="D16" s="153">
        <v>4</v>
      </c>
      <c r="E16" s="161">
        <f t="shared" si="1"/>
        <v>1787403.6614176799</v>
      </c>
      <c r="F16" s="204"/>
      <c r="G16" s="189">
        <f t="shared" si="2"/>
        <v>38416</v>
      </c>
      <c r="H16" s="177">
        <f t="shared" si="10"/>
        <v>2305460</v>
      </c>
      <c r="I16" s="255"/>
      <c r="J16" s="189">
        <f t="shared" si="4"/>
        <v>28172943.993380308</v>
      </c>
      <c r="K16" s="177">
        <f t="shared" si="9"/>
        <v>7184.1007183119791</v>
      </c>
      <c r="L16" s="177">
        <f t="shared" si="6"/>
        <v>119.73501197186631</v>
      </c>
      <c r="M16" s="167"/>
      <c r="N16" s="161"/>
      <c r="O16" s="161">
        <f t="shared" si="12"/>
        <v>1152730</v>
      </c>
      <c r="P16" s="161"/>
      <c r="Q16" s="195"/>
    </row>
    <row r="17" spans="1:18" s="153" customFormat="1" x14ac:dyDescent="0.2">
      <c r="A17" s="153">
        <v>15</v>
      </c>
      <c r="B17" s="172">
        <f t="shared" si="0"/>
        <v>25724.220375327368</v>
      </c>
      <c r="D17" s="153">
        <v>5</v>
      </c>
      <c r="E17" s="161">
        <f t="shared" si="1"/>
        <v>2315179.8337794631</v>
      </c>
      <c r="F17" s="205"/>
      <c r="G17" s="189">
        <f t="shared" si="2"/>
        <v>50625</v>
      </c>
      <c r="H17" s="177">
        <f t="shared" si="10"/>
        <v>3038000</v>
      </c>
      <c r="I17" s="256"/>
      <c r="J17" s="189">
        <f t="shared" si="4"/>
        <v>44115700.927893825</v>
      </c>
      <c r="K17" s="177">
        <f t="shared" si="9"/>
        <v>11249.503736612925</v>
      </c>
      <c r="L17" s="177">
        <f t="shared" si="6"/>
        <v>187.49172894354876</v>
      </c>
      <c r="M17" s="167"/>
      <c r="N17" s="161"/>
      <c r="O17" s="163">
        <f t="shared" si="12"/>
        <v>1519000</v>
      </c>
      <c r="P17" s="161"/>
      <c r="Q17" s="195"/>
    </row>
    <row r="18" spans="1:18" s="156" customFormat="1" x14ac:dyDescent="0.2">
      <c r="A18" s="156">
        <v>16</v>
      </c>
      <c r="B18" s="173">
        <f t="shared" si="0"/>
        <v>32767.999999999985</v>
      </c>
      <c r="C18" s="156">
        <v>4</v>
      </c>
      <c r="D18" s="156">
        <v>1</v>
      </c>
      <c r="E18" s="162">
        <f t="shared" si="1"/>
        <v>2949119.9999999986</v>
      </c>
      <c r="F18" s="206">
        <f>$B18*$S$7</f>
        <v>14745599.999999993</v>
      </c>
      <c r="G18" s="190">
        <f t="shared" si="2"/>
        <v>65536</v>
      </c>
      <c r="H18" s="179">
        <f t="shared" si="10"/>
        <v>3932660</v>
      </c>
      <c r="I18" s="254">
        <f t="shared" ref="I18" si="13">G22*$T$7</f>
        <v>8000000</v>
      </c>
      <c r="J18" s="190">
        <f t="shared" si="4"/>
        <v>67108863.999999918</v>
      </c>
      <c r="K18" s="179">
        <f t="shared" si="9"/>
        <v>17112.760319999979</v>
      </c>
      <c r="L18" s="179">
        <f t="shared" si="6"/>
        <v>285.21267199999966</v>
      </c>
      <c r="M18" s="168"/>
      <c r="N18" s="162"/>
      <c r="O18" s="162"/>
      <c r="P18" s="162">
        <f>H18/3</f>
        <v>1310886.6666666667</v>
      </c>
      <c r="Q18" s="198"/>
    </row>
    <row r="19" spans="1:18" s="153" customFormat="1" x14ac:dyDescent="0.2">
      <c r="A19" s="153">
        <v>17</v>
      </c>
      <c r="B19" s="172">
        <f t="shared" si="0"/>
        <v>41132.343612475866</v>
      </c>
      <c r="D19" s="153">
        <v>2</v>
      </c>
      <c r="E19" s="161">
        <f t="shared" si="1"/>
        <v>3701910.9251228278</v>
      </c>
      <c r="F19" s="204"/>
      <c r="G19" s="189">
        <f t="shared" si="2"/>
        <v>83521</v>
      </c>
      <c r="H19" s="177">
        <f t="shared" si="10"/>
        <v>5011760</v>
      </c>
      <c r="I19" s="255"/>
      <c r="J19" s="189">
        <f t="shared" si="4"/>
        <v>99521746.532634467</v>
      </c>
      <c r="K19" s="177">
        <f t="shared" si="9"/>
        <v>25378.045365821792</v>
      </c>
      <c r="L19" s="177">
        <f t="shared" si="6"/>
        <v>422.96742276369656</v>
      </c>
      <c r="M19" s="167"/>
      <c r="N19" s="161"/>
      <c r="O19" s="161"/>
      <c r="P19" s="161">
        <f t="shared" ref="P19:P22" si="14">H19/3</f>
        <v>1670586.6666666667</v>
      </c>
      <c r="Q19" s="195"/>
    </row>
    <row r="20" spans="1:18" s="153" customFormat="1" x14ac:dyDescent="0.2">
      <c r="A20" s="153">
        <v>18</v>
      </c>
      <c r="B20" s="172">
        <f t="shared" si="0"/>
        <v>50964.984226747983</v>
      </c>
      <c r="D20" s="153">
        <v>3</v>
      </c>
      <c r="E20" s="161">
        <f t="shared" si="1"/>
        <v>4586848.5804073187</v>
      </c>
      <c r="F20" s="204"/>
      <c r="G20" s="189">
        <f t="shared" si="2"/>
        <v>104976</v>
      </c>
      <c r="H20" s="177">
        <f t="shared" si="10"/>
        <v>6299060</v>
      </c>
      <c r="I20" s="255"/>
      <c r="J20" s="189">
        <f t="shared" si="4"/>
        <v>144301645.40181494</v>
      </c>
      <c r="K20" s="177">
        <f t="shared" si="9"/>
        <v>36796.91957746281</v>
      </c>
      <c r="L20" s="177">
        <f t="shared" si="6"/>
        <v>613.28199295771344</v>
      </c>
      <c r="M20" s="167"/>
      <c r="N20" s="161"/>
      <c r="O20" s="161"/>
      <c r="P20" s="161">
        <f t="shared" si="14"/>
        <v>2099686.6666666665</v>
      </c>
      <c r="Q20" s="195"/>
    </row>
    <row r="21" spans="1:18" s="153" customFormat="1" x14ac:dyDescent="0.2">
      <c r="A21" s="153">
        <v>19</v>
      </c>
      <c r="B21" s="172">
        <f t="shared" si="0"/>
        <v>62420.321841432022</v>
      </c>
      <c r="D21" s="153">
        <v>4</v>
      </c>
      <c r="E21" s="161">
        <f t="shared" si="1"/>
        <v>5617828.9657288818</v>
      </c>
      <c r="F21" s="204"/>
      <c r="G21" s="189">
        <f t="shared" si="2"/>
        <v>130321</v>
      </c>
      <c r="H21" s="177">
        <f t="shared" si="10"/>
        <v>7819760</v>
      </c>
      <c r="I21" s="255"/>
      <c r="J21" s="189">
        <f t="shared" si="4"/>
        <v>205068240.98884016</v>
      </c>
      <c r="K21" s="177">
        <f t="shared" si="9"/>
        <v>52292.401452154249</v>
      </c>
      <c r="L21" s="177">
        <f t="shared" si="6"/>
        <v>871.54002420257086</v>
      </c>
      <c r="M21" s="167"/>
      <c r="N21" s="161"/>
      <c r="O21" s="161"/>
      <c r="P21" s="161">
        <f t="shared" si="14"/>
        <v>2606586.6666666665</v>
      </c>
      <c r="Q21" s="195"/>
    </row>
    <row r="22" spans="1:18" s="157" customFormat="1" x14ac:dyDescent="0.2">
      <c r="A22" s="157">
        <v>20</v>
      </c>
      <c r="B22" s="174">
        <f t="shared" si="0"/>
        <v>75659.328720254038</v>
      </c>
      <c r="D22" s="157">
        <v>5</v>
      </c>
      <c r="E22" s="163">
        <f t="shared" si="1"/>
        <v>6809339.5848228633</v>
      </c>
      <c r="F22" s="205"/>
      <c r="G22" s="191">
        <f t="shared" si="2"/>
        <v>160000</v>
      </c>
      <c r="H22" s="178">
        <f t="shared" si="10"/>
        <v>9600500</v>
      </c>
      <c r="I22" s="256"/>
      <c r="J22" s="191">
        <f t="shared" si="4"/>
        <v>286216701.119973</v>
      </c>
      <c r="K22" s="178">
        <f t="shared" si="9"/>
        <v>72985.25878559312</v>
      </c>
      <c r="L22" s="178">
        <f t="shared" si="6"/>
        <v>1216.4209797598853</v>
      </c>
      <c r="M22" s="169"/>
      <c r="N22" s="163"/>
      <c r="O22" s="163"/>
      <c r="P22" s="163">
        <f t="shared" si="14"/>
        <v>3200166.6666666665</v>
      </c>
      <c r="Q22" s="199"/>
    </row>
    <row r="23" spans="1:18" s="153" customFormat="1" x14ac:dyDescent="0.2">
      <c r="A23" s="153">
        <v>21</v>
      </c>
      <c r="B23" s="172">
        <f t="shared" si="0"/>
        <v>90849.461046558106</v>
      </c>
      <c r="C23" s="153">
        <v>5</v>
      </c>
      <c r="D23" s="153">
        <v>1</v>
      </c>
      <c r="E23" s="161">
        <f t="shared" si="1"/>
        <v>8176451.4941902291</v>
      </c>
      <c r="F23" s="206">
        <f>$B23*$S$7</f>
        <v>40882257.470951147</v>
      </c>
      <c r="G23" s="189">
        <f t="shared" si="2"/>
        <v>194481</v>
      </c>
      <c r="H23" s="177">
        <f t="shared" si="10"/>
        <v>11669360</v>
      </c>
      <c r="I23" s="254">
        <f t="shared" ref="I23" si="15">G27*$T$7</f>
        <v>19531250</v>
      </c>
      <c r="J23" s="189">
        <f t="shared" si="4"/>
        <v>393029741.54524195</v>
      </c>
      <c r="K23" s="177">
        <f t="shared" si="9"/>
        <v>100222.58409403671</v>
      </c>
      <c r="L23" s="177">
        <f t="shared" si="6"/>
        <v>1670.3764015672784</v>
      </c>
      <c r="M23" s="167"/>
      <c r="N23" s="161"/>
      <c r="O23" s="161"/>
      <c r="P23" s="161"/>
      <c r="Q23" s="195">
        <f>H23/5</f>
        <v>2333872</v>
      </c>
    </row>
    <row r="24" spans="1:18" s="153" customFormat="1" x14ac:dyDescent="0.2">
      <c r="A24" s="153">
        <v>22</v>
      </c>
      <c r="B24" s="172">
        <f t="shared" si="0"/>
        <v>108164.57621844189</v>
      </c>
      <c r="D24" s="153">
        <v>2</v>
      </c>
      <c r="E24" s="161">
        <f t="shared" si="1"/>
        <v>9734811.8596597705</v>
      </c>
      <c r="F24" s="204"/>
      <c r="G24" s="189">
        <f t="shared" si="2"/>
        <v>234256</v>
      </c>
      <c r="H24" s="177">
        <f t="shared" si="10"/>
        <v>14055860</v>
      </c>
      <c r="I24" s="255"/>
      <c r="J24" s="189">
        <f t="shared" si="4"/>
        <v>531798888.56886727</v>
      </c>
      <c r="K24" s="177">
        <f t="shared" si="9"/>
        <v>135608.71658506116</v>
      </c>
      <c r="L24" s="177">
        <f t="shared" si="6"/>
        <v>2260.1452764176861</v>
      </c>
      <c r="M24" s="167"/>
      <c r="N24" s="161"/>
      <c r="O24" s="161"/>
      <c r="P24" s="161"/>
      <c r="Q24" s="195">
        <f t="shared" ref="Q24:Q27" si="16">H24/5</f>
        <v>2811172</v>
      </c>
    </row>
    <row r="25" spans="1:18" s="153" customFormat="1" x14ac:dyDescent="0.2">
      <c r="A25" s="153">
        <v>23</v>
      </c>
      <c r="B25" s="172">
        <f t="shared" si="0"/>
        <v>127784.85516719076</v>
      </c>
      <c r="D25" s="153">
        <v>3</v>
      </c>
      <c r="E25" s="161">
        <f t="shared" si="1"/>
        <v>11500636.965047169</v>
      </c>
      <c r="F25" s="204"/>
      <c r="G25" s="189">
        <f t="shared" si="2"/>
        <v>279841</v>
      </c>
      <c r="H25" s="177">
        <f t="shared" si="10"/>
        <v>16790960</v>
      </c>
      <c r="I25" s="255"/>
      <c r="J25" s="189">
        <f t="shared" si="4"/>
        <v>709955183.04782259</v>
      </c>
      <c r="K25" s="177">
        <f t="shared" si="9"/>
        <v>181038.57167719476</v>
      </c>
      <c r="L25" s="177">
        <f t="shared" si="6"/>
        <v>3017.3095279532458</v>
      </c>
      <c r="M25" s="167"/>
      <c r="N25" s="161"/>
      <c r="O25" s="161"/>
      <c r="P25" s="161"/>
      <c r="Q25" s="195">
        <f t="shared" si="16"/>
        <v>3358192</v>
      </c>
    </row>
    <row r="26" spans="1:18" s="153" customFormat="1" x14ac:dyDescent="0.2">
      <c r="A26" s="153">
        <v>24</v>
      </c>
      <c r="B26" s="172">
        <f t="shared" si="0"/>
        <v>149896.7291748299</v>
      </c>
      <c r="D26" s="153">
        <v>4</v>
      </c>
      <c r="E26" s="161">
        <f t="shared" si="1"/>
        <v>13490705.625734691</v>
      </c>
      <c r="F26" s="204"/>
      <c r="G26" s="189">
        <f t="shared" si="2"/>
        <v>331776</v>
      </c>
      <c r="H26" s="177">
        <f t="shared" si="10"/>
        <v>19907060</v>
      </c>
      <c r="I26" s="255"/>
      <c r="J26" s="189">
        <f t="shared" si="4"/>
        <v>936209559.05467951</v>
      </c>
      <c r="K26" s="177">
        <f t="shared" si="9"/>
        <v>238733.43755894329</v>
      </c>
      <c r="L26" s="177">
        <f t="shared" si="6"/>
        <v>3978.890625982388</v>
      </c>
      <c r="M26" s="167"/>
      <c r="N26" s="161"/>
      <c r="O26" s="161"/>
      <c r="P26" s="161"/>
      <c r="Q26" s="195">
        <f t="shared" si="16"/>
        <v>3981412</v>
      </c>
    </row>
    <row r="27" spans="1:18" s="154" customFormat="1" ht="12" thickBot="1" x14ac:dyDescent="0.25">
      <c r="A27" s="154">
        <v>25</v>
      </c>
      <c r="B27" s="175">
        <f t="shared" si="0"/>
        <v>174692.81074217102</v>
      </c>
      <c r="D27" s="154">
        <v>5</v>
      </c>
      <c r="E27" s="164">
        <f t="shared" si="1"/>
        <v>15722352.966795392</v>
      </c>
      <c r="F27" s="207"/>
      <c r="G27" s="192">
        <f t="shared" si="2"/>
        <v>390625</v>
      </c>
      <c r="H27" s="180">
        <f t="shared" si="10"/>
        <v>23438000</v>
      </c>
      <c r="I27" s="257"/>
      <c r="J27" s="192">
        <f t="shared" si="4"/>
        <v>1220703124.9999967</v>
      </c>
      <c r="K27" s="180">
        <f t="shared" si="9"/>
        <v>311279.29687499919</v>
      </c>
      <c r="L27" s="180">
        <f t="shared" si="6"/>
        <v>5187.9882812499864</v>
      </c>
      <c r="M27" s="170"/>
      <c r="N27" s="164"/>
      <c r="O27" s="164"/>
      <c r="P27" s="164"/>
      <c r="Q27" s="200">
        <f t="shared" si="16"/>
        <v>4687600</v>
      </c>
      <c r="R27" s="164">
        <f>L27/60/24</f>
        <v>3.6027696397569353</v>
      </c>
    </row>
    <row r="28" spans="1:18" s="80" customFormat="1" ht="12" thickTop="1" x14ac:dyDescent="0.2">
      <c r="A28" s="155">
        <v>26</v>
      </c>
      <c r="D28" s="80" t="s">
        <v>141</v>
      </c>
      <c r="E28" s="81">
        <f>SUM(E3:E27)</f>
        <v>90806907.008061439</v>
      </c>
      <c r="F28" s="81">
        <f>SUM(F3:F27)</f>
        <v>59618660.191447645</v>
      </c>
      <c r="G28" s="188">
        <f t="shared" si="2"/>
        <v>456976</v>
      </c>
      <c r="H28" s="183">
        <f t="shared" si="10"/>
        <v>27419060</v>
      </c>
      <c r="I28" s="251">
        <f t="shared" ref="I28" si="17">G32*$T$7</f>
        <v>40500000</v>
      </c>
      <c r="J28" s="188">
        <f t="shared" si="4"/>
        <v>1575167569.880661</v>
      </c>
      <c r="K28" s="183">
        <f t="shared" si="9"/>
        <v>401667.7303195686</v>
      </c>
      <c r="L28" s="183">
        <f t="shared" si="6"/>
        <v>6694.46217199281</v>
      </c>
      <c r="M28" s="166">
        <f t="shared" ref="M28:N32" si="18">$H28/2</f>
        <v>13709530</v>
      </c>
      <c r="N28" s="160">
        <f t="shared" si="18"/>
        <v>13709530</v>
      </c>
      <c r="O28" s="160"/>
      <c r="P28" s="160"/>
      <c r="Q28" s="197"/>
      <c r="R28" s="81">
        <f t="shared" ref="R28:R77" si="19">L28/60/24</f>
        <v>4.6489320638838958</v>
      </c>
    </row>
    <row r="29" spans="1:18" x14ac:dyDescent="0.2">
      <c r="A29" s="153">
        <v>27</v>
      </c>
      <c r="E29" s="264">
        <f>E28+F28</f>
        <v>150425567.19950908</v>
      </c>
      <c r="F29" s="264"/>
      <c r="G29" s="189">
        <f t="shared" si="2"/>
        <v>531441</v>
      </c>
      <c r="H29" s="177">
        <f t="shared" si="10"/>
        <v>31886960</v>
      </c>
      <c r="I29" s="252"/>
      <c r="J29" s="189">
        <f t="shared" si="4"/>
        <v>2013095912.5235386</v>
      </c>
      <c r="K29" s="177">
        <f t="shared" si="9"/>
        <v>513339.45769350237</v>
      </c>
      <c r="L29" s="177">
        <f t="shared" ref="L29:L32" si="20">K29/60</f>
        <v>8555.6576282250389</v>
      </c>
      <c r="M29" s="167">
        <f t="shared" si="18"/>
        <v>15943480</v>
      </c>
      <c r="N29" s="161">
        <f t="shared" si="18"/>
        <v>15943480</v>
      </c>
      <c r="O29" s="161"/>
      <c r="P29" s="161"/>
      <c r="R29" s="35">
        <f t="shared" si="19"/>
        <v>5.9414289084896099</v>
      </c>
    </row>
    <row r="30" spans="1:18" x14ac:dyDescent="0.2">
      <c r="A30" s="153">
        <v>28</v>
      </c>
      <c r="D30" s="34" t="s">
        <v>144</v>
      </c>
      <c r="E30" s="165">
        <f>E28/E29</f>
        <v>0.60366670838358516</v>
      </c>
      <c r="F30" s="165">
        <f>F28/E29</f>
        <v>0.3963332916164149</v>
      </c>
      <c r="G30" s="189">
        <f t="shared" si="2"/>
        <v>614656</v>
      </c>
      <c r="H30" s="177">
        <f t="shared" si="10"/>
        <v>36879860</v>
      </c>
      <c r="I30" s="252"/>
      <c r="J30" s="189">
        <f t="shared" si="4"/>
        <v>2549923807.1946225</v>
      </c>
      <c r="K30" s="177">
        <f t="shared" si="9"/>
        <v>650230.57083462877</v>
      </c>
      <c r="L30" s="177">
        <f t="shared" si="20"/>
        <v>10837.176180577146</v>
      </c>
      <c r="M30" s="167">
        <f t="shared" si="18"/>
        <v>18439930</v>
      </c>
      <c r="N30" s="161">
        <f t="shared" si="18"/>
        <v>18439930</v>
      </c>
      <c r="O30" s="161"/>
      <c r="P30" s="161"/>
      <c r="R30" s="35">
        <f t="shared" si="19"/>
        <v>7.5258167920674621</v>
      </c>
    </row>
    <row r="31" spans="1:18" x14ac:dyDescent="0.2">
      <c r="A31" s="153">
        <v>29</v>
      </c>
      <c r="E31" s="35">
        <f>E29*0.6</f>
        <v>90255340.319705442</v>
      </c>
      <c r="F31" s="34">
        <f>E29*0.4</f>
        <v>60170226.879803635</v>
      </c>
      <c r="G31" s="189">
        <f t="shared" si="2"/>
        <v>707281</v>
      </c>
      <c r="H31" s="177">
        <f t="shared" si="10"/>
        <v>42437360</v>
      </c>
      <c r="I31" s="252"/>
      <c r="J31" s="189">
        <f t="shared" si="4"/>
        <v>3203221614.7120705</v>
      </c>
      <c r="K31" s="177">
        <f t="shared" si="9"/>
        <v>816821.51175157807</v>
      </c>
      <c r="L31" s="177">
        <f t="shared" si="20"/>
        <v>13613.691862526301</v>
      </c>
      <c r="M31" s="167">
        <f t="shared" si="18"/>
        <v>21218680</v>
      </c>
      <c r="N31" s="161">
        <f t="shared" si="18"/>
        <v>21218680</v>
      </c>
      <c r="O31" s="161"/>
      <c r="P31" s="161"/>
      <c r="R31" s="35">
        <f t="shared" si="19"/>
        <v>9.4539526823099305</v>
      </c>
    </row>
    <row r="32" spans="1:18" x14ac:dyDescent="0.2">
      <c r="A32" s="153">
        <v>30</v>
      </c>
      <c r="E32" s="35" t="s">
        <v>189</v>
      </c>
      <c r="G32" s="189">
        <f t="shared" si="2"/>
        <v>810000</v>
      </c>
      <c r="H32" s="177">
        <f t="shared" si="10"/>
        <v>48600500</v>
      </c>
      <c r="I32" s="253"/>
      <c r="J32" s="189">
        <f t="shared" si="4"/>
        <v>3992897444.2126641</v>
      </c>
      <c r="K32" s="177">
        <f t="shared" si="9"/>
        <v>1018188.8482742294</v>
      </c>
      <c r="L32" s="177">
        <f t="shared" si="20"/>
        <v>16969.814137903824</v>
      </c>
      <c r="M32" s="167">
        <f t="shared" si="18"/>
        <v>24300250</v>
      </c>
      <c r="N32" s="161">
        <f t="shared" si="18"/>
        <v>24300250</v>
      </c>
      <c r="O32" s="161"/>
      <c r="P32" s="161"/>
      <c r="R32" s="35">
        <f t="shared" si="19"/>
        <v>11.784593151322101</v>
      </c>
    </row>
    <row r="33" spans="1:18" s="247" customFormat="1" x14ac:dyDescent="0.2">
      <c r="A33" s="246">
        <v>31</v>
      </c>
      <c r="E33" s="248">
        <f>영웅렙업zero!P53/9</f>
        <v>336.34867380256935</v>
      </c>
      <c r="G33" s="249">
        <f t="shared" si="2"/>
        <v>923521</v>
      </c>
      <c r="H33" s="250">
        <f>H$32</f>
        <v>48600500</v>
      </c>
      <c r="I33" s="254">
        <f>I28</f>
        <v>40500000</v>
      </c>
      <c r="J33" s="249">
        <f t="shared" si="4"/>
        <v>4941411366.9522629</v>
      </c>
      <c r="K33" s="250">
        <f>K$32</f>
        <v>1018188.8482742294</v>
      </c>
      <c r="L33" s="250">
        <f>L$32</f>
        <v>16969.814137903824</v>
      </c>
      <c r="M33" s="250">
        <f>M$32</f>
        <v>24300250</v>
      </c>
      <c r="N33" s="250">
        <f>N$32</f>
        <v>24300250</v>
      </c>
      <c r="O33" s="250"/>
      <c r="P33" s="250"/>
      <c r="Q33" s="250"/>
      <c r="R33" s="248">
        <f t="shared" si="19"/>
        <v>11.784593151322101</v>
      </c>
    </row>
    <row r="34" spans="1:18" x14ac:dyDescent="0.2">
      <c r="A34" s="153">
        <v>32</v>
      </c>
      <c r="E34" s="35">
        <f>E33*60*60</f>
        <v>1210855.2256892496</v>
      </c>
      <c r="G34" s="189">
        <f t="shared" si="2"/>
        <v>1048576</v>
      </c>
      <c r="H34" s="177">
        <f t="shared" ref="H34:H77" si="21">H$32</f>
        <v>48600500</v>
      </c>
      <c r="I34" s="255"/>
      <c r="J34" s="189">
        <f t="shared" si="4"/>
        <v>6074000999.9521008</v>
      </c>
      <c r="K34" s="177">
        <f t="shared" ref="K34:N77" si="22">K$32</f>
        <v>1018188.8482742294</v>
      </c>
      <c r="L34" s="177">
        <f t="shared" si="22"/>
        <v>16969.814137903824</v>
      </c>
      <c r="M34" s="167">
        <f t="shared" si="22"/>
        <v>24300250</v>
      </c>
      <c r="N34" s="161">
        <f t="shared" si="22"/>
        <v>24300250</v>
      </c>
      <c r="O34" s="153"/>
      <c r="P34" s="161"/>
      <c r="R34" s="35">
        <f t="shared" si="19"/>
        <v>11.784593151322101</v>
      </c>
    </row>
    <row r="35" spans="1:18" x14ac:dyDescent="0.2">
      <c r="A35" s="153">
        <v>33</v>
      </c>
      <c r="G35" s="189">
        <f t="shared" si="2"/>
        <v>1185921</v>
      </c>
      <c r="H35" s="177">
        <f t="shared" si="21"/>
        <v>48600500</v>
      </c>
      <c r="I35" s="255"/>
      <c r="J35" s="189">
        <f t="shared" si="4"/>
        <v>7418918653.917737</v>
      </c>
      <c r="K35" s="177">
        <f t="shared" si="22"/>
        <v>1018188.8482742294</v>
      </c>
      <c r="L35" s="177">
        <f t="shared" si="22"/>
        <v>16969.814137903824</v>
      </c>
      <c r="M35" s="167">
        <f t="shared" si="22"/>
        <v>24300250</v>
      </c>
      <c r="N35" s="161">
        <f t="shared" si="22"/>
        <v>24300250</v>
      </c>
      <c r="O35" s="153"/>
      <c r="P35" s="161"/>
      <c r="R35" s="35">
        <f t="shared" si="19"/>
        <v>11.784593151322101</v>
      </c>
    </row>
    <row r="36" spans="1:18" x14ac:dyDescent="0.2">
      <c r="A36" s="153">
        <v>34</v>
      </c>
      <c r="E36" s="81">
        <f>SUM(H3:H27)</f>
        <v>129231200</v>
      </c>
      <c r="F36" s="81">
        <f>SUM(I3:I27)</f>
        <v>30593750</v>
      </c>
      <c r="G36" s="189">
        <f t="shared" si="2"/>
        <v>1336336</v>
      </c>
      <c r="H36" s="177">
        <f t="shared" si="21"/>
        <v>48600500</v>
      </c>
      <c r="I36" s="255"/>
      <c r="J36" s="189">
        <f t="shared" si="4"/>
        <v>9007680236.6406021</v>
      </c>
      <c r="K36" s="177">
        <f t="shared" si="22"/>
        <v>1018188.8482742294</v>
      </c>
      <c r="L36" s="177">
        <f t="shared" si="22"/>
        <v>16969.814137903824</v>
      </c>
      <c r="M36" s="167">
        <f t="shared" si="22"/>
        <v>24300250</v>
      </c>
      <c r="N36" s="161">
        <f t="shared" si="22"/>
        <v>24300250</v>
      </c>
      <c r="O36" s="153"/>
      <c r="P36" s="161"/>
      <c r="R36" s="35">
        <f t="shared" si="19"/>
        <v>11.784593151322101</v>
      </c>
    </row>
    <row r="37" spans="1:18" x14ac:dyDescent="0.2">
      <c r="A37" s="157">
        <v>35</v>
      </c>
      <c r="E37" s="264">
        <f>E36+F36</f>
        <v>159824950</v>
      </c>
      <c r="F37" s="264"/>
      <c r="G37" s="191">
        <f t="shared" si="2"/>
        <v>1500625</v>
      </c>
      <c r="H37" s="178">
        <f t="shared" si="21"/>
        <v>48600500</v>
      </c>
      <c r="I37" s="256"/>
      <c r="J37" s="191">
        <f t="shared" si="4"/>
        <v>10875326100.029467</v>
      </c>
      <c r="K37" s="178">
        <f t="shared" si="22"/>
        <v>1018188.8482742294</v>
      </c>
      <c r="L37" s="178">
        <f t="shared" si="22"/>
        <v>16969.814137903824</v>
      </c>
      <c r="M37" s="169">
        <f t="shared" si="22"/>
        <v>24300250</v>
      </c>
      <c r="N37" s="163">
        <f t="shared" si="22"/>
        <v>24300250</v>
      </c>
      <c r="O37" s="157"/>
      <c r="P37" s="163"/>
      <c r="Q37" s="199"/>
      <c r="R37" s="35">
        <f t="shared" si="19"/>
        <v>11.784593151322101</v>
      </c>
    </row>
    <row r="38" spans="1:18" x14ac:dyDescent="0.2">
      <c r="A38" s="153">
        <v>36</v>
      </c>
      <c r="G38" s="189">
        <f t="shared" si="2"/>
        <v>1679616</v>
      </c>
      <c r="H38" s="177">
        <f t="shared" si="21"/>
        <v>48600500</v>
      </c>
      <c r="I38" s="254">
        <f t="shared" ref="I38" si="23">I33</f>
        <v>40500000</v>
      </c>
      <c r="J38" s="189">
        <f t="shared" si="4"/>
        <v>13060694016.00001</v>
      </c>
      <c r="K38" s="177">
        <f t="shared" si="22"/>
        <v>1018188.8482742294</v>
      </c>
      <c r="L38" s="177">
        <f t="shared" si="22"/>
        <v>16969.814137903824</v>
      </c>
      <c r="M38" s="167">
        <f t="shared" si="22"/>
        <v>24300250</v>
      </c>
      <c r="N38" s="161">
        <f t="shared" si="22"/>
        <v>24300250</v>
      </c>
      <c r="O38" s="162"/>
      <c r="P38" s="161"/>
      <c r="R38" s="35">
        <f t="shared" si="19"/>
        <v>11.784593151322101</v>
      </c>
    </row>
    <row r="39" spans="1:18" x14ac:dyDescent="0.2">
      <c r="A39" s="153">
        <v>37</v>
      </c>
      <c r="G39" s="189">
        <f t="shared" si="2"/>
        <v>1874161</v>
      </c>
      <c r="H39" s="177">
        <f t="shared" si="21"/>
        <v>48600500</v>
      </c>
      <c r="I39" s="255"/>
      <c r="J39" s="189">
        <f t="shared" si="4"/>
        <v>15606704463.661819</v>
      </c>
      <c r="K39" s="177">
        <f t="shared" si="22"/>
        <v>1018188.8482742294</v>
      </c>
      <c r="L39" s="177">
        <f t="shared" si="22"/>
        <v>16969.814137903824</v>
      </c>
      <c r="M39" s="167">
        <f t="shared" si="22"/>
        <v>24300250</v>
      </c>
      <c r="N39" s="161">
        <f t="shared" si="22"/>
        <v>24300250</v>
      </c>
      <c r="O39" s="161"/>
      <c r="P39" s="161"/>
      <c r="R39" s="35">
        <f t="shared" si="19"/>
        <v>11.784593151322101</v>
      </c>
    </row>
    <row r="40" spans="1:18" x14ac:dyDescent="0.2">
      <c r="A40" s="153">
        <v>38</v>
      </c>
      <c r="G40" s="189">
        <f t="shared" si="2"/>
        <v>2085136</v>
      </c>
      <c r="H40" s="177">
        <f t="shared" si="21"/>
        <v>48600500</v>
      </c>
      <c r="I40" s="255"/>
      <c r="J40" s="189">
        <f t="shared" si="4"/>
        <v>18560658407.578327</v>
      </c>
      <c r="K40" s="177">
        <f t="shared" si="22"/>
        <v>1018188.8482742294</v>
      </c>
      <c r="L40" s="177">
        <f t="shared" si="22"/>
        <v>16969.814137903824</v>
      </c>
      <c r="M40" s="167">
        <f t="shared" si="22"/>
        <v>24300250</v>
      </c>
      <c r="N40" s="161">
        <f t="shared" si="22"/>
        <v>24300250</v>
      </c>
      <c r="O40" s="161"/>
      <c r="P40" s="161"/>
      <c r="R40" s="35">
        <f t="shared" si="19"/>
        <v>11.784593151322101</v>
      </c>
    </row>
    <row r="41" spans="1:18" x14ac:dyDescent="0.2">
      <c r="A41" s="153">
        <v>39</v>
      </c>
      <c r="G41" s="189">
        <f t="shared" si="2"/>
        <v>2313441</v>
      </c>
      <c r="H41" s="177">
        <f t="shared" si="21"/>
        <v>48600500</v>
      </c>
      <c r="I41" s="255"/>
      <c r="J41" s="189">
        <f t="shared" si="4"/>
        <v>21974547744.321842</v>
      </c>
      <c r="K41" s="177">
        <f t="shared" si="22"/>
        <v>1018188.8482742294</v>
      </c>
      <c r="L41" s="177">
        <f t="shared" si="22"/>
        <v>16969.814137903824</v>
      </c>
      <c r="M41" s="167">
        <f t="shared" si="22"/>
        <v>24300250</v>
      </c>
      <c r="N41" s="161">
        <f t="shared" si="22"/>
        <v>24300250</v>
      </c>
      <c r="O41" s="161"/>
      <c r="P41" s="161"/>
      <c r="R41" s="35">
        <f t="shared" si="19"/>
        <v>11.784593151322101</v>
      </c>
    </row>
    <row r="42" spans="1:18" x14ac:dyDescent="0.2">
      <c r="A42" s="153">
        <v>40</v>
      </c>
      <c r="G42" s="189">
        <f t="shared" si="2"/>
        <v>2560000</v>
      </c>
      <c r="H42" s="177">
        <f t="shared" si="21"/>
        <v>48600500</v>
      </c>
      <c r="I42" s="256"/>
      <c r="J42" s="189">
        <f t="shared" si="4"/>
        <v>25905378592.099396</v>
      </c>
      <c r="K42" s="177">
        <f t="shared" si="22"/>
        <v>1018188.8482742294</v>
      </c>
      <c r="L42" s="177">
        <f t="shared" si="22"/>
        <v>16969.814137903824</v>
      </c>
      <c r="M42" s="167">
        <f t="shared" si="22"/>
        <v>24300250</v>
      </c>
      <c r="N42" s="161">
        <f t="shared" si="22"/>
        <v>24300250</v>
      </c>
      <c r="O42" s="163"/>
      <c r="P42" s="161"/>
      <c r="R42" s="35">
        <f t="shared" si="19"/>
        <v>11.784593151322101</v>
      </c>
    </row>
    <row r="43" spans="1:18" x14ac:dyDescent="0.2">
      <c r="A43" s="156">
        <v>41</v>
      </c>
      <c r="G43" s="190">
        <f t="shared" si="2"/>
        <v>2825761</v>
      </c>
      <c r="H43" s="179">
        <f t="shared" si="21"/>
        <v>48600500</v>
      </c>
      <c r="I43" s="254">
        <f t="shared" ref="I43" si="24">I38</f>
        <v>40500000</v>
      </c>
      <c r="J43" s="190">
        <f t="shared" si="4"/>
        <v>30415507595.879654</v>
      </c>
      <c r="K43" s="179">
        <f t="shared" si="22"/>
        <v>1018188.8482742294</v>
      </c>
      <c r="L43" s="179">
        <f t="shared" si="22"/>
        <v>16969.814137903824</v>
      </c>
      <c r="M43" s="168">
        <f t="shared" si="22"/>
        <v>24300250</v>
      </c>
      <c r="N43" s="162">
        <f t="shared" si="22"/>
        <v>24300250</v>
      </c>
      <c r="O43" s="162"/>
      <c r="P43" s="162"/>
      <c r="Q43" s="198"/>
      <c r="R43" s="35">
        <f t="shared" si="19"/>
        <v>11.784593151322101</v>
      </c>
    </row>
    <row r="44" spans="1:18" x14ac:dyDescent="0.2">
      <c r="A44" s="153">
        <v>42</v>
      </c>
      <c r="G44" s="189">
        <f t="shared" si="2"/>
        <v>3111696</v>
      </c>
      <c r="H44" s="177">
        <f t="shared" si="21"/>
        <v>48600500</v>
      </c>
      <c r="I44" s="255"/>
      <c r="J44" s="189">
        <f t="shared" si="4"/>
        <v>35572991418.193558</v>
      </c>
      <c r="K44" s="177">
        <f t="shared" si="22"/>
        <v>1018188.8482742294</v>
      </c>
      <c r="L44" s="177">
        <f t="shared" si="22"/>
        <v>16969.814137903824</v>
      </c>
      <c r="M44" s="167">
        <f t="shared" si="22"/>
        <v>24300250</v>
      </c>
      <c r="N44" s="161">
        <f t="shared" si="22"/>
        <v>24300250</v>
      </c>
      <c r="O44" s="161"/>
      <c r="P44" s="161"/>
      <c r="R44" s="35">
        <f t="shared" si="19"/>
        <v>11.784593151322101</v>
      </c>
    </row>
    <row r="45" spans="1:18" x14ac:dyDescent="0.2">
      <c r="A45" s="153">
        <v>43</v>
      </c>
      <c r="G45" s="189">
        <f t="shared" si="2"/>
        <v>3418801</v>
      </c>
      <c r="H45" s="177">
        <f t="shared" si="21"/>
        <v>48600500</v>
      </c>
      <c r="I45" s="255"/>
      <c r="J45" s="189">
        <f t="shared" si="4"/>
        <v>41451949583.611771</v>
      </c>
      <c r="K45" s="177">
        <f t="shared" si="22"/>
        <v>1018188.8482742294</v>
      </c>
      <c r="L45" s="177">
        <f t="shared" si="22"/>
        <v>16969.814137903824</v>
      </c>
      <c r="M45" s="167">
        <f t="shared" si="22"/>
        <v>24300250</v>
      </c>
      <c r="N45" s="161">
        <f t="shared" si="22"/>
        <v>24300250</v>
      </c>
      <c r="O45" s="161"/>
      <c r="P45" s="161"/>
      <c r="R45" s="35">
        <f t="shared" si="19"/>
        <v>11.784593151322101</v>
      </c>
    </row>
    <row r="46" spans="1:18" x14ac:dyDescent="0.2">
      <c r="A46" s="153">
        <v>44</v>
      </c>
      <c r="G46" s="189">
        <f t="shared" si="2"/>
        <v>3748096</v>
      </c>
      <c r="H46" s="177">
        <f t="shared" si="21"/>
        <v>48600500</v>
      </c>
      <c r="I46" s="255"/>
      <c r="J46" s="189">
        <f t="shared" si="4"/>
        <v>48132940842.817848</v>
      </c>
      <c r="K46" s="177">
        <f t="shared" si="22"/>
        <v>1018188.8482742294</v>
      </c>
      <c r="L46" s="177">
        <f t="shared" si="22"/>
        <v>16969.814137903824</v>
      </c>
      <c r="M46" s="167">
        <f t="shared" si="22"/>
        <v>24300250</v>
      </c>
      <c r="N46" s="161">
        <f t="shared" si="22"/>
        <v>24300250</v>
      </c>
      <c r="O46" s="161"/>
      <c r="P46" s="161"/>
      <c r="R46" s="35">
        <f t="shared" si="19"/>
        <v>11.784593151322101</v>
      </c>
    </row>
    <row r="47" spans="1:18" x14ac:dyDescent="0.2">
      <c r="A47" s="157">
        <v>45</v>
      </c>
      <c r="G47" s="191">
        <f t="shared" si="2"/>
        <v>4100625</v>
      </c>
      <c r="H47" s="178">
        <f t="shared" si="21"/>
        <v>48600500</v>
      </c>
      <c r="I47" s="256"/>
      <c r="J47" s="191">
        <f t="shared" si="4"/>
        <v>55703353220.177986</v>
      </c>
      <c r="K47" s="178">
        <f t="shared" si="22"/>
        <v>1018188.8482742294</v>
      </c>
      <c r="L47" s="178">
        <f t="shared" si="22"/>
        <v>16969.814137903824</v>
      </c>
      <c r="M47" s="169">
        <f t="shared" si="22"/>
        <v>24300250</v>
      </c>
      <c r="N47" s="163">
        <f t="shared" si="22"/>
        <v>24300250</v>
      </c>
      <c r="O47" s="163"/>
      <c r="P47" s="163"/>
      <c r="Q47" s="199"/>
      <c r="R47" s="35">
        <f t="shared" si="19"/>
        <v>11.784593151322101</v>
      </c>
    </row>
    <row r="48" spans="1:18" x14ac:dyDescent="0.2">
      <c r="A48" s="153">
        <v>46</v>
      </c>
      <c r="G48" s="189">
        <f t="shared" si="2"/>
        <v>4477456</v>
      </c>
      <c r="H48" s="177">
        <f t="shared" si="21"/>
        <v>48600500</v>
      </c>
      <c r="I48" s="254">
        <f t="shared" ref="I48" si="25">I43</f>
        <v>40500000</v>
      </c>
      <c r="J48" s="189">
        <f t="shared" si="4"/>
        <v>64257807906.771545</v>
      </c>
      <c r="K48" s="177">
        <f t="shared" si="22"/>
        <v>1018188.8482742294</v>
      </c>
      <c r="L48" s="177">
        <f t="shared" si="22"/>
        <v>16969.814137903824</v>
      </c>
      <c r="M48" s="167">
        <f t="shared" si="22"/>
        <v>24300250</v>
      </c>
      <c r="N48" s="161">
        <f t="shared" si="22"/>
        <v>24300250</v>
      </c>
      <c r="O48" s="161"/>
      <c r="P48" s="161"/>
      <c r="R48" s="35">
        <f t="shared" si="19"/>
        <v>11.784593151322101</v>
      </c>
    </row>
    <row r="49" spans="1:18" x14ac:dyDescent="0.2">
      <c r="A49" s="153">
        <v>47</v>
      </c>
      <c r="G49" s="189">
        <f t="shared" si="2"/>
        <v>4879681</v>
      </c>
      <c r="H49" s="177">
        <f t="shared" si="21"/>
        <v>48600500</v>
      </c>
      <c r="I49" s="255"/>
      <c r="J49" s="189">
        <f t="shared" si="4"/>
        <v>73898577158.97226</v>
      </c>
      <c r="K49" s="177">
        <f t="shared" si="22"/>
        <v>1018188.8482742294</v>
      </c>
      <c r="L49" s="177">
        <f t="shared" si="22"/>
        <v>16969.814137903824</v>
      </c>
      <c r="M49" s="167">
        <f t="shared" si="22"/>
        <v>24300250</v>
      </c>
      <c r="N49" s="161">
        <f t="shared" si="22"/>
        <v>24300250</v>
      </c>
      <c r="O49" s="161"/>
      <c r="P49" s="161"/>
      <c r="R49" s="35">
        <f t="shared" si="19"/>
        <v>11.784593151322101</v>
      </c>
    </row>
    <row r="50" spans="1:18" x14ac:dyDescent="0.2">
      <c r="A50" s="153">
        <v>48</v>
      </c>
      <c r="G50" s="189">
        <f t="shared" si="2"/>
        <v>5308416</v>
      </c>
      <c r="H50" s="177">
        <f t="shared" si="21"/>
        <v>48600500</v>
      </c>
      <c r="I50" s="255"/>
      <c r="J50" s="189">
        <f t="shared" si="4"/>
        <v>84736016360.86174</v>
      </c>
      <c r="K50" s="177">
        <f t="shared" si="22"/>
        <v>1018188.8482742294</v>
      </c>
      <c r="L50" s="177">
        <f t="shared" si="22"/>
        <v>16969.814137903824</v>
      </c>
      <c r="M50" s="167">
        <f t="shared" si="22"/>
        <v>24300250</v>
      </c>
      <c r="N50" s="161">
        <f t="shared" si="22"/>
        <v>24300250</v>
      </c>
      <c r="O50" s="161"/>
      <c r="P50" s="161"/>
      <c r="R50" s="35">
        <f t="shared" si="19"/>
        <v>11.784593151322101</v>
      </c>
    </row>
    <row r="51" spans="1:18" x14ac:dyDescent="0.2">
      <c r="A51" s="153">
        <v>49</v>
      </c>
      <c r="G51" s="189">
        <f t="shared" si="2"/>
        <v>5764801</v>
      </c>
      <c r="H51" s="177">
        <f t="shared" si="21"/>
        <v>48600500</v>
      </c>
      <c r="I51" s="255"/>
      <c r="J51" s="189">
        <f t="shared" si="4"/>
        <v>96889010407.000015</v>
      </c>
      <c r="K51" s="177">
        <f t="shared" si="22"/>
        <v>1018188.8482742294</v>
      </c>
      <c r="L51" s="177">
        <f t="shared" si="22"/>
        <v>16969.814137903824</v>
      </c>
      <c r="M51" s="167">
        <f t="shared" si="22"/>
        <v>24300250</v>
      </c>
      <c r="N51" s="161">
        <f t="shared" si="22"/>
        <v>24300250</v>
      </c>
      <c r="O51" s="161"/>
      <c r="P51" s="161"/>
      <c r="R51" s="35">
        <f t="shared" si="19"/>
        <v>11.784593151322101</v>
      </c>
    </row>
    <row r="52" spans="1:18" ht="12" thickBot="1" x14ac:dyDescent="0.25">
      <c r="A52" s="154">
        <v>50</v>
      </c>
      <c r="G52" s="192">
        <f t="shared" si="2"/>
        <v>6250000</v>
      </c>
      <c r="H52" s="180">
        <f t="shared" si="21"/>
        <v>48600500</v>
      </c>
      <c r="I52" s="257"/>
      <c r="J52" s="192">
        <f t="shared" si="4"/>
        <v>110485434560.3979</v>
      </c>
      <c r="K52" s="180">
        <f t="shared" si="22"/>
        <v>1018188.8482742294</v>
      </c>
      <c r="L52" s="180">
        <f t="shared" si="22"/>
        <v>16969.814137903824</v>
      </c>
      <c r="M52" s="170">
        <f t="shared" si="22"/>
        <v>24300250</v>
      </c>
      <c r="N52" s="164">
        <f t="shared" si="22"/>
        <v>24300250</v>
      </c>
      <c r="O52" s="164"/>
      <c r="P52" s="164"/>
      <c r="Q52" s="200"/>
      <c r="R52" s="35">
        <f t="shared" si="19"/>
        <v>11.784593151322101</v>
      </c>
    </row>
    <row r="53" spans="1:18" ht="12" thickTop="1" x14ac:dyDescent="0.2">
      <c r="A53" s="155">
        <v>51</v>
      </c>
      <c r="G53" s="188">
        <f t="shared" si="2"/>
        <v>6765201</v>
      </c>
      <c r="H53" s="183">
        <f t="shared" si="21"/>
        <v>48600500</v>
      </c>
      <c r="I53" s="258">
        <f t="shared" ref="I53" si="26">I48</f>
        <v>40500000</v>
      </c>
      <c r="J53" s="188">
        <f t="shared" si="4"/>
        <v>125662629938.88303</v>
      </c>
      <c r="K53" s="183">
        <f t="shared" si="22"/>
        <v>1018188.8482742294</v>
      </c>
      <c r="L53" s="183">
        <f t="shared" si="22"/>
        <v>16969.814137903824</v>
      </c>
      <c r="M53" s="166">
        <f t="shared" si="22"/>
        <v>24300250</v>
      </c>
      <c r="N53" s="160">
        <f t="shared" si="22"/>
        <v>24300250</v>
      </c>
      <c r="O53" s="160"/>
      <c r="P53" s="160"/>
      <c r="Q53" s="197"/>
      <c r="R53" s="35">
        <f t="shared" si="19"/>
        <v>11.784593151322101</v>
      </c>
    </row>
    <row r="54" spans="1:18" x14ac:dyDescent="0.2">
      <c r="A54" s="153">
        <v>52</v>
      </c>
      <c r="G54" s="189">
        <f t="shared" si="2"/>
        <v>7311616</v>
      </c>
      <c r="H54" s="177">
        <f t="shared" si="21"/>
        <v>48600500</v>
      </c>
      <c r="I54" s="255"/>
      <c r="J54" s="189">
        <f t="shared" si="4"/>
        <v>142567893781.47174</v>
      </c>
      <c r="K54" s="177">
        <f t="shared" si="22"/>
        <v>1018188.8482742294</v>
      </c>
      <c r="L54" s="177">
        <f t="shared" si="22"/>
        <v>16969.814137903824</v>
      </c>
      <c r="M54" s="167">
        <f t="shared" si="22"/>
        <v>24300250</v>
      </c>
      <c r="N54" s="161">
        <f t="shared" si="22"/>
        <v>24300250</v>
      </c>
      <c r="O54" s="161"/>
      <c r="P54" s="161"/>
      <c r="R54" s="35">
        <f t="shared" si="19"/>
        <v>11.784593151322101</v>
      </c>
    </row>
    <row r="55" spans="1:18" x14ac:dyDescent="0.2">
      <c r="A55" s="153">
        <v>53</v>
      </c>
      <c r="G55" s="189">
        <f t="shared" si="2"/>
        <v>7890481</v>
      </c>
      <c r="H55" s="177">
        <f t="shared" si="21"/>
        <v>48600500</v>
      </c>
      <c r="I55" s="255"/>
      <c r="J55" s="189">
        <f t="shared" si="4"/>
        <v>161358984644.81778</v>
      </c>
      <c r="K55" s="177">
        <f t="shared" si="22"/>
        <v>1018188.8482742294</v>
      </c>
      <c r="L55" s="177">
        <f t="shared" si="22"/>
        <v>16969.814137903824</v>
      </c>
      <c r="M55" s="167">
        <f t="shared" si="22"/>
        <v>24300250</v>
      </c>
      <c r="N55" s="161">
        <f t="shared" si="22"/>
        <v>24300250</v>
      </c>
      <c r="O55" s="161"/>
      <c r="P55" s="161"/>
      <c r="R55" s="35">
        <f t="shared" si="19"/>
        <v>11.784593151322101</v>
      </c>
    </row>
    <row r="56" spans="1:18" x14ac:dyDescent="0.2">
      <c r="A56" s="153">
        <v>54</v>
      </c>
      <c r="G56" s="189">
        <f t="shared" si="2"/>
        <v>8503056</v>
      </c>
      <c r="H56" s="177">
        <f t="shared" si="21"/>
        <v>48600500</v>
      </c>
      <c r="I56" s="255"/>
      <c r="J56" s="189">
        <f t="shared" si="4"/>
        <v>182204642678.31259</v>
      </c>
      <c r="K56" s="177">
        <f t="shared" si="22"/>
        <v>1018188.8482742294</v>
      </c>
      <c r="L56" s="177">
        <f t="shared" si="22"/>
        <v>16969.814137903824</v>
      </c>
      <c r="M56" s="167">
        <f t="shared" si="22"/>
        <v>24300250</v>
      </c>
      <c r="N56" s="161">
        <f t="shared" si="22"/>
        <v>24300250</v>
      </c>
      <c r="O56" s="161"/>
      <c r="P56" s="161"/>
      <c r="R56" s="35">
        <f t="shared" si="19"/>
        <v>11.784593151322101</v>
      </c>
    </row>
    <row r="57" spans="1:18" x14ac:dyDescent="0.2">
      <c r="A57" s="153">
        <v>55</v>
      </c>
      <c r="G57" s="189">
        <f t="shared" si="2"/>
        <v>9150625</v>
      </c>
      <c r="H57" s="177">
        <f t="shared" si="21"/>
        <v>48600500</v>
      </c>
      <c r="I57" s="256"/>
      <c r="J57" s="189">
        <f t="shared" si="4"/>
        <v>205285125124.96417</v>
      </c>
      <c r="K57" s="177">
        <f t="shared" si="22"/>
        <v>1018188.8482742294</v>
      </c>
      <c r="L57" s="177">
        <f t="shared" si="22"/>
        <v>16969.814137903824</v>
      </c>
      <c r="M57" s="167">
        <f t="shared" si="22"/>
        <v>24300250</v>
      </c>
      <c r="N57" s="161">
        <f t="shared" si="22"/>
        <v>24300250</v>
      </c>
      <c r="O57" s="161"/>
      <c r="P57" s="161"/>
      <c r="R57" s="35">
        <f t="shared" si="19"/>
        <v>11.784593151322101</v>
      </c>
    </row>
    <row r="58" spans="1:18" x14ac:dyDescent="0.2">
      <c r="A58" s="156">
        <v>56</v>
      </c>
      <c r="G58" s="190">
        <f t="shared" si="2"/>
        <v>9834496</v>
      </c>
      <c r="H58" s="179">
        <f t="shared" si="21"/>
        <v>48600500</v>
      </c>
      <c r="I58" s="254">
        <f t="shared" ref="I58" si="27">I53</f>
        <v>40500000</v>
      </c>
      <c r="J58" s="190">
        <f t="shared" si="4"/>
        <v>230792757193.77216</v>
      </c>
      <c r="K58" s="179">
        <f t="shared" si="22"/>
        <v>1018188.8482742294</v>
      </c>
      <c r="L58" s="179">
        <f t="shared" si="22"/>
        <v>16969.814137903824</v>
      </c>
      <c r="M58" s="168">
        <f t="shared" si="22"/>
        <v>24300250</v>
      </c>
      <c r="N58" s="162">
        <f t="shared" si="22"/>
        <v>24300250</v>
      </c>
      <c r="O58" s="156"/>
      <c r="P58" s="162"/>
      <c r="Q58" s="198"/>
      <c r="R58" s="35">
        <f t="shared" si="19"/>
        <v>11.784593151322101</v>
      </c>
    </row>
    <row r="59" spans="1:18" x14ac:dyDescent="0.2">
      <c r="A59" s="153">
        <v>57</v>
      </c>
      <c r="G59" s="189">
        <f t="shared" si="2"/>
        <v>10556001</v>
      </c>
      <c r="H59" s="177">
        <f t="shared" si="21"/>
        <v>48600500</v>
      </c>
      <c r="I59" s="255"/>
      <c r="J59" s="189">
        <f t="shared" si="4"/>
        <v>258932498447.94751</v>
      </c>
      <c r="K59" s="177">
        <f t="shared" si="22"/>
        <v>1018188.8482742294</v>
      </c>
      <c r="L59" s="177">
        <f t="shared" si="22"/>
        <v>16969.814137903824</v>
      </c>
      <c r="M59" s="167">
        <f t="shared" si="22"/>
        <v>24300250</v>
      </c>
      <c r="N59" s="161">
        <f t="shared" si="22"/>
        <v>24300250</v>
      </c>
      <c r="O59" s="153"/>
      <c r="P59" s="161"/>
      <c r="R59" s="35">
        <f t="shared" si="19"/>
        <v>11.784593151322101</v>
      </c>
    </row>
    <row r="60" spans="1:18" x14ac:dyDescent="0.2">
      <c r="A60" s="153">
        <v>58</v>
      </c>
      <c r="G60" s="189">
        <f t="shared" si="2"/>
        <v>11316496</v>
      </c>
      <c r="H60" s="177">
        <f t="shared" si="21"/>
        <v>48600500</v>
      </c>
      <c r="I60" s="255"/>
      <c r="J60" s="189">
        <f t="shared" si="4"/>
        <v>289922524851.99652</v>
      </c>
      <c r="K60" s="177">
        <f t="shared" si="22"/>
        <v>1018188.8482742294</v>
      </c>
      <c r="L60" s="177">
        <f t="shared" si="22"/>
        <v>16969.814137903824</v>
      </c>
      <c r="M60" s="167">
        <f t="shared" si="22"/>
        <v>24300250</v>
      </c>
      <c r="N60" s="161">
        <f t="shared" si="22"/>
        <v>24300250</v>
      </c>
      <c r="O60" s="153"/>
      <c r="P60" s="161"/>
      <c r="R60" s="35">
        <f t="shared" si="19"/>
        <v>11.784593151322101</v>
      </c>
    </row>
    <row r="61" spans="1:18" x14ac:dyDescent="0.2">
      <c r="A61" s="153">
        <v>59</v>
      </c>
      <c r="G61" s="189">
        <f t="shared" si="2"/>
        <v>12117361</v>
      </c>
      <c r="H61" s="177">
        <f t="shared" si="21"/>
        <v>48600500</v>
      </c>
      <c r="I61" s="255"/>
      <c r="J61" s="189">
        <f t="shared" si="4"/>
        <v>323994826619.39691</v>
      </c>
      <c r="K61" s="177">
        <f t="shared" si="22"/>
        <v>1018188.8482742294</v>
      </c>
      <c r="L61" s="177">
        <f t="shared" si="22"/>
        <v>16969.814137903824</v>
      </c>
      <c r="M61" s="167">
        <f t="shared" si="22"/>
        <v>24300250</v>
      </c>
      <c r="N61" s="161">
        <f t="shared" si="22"/>
        <v>24300250</v>
      </c>
      <c r="O61" s="153"/>
      <c r="P61" s="161"/>
      <c r="R61" s="35">
        <f t="shared" si="19"/>
        <v>11.784593151322101</v>
      </c>
    </row>
    <row r="62" spans="1:18" x14ac:dyDescent="0.2">
      <c r="A62" s="157">
        <v>60</v>
      </c>
      <c r="G62" s="191">
        <f t="shared" si="2"/>
        <v>12960000</v>
      </c>
      <c r="H62" s="178">
        <f t="shared" si="21"/>
        <v>48600500</v>
      </c>
      <c r="I62" s="256"/>
      <c r="J62" s="191">
        <f t="shared" si="4"/>
        <v>361395822001.30603</v>
      </c>
      <c r="K62" s="178">
        <f t="shared" si="22"/>
        <v>1018188.8482742294</v>
      </c>
      <c r="L62" s="178">
        <f t="shared" si="22"/>
        <v>16969.814137903824</v>
      </c>
      <c r="M62" s="169">
        <f t="shared" si="22"/>
        <v>24300250</v>
      </c>
      <c r="N62" s="163">
        <f t="shared" si="22"/>
        <v>24300250</v>
      </c>
      <c r="O62" s="157"/>
      <c r="P62" s="163"/>
      <c r="Q62" s="199"/>
      <c r="R62" s="35">
        <f t="shared" si="19"/>
        <v>11.784593151322101</v>
      </c>
    </row>
    <row r="63" spans="1:18" x14ac:dyDescent="0.2">
      <c r="A63" s="153">
        <v>61</v>
      </c>
      <c r="G63" s="189">
        <f t="shared" si="2"/>
        <v>13845841</v>
      </c>
      <c r="H63" s="177">
        <f t="shared" si="21"/>
        <v>48600500</v>
      </c>
      <c r="I63" s="254">
        <f t="shared" ref="I63" si="28">I58</f>
        <v>40500000</v>
      </c>
      <c r="J63" s="189">
        <f t="shared" si="4"/>
        <v>402386987155.58984</v>
      </c>
      <c r="K63" s="177">
        <f t="shared" si="22"/>
        <v>1018188.8482742294</v>
      </c>
      <c r="L63" s="177">
        <f t="shared" si="22"/>
        <v>16969.814137903824</v>
      </c>
      <c r="M63" s="167">
        <f t="shared" si="22"/>
        <v>24300250</v>
      </c>
      <c r="N63" s="161">
        <f t="shared" si="22"/>
        <v>24300250</v>
      </c>
      <c r="O63" s="162"/>
      <c r="P63" s="161"/>
      <c r="R63" s="35">
        <f t="shared" si="19"/>
        <v>11.784593151322101</v>
      </c>
    </row>
    <row r="64" spans="1:18" x14ac:dyDescent="0.2">
      <c r="A64" s="153">
        <v>62</v>
      </c>
      <c r="G64" s="189">
        <f t="shared" si="2"/>
        <v>14776336</v>
      </c>
      <c r="H64" s="177">
        <f t="shared" si="21"/>
        <v>48600500</v>
      </c>
      <c r="I64" s="255"/>
      <c r="J64" s="189">
        <f t="shared" si="4"/>
        <v>447245502234.1424</v>
      </c>
      <c r="K64" s="177">
        <f t="shared" si="22"/>
        <v>1018188.8482742294</v>
      </c>
      <c r="L64" s="177">
        <f t="shared" si="22"/>
        <v>16969.814137903824</v>
      </c>
      <c r="M64" s="167">
        <f t="shared" si="22"/>
        <v>24300250</v>
      </c>
      <c r="N64" s="161">
        <f t="shared" si="22"/>
        <v>24300250</v>
      </c>
      <c r="O64" s="161"/>
      <c r="P64" s="161"/>
      <c r="R64" s="35">
        <f t="shared" si="19"/>
        <v>11.784593151322101</v>
      </c>
    </row>
    <row r="65" spans="1:18" x14ac:dyDescent="0.2">
      <c r="A65" s="153">
        <v>63</v>
      </c>
      <c r="G65" s="189">
        <f t="shared" si="2"/>
        <v>15752961</v>
      </c>
      <c r="H65" s="177">
        <f t="shared" si="21"/>
        <v>48600500</v>
      </c>
      <c r="I65" s="255"/>
      <c r="J65" s="189">
        <f t="shared" si="4"/>
        <v>496264913825.43457</v>
      </c>
      <c r="K65" s="177">
        <f t="shared" si="22"/>
        <v>1018188.8482742294</v>
      </c>
      <c r="L65" s="177">
        <f t="shared" si="22"/>
        <v>16969.814137903824</v>
      </c>
      <c r="M65" s="167">
        <f t="shared" si="22"/>
        <v>24300250</v>
      </c>
      <c r="N65" s="161">
        <f t="shared" si="22"/>
        <v>24300250</v>
      </c>
      <c r="O65" s="161"/>
      <c r="P65" s="161"/>
      <c r="R65" s="35">
        <f t="shared" si="19"/>
        <v>11.784593151322101</v>
      </c>
    </row>
    <row r="66" spans="1:18" x14ac:dyDescent="0.2">
      <c r="A66" s="153">
        <v>64</v>
      </c>
      <c r="G66" s="189">
        <f t="shared" si="2"/>
        <v>16777216</v>
      </c>
      <c r="H66" s="177">
        <f t="shared" si="21"/>
        <v>48600500</v>
      </c>
      <c r="I66" s="255"/>
      <c r="J66" s="189">
        <f t="shared" si="4"/>
        <v>549755813887.99896</v>
      </c>
      <c r="K66" s="177">
        <f t="shared" si="22"/>
        <v>1018188.8482742294</v>
      </c>
      <c r="L66" s="177">
        <f t="shared" si="22"/>
        <v>16969.814137903824</v>
      </c>
      <c r="M66" s="167">
        <f t="shared" si="22"/>
        <v>24300250</v>
      </c>
      <c r="N66" s="161">
        <f t="shared" si="22"/>
        <v>24300250</v>
      </c>
      <c r="O66" s="161"/>
      <c r="P66" s="161"/>
      <c r="R66" s="35">
        <f t="shared" si="19"/>
        <v>11.784593151322101</v>
      </c>
    </row>
    <row r="67" spans="1:18" x14ac:dyDescent="0.2">
      <c r="A67" s="153">
        <v>65</v>
      </c>
      <c r="G67" s="189">
        <f t="shared" ref="G67:G77" si="29">POWER($A67,$T$5)</f>
        <v>17850625</v>
      </c>
      <c r="H67" s="177">
        <f t="shared" si="21"/>
        <v>48600500</v>
      </c>
      <c r="I67" s="256"/>
      <c r="J67" s="189">
        <f t="shared" si="4"/>
        <v>608046535309.4856</v>
      </c>
      <c r="K67" s="177">
        <f t="shared" si="22"/>
        <v>1018188.8482742294</v>
      </c>
      <c r="L67" s="177">
        <f t="shared" si="22"/>
        <v>16969.814137903824</v>
      </c>
      <c r="M67" s="167">
        <f t="shared" si="22"/>
        <v>24300250</v>
      </c>
      <c r="N67" s="161">
        <f t="shared" si="22"/>
        <v>24300250</v>
      </c>
      <c r="O67" s="163"/>
      <c r="P67" s="161"/>
      <c r="R67" s="35">
        <f t="shared" si="19"/>
        <v>11.784593151322101</v>
      </c>
    </row>
    <row r="68" spans="1:18" x14ac:dyDescent="0.2">
      <c r="A68" s="156">
        <v>66</v>
      </c>
      <c r="G68" s="190">
        <f t="shared" si="29"/>
        <v>18974736</v>
      </c>
      <c r="H68" s="179">
        <f t="shared" si="21"/>
        <v>48600500</v>
      </c>
      <c r="I68" s="254">
        <f t="shared" ref="I68" si="30">I63</f>
        <v>40500000</v>
      </c>
      <c r="J68" s="190">
        <f t="shared" ref="J68:J77" si="31">POWER($A68,$T$9)</f>
        <v>671483864224.84412</v>
      </c>
      <c r="K68" s="179">
        <f t="shared" si="22"/>
        <v>1018188.8482742294</v>
      </c>
      <c r="L68" s="179">
        <f t="shared" si="22"/>
        <v>16969.814137903824</v>
      </c>
      <c r="M68" s="168">
        <f t="shared" si="22"/>
        <v>24300250</v>
      </c>
      <c r="N68" s="162">
        <f t="shared" si="22"/>
        <v>24300250</v>
      </c>
      <c r="O68" s="162"/>
      <c r="P68" s="162"/>
      <c r="Q68" s="198"/>
      <c r="R68" s="35">
        <f t="shared" si="19"/>
        <v>11.784593151322101</v>
      </c>
    </row>
    <row r="69" spans="1:18" x14ac:dyDescent="0.2">
      <c r="A69" s="153">
        <v>67</v>
      </c>
      <c r="G69" s="189">
        <f t="shared" si="29"/>
        <v>20151121</v>
      </c>
      <c r="H69" s="177">
        <f t="shared" si="21"/>
        <v>48600500</v>
      </c>
      <c r="I69" s="255"/>
      <c r="J69" s="189">
        <f t="shared" si="31"/>
        <v>740433769226.11963</v>
      </c>
      <c r="K69" s="177">
        <f t="shared" si="22"/>
        <v>1018188.8482742294</v>
      </c>
      <c r="L69" s="177">
        <f t="shared" si="22"/>
        <v>16969.814137903824</v>
      </c>
      <c r="M69" s="167">
        <f t="shared" si="22"/>
        <v>24300250</v>
      </c>
      <c r="N69" s="161">
        <f t="shared" si="22"/>
        <v>24300250</v>
      </c>
      <c r="O69" s="161"/>
      <c r="P69" s="161"/>
      <c r="R69" s="35">
        <f t="shared" si="19"/>
        <v>11.784593151322101</v>
      </c>
    </row>
    <row r="70" spans="1:18" x14ac:dyDescent="0.2">
      <c r="A70" s="153">
        <v>68</v>
      </c>
      <c r="G70" s="189">
        <f t="shared" si="29"/>
        <v>21381376</v>
      </c>
      <c r="H70" s="177">
        <f t="shared" si="21"/>
        <v>48600500</v>
      </c>
      <c r="I70" s="255"/>
      <c r="J70" s="189">
        <f t="shared" si="31"/>
        <v>815282147595.34387</v>
      </c>
      <c r="K70" s="177">
        <f t="shared" si="22"/>
        <v>1018188.8482742294</v>
      </c>
      <c r="L70" s="177">
        <f t="shared" si="22"/>
        <v>16969.814137903824</v>
      </c>
      <c r="M70" s="167">
        <f t="shared" si="22"/>
        <v>24300250</v>
      </c>
      <c r="N70" s="161">
        <f t="shared" si="22"/>
        <v>24300250</v>
      </c>
      <c r="O70" s="161"/>
      <c r="P70" s="161"/>
      <c r="R70" s="35">
        <f t="shared" si="19"/>
        <v>11.784593151322101</v>
      </c>
    </row>
    <row r="71" spans="1:18" x14ac:dyDescent="0.2">
      <c r="A71" s="153">
        <v>69</v>
      </c>
      <c r="G71" s="189">
        <f t="shared" si="29"/>
        <v>22667121</v>
      </c>
      <c r="H71" s="177">
        <f t="shared" si="21"/>
        <v>48600500</v>
      </c>
      <c r="I71" s="255"/>
      <c r="J71" s="189">
        <f t="shared" si="31"/>
        <v>896435588690.92114</v>
      </c>
      <c r="K71" s="177">
        <f t="shared" si="22"/>
        <v>1018188.8482742294</v>
      </c>
      <c r="L71" s="177">
        <f t="shared" si="22"/>
        <v>16969.814137903824</v>
      </c>
      <c r="M71" s="167">
        <f t="shared" si="22"/>
        <v>24300250</v>
      </c>
      <c r="N71" s="161">
        <f t="shared" si="22"/>
        <v>24300250</v>
      </c>
      <c r="O71" s="161"/>
      <c r="P71" s="161"/>
      <c r="R71" s="35">
        <f t="shared" si="19"/>
        <v>11.784593151322101</v>
      </c>
    </row>
    <row r="72" spans="1:18" x14ac:dyDescent="0.2">
      <c r="A72" s="157">
        <v>70</v>
      </c>
      <c r="G72" s="191">
        <f t="shared" si="29"/>
        <v>24010000</v>
      </c>
      <c r="H72" s="178">
        <f t="shared" si="21"/>
        <v>48600500</v>
      </c>
      <c r="I72" s="256"/>
      <c r="J72" s="191">
        <f t="shared" si="31"/>
        <v>984322154617.07825</v>
      </c>
      <c r="K72" s="178">
        <f t="shared" si="22"/>
        <v>1018188.8482742294</v>
      </c>
      <c r="L72" s="178">
        <f t="shared" si="22"/>
        <v>16969.814137903824</v>
      </c>
      <c r="M72" s="169">
        <f t="shared" si="22"/>
        <v>24300250</v>
      </c>
      <c r="N72" s="163">
        <f t="shared" si="22"/>
        <v>24300250</v>
      </c>
      <c r="O72" s="163"/>
      <c r="P72" s="163"/>
      <c r="Q72" s="199"/>
      <c r="R72" s="35">
        <f t="shared" si="19"/>
        <v>11.784593151322101</v>
      </c>
    </row>
    <row r="73" spans="1:18" x14ac:dyDescent="0.2">
      <c r="A73" s="153">
        <v>71</v>
      </c>
      <c r="G73" s="189">
        <f t="shared" si="29"/>
        <v>25411681</v>
      </c>
      <c r="H73" s="177">
        <f t="shared" si="21"/>
        <v>48600500</v>
      </c>
      <c r="I73" s="254">
        <f t="shared" ref="I73" si="32">I68</f>
        <v>40500000</v>
      </c>
      <c r="J73" s="189">
        <f t="shared" si="31"/>
        <v>1079392178304.7629</v>
      </c>
      <c r="K73" s="177">
        <f t="shared" si="22"/>
        <v>1018188.8482742294</v>
      </c>
      <c r="L73" s="177">
        <f t="shared" si="22"/>
        <v>16969.814137903824</v>
      </c>
      <c r="M73" s="167">
        <f t="shared" si="22"/>
        <v>24300250</v>
      </c>
      <c r="N73" s="161">
        <f t="shared" si="22"/>
        <v>24300250</v>
      </c>
      <c r="O73" s="161"/>
      <c r="P73" s="161"/>
      <c r="R73" s="35">
        <f t="shared" si="19"/>
        <v>11.784593151322101</v>
      </c>
    </row>
    <row r="74" spans="1:18" x14ac:dyDescent="0.2">
      <c r="A74" s="153">
        <v>72</v>
      </c>
      <c r="G74" s="189">
        <f t="shared" si="29"/>
        <v>26873856</v>
      </c>
      <c r="H74" s="177">
        <f t="shared" si="21"/>
        <v>48600500</v>
      </c>
      <c r="I74" s="255"/>
      <c r="J74" s="189">
        <f t="shared" si="31"/>
        <v>1182119079131.6672</v>
      </c>
      <c r="K74" s="177">
        <f t="shared" si="22"/>
        <v>1018188.8482742294</v>
      </c>
      <c r="L74" s="177">
        <f t="shared" si="22"/>
        <v>16969.814137903824</v>
      </c>
      <c r="M74" s="167">
        <f t="shared" si="22"/>
        <v>24300250</v>
      </c>
      <c r="N74" s="161">
        <f t="shared" si="22"/>
        <v>24300250</v>
      </c>
      <c r="O74" s="161"/>
      <c r="P74" s="161"/>
      <c r="R74" s="35">
        <f t="shared" si="19"/>
        <v>11.784593151322101</v>
      </c>
    </row>
    <row r="75" spans="1:18" x14ac:dyDescent="0.2">
      <c r="A75" s="153">
        <v>73</v>
      </c>
      <c r="G75" s="189">
        <f t="shared" si="29"/>
        <v>28398241</v>
      </c>
      <c r="H75" s="177">
        <f t="shared" si="21"/>
        <v>48600500</v>
      </c>
      <c r="I75" s="255"/>
      <c r="J75" s="189">
        <f t="shared" si="31"/>
        <v>1293000196207.9465</v>
      </c>
      <c r="K75" s="177">
        <f t="shared" si="22"/>
        <v>1018188.8482742294</v>
      </c>
      <c r="L75" s="177">
        <f t="shared" si="22"/>
        <v>16969.814137903824</v>
      </c>
      <c r="M75" s="167">
        <f t="shared" si="22"/>
        <v>24300250</v>
      </c>
      <c r="N75" s="161">
        <f t="shared" si="22"/>
        <v>24300250</v>
      </c>
      <c r="O75" s="161"/>
      <c r="P75" s="161"/>
      <c r="R75" s="35">
        <f t="shared" si="19"/>
        <v>11.784593151322101</v>
      </c>
    </row>
    <row r="76" spans="1:18" x14ac:dyDescent="0.2">
      <c r="A76" s="153">
        <v>74</v>
      </c>
      <c r="G76" s="189">
        <f t="shared" si="29"/>
        <v>29986576</v>
      </c>
      <c r="H76" s="177">
        <f t="shared" si="21"/>
        <v>48600500</v>
      </c>
      <c r="I76" s="255"/>
      <c r="J76" s="189">
        <f t="shared" si="31"/>
        <v>1412557639453.395</v>
      </c>
      <c r="K76" s="177">
        <f t="shared" si="22"/>
        <v>1018188.8482742294</v>
      </c>
      <c r="L76" s="177">
        <f t="shared" si="22"/>
        <v>16969.814137903824</v>
      </c>
      <c r="M76" s="167">
        <f t="shared" si="22"/>
        <v>24300250</v>
      </c>
      <c r="N76" s="161">
        <f t="shared" si="22"/>
        <v>24300250</v>
      </c>
      <c r="O76" s="161"/>
      <c r="P76" s="161"/>
      <c r="R76" s="35">
        <f t="shared" si="19"/>
        <v>11.784593151322101</v>
      </c>
    </row>
    <row r="77" spans="1:18" ht="12" thickBot="1" x14ac:dyDescent="0.25">
      <c r="A77" s="154">
        <v>75</v>
      </c>
      <c r="G77" s="192">
        <f t="shared" si="29"/>
        <v>31640625</v>
      </c>
      <c r="H77" s="180">
        <f t="shared" si="21"/>
        <v>48600500</v>
      </c>
      <c r="I77" s="257"/>
      <c r="J77" s="192">
        <f t="shared" si="31"/>
        <v>1541339158590.9561</v>
      </c>
      <c r="K77" s="180">
        <f t="shared" si="22"/>
        <v>1018188.8482742294</v>
      </c>
      <c r="L77" s="180">
        <f t="shared" si="22"/>
        <v>16969.814137903824</v>
      </c>
      <c r="M77" s="170">
        <f t="shared" si="22"/>
        <v>24300250</v>
      </c>
      <c r="N77" s="164">
        <f t="shared" si="22"/>
        <v>24300250</v>
      </c>
      <c r="O77" s="164"/>
      <c r="P77" s="164"/>
      <c r="Q77" s="200"/>
      <c r="R77" s="35">
        <f t="shared" si="19"/>
        <v>11.784593151322101</v>
      </c>
    </row>
    <row r="78" spans="1:18" ht="12" thickTop="1" x14ac:dyDescent="0.2"/>
  </sheetData>
  <mergeCells count="3">
    <mergeCell ref="E37:F37"/>
    <mergeCell ref="E29:F29"/>
    <mergeCell ref="M1:Q1"/>
  </mergeCells>
  <phoneticPr fontId="2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8</vt:i4>
      </vt:variant>
    </vt:vector>
  </HeadingPairs>
  <TitlesOfParts>
    <vt:vector size="18" baseType="lpstr">
      <vt:lpstr>propResearch</vt:lpstr>
      <vt:lpstr>특성연구</vt:lpstr>
      <vt:lpstr>영웅렙업zero</vt:lpstr>
      <vt:lpstr>Sheet1</vt:lpstr>
      <vt:lpstr>부대렙업</vt:lpstr>
      <vt:lpstr>스킬렙업</vt:lpstr>
      <vt:lpstr>propUpgrade</vt:lpstr>
      <vt:lpstr>계정 경험치 테이블</vt:lpstr>
      <vt:lpstr>특성연구(Zero)</vt:lpstr>
      <vt:lpstr>영웅렙업zero (2)</vt:lpstr>
      <vt:lpstr>'영웅렙업zero (2)'!maxLvAcc</vt:lpstr>
      <vt:lpstr>maxLvAcc</vt:lpstr>
      <vt:lpstr>'영웅렙업zero (2)'!maxLvArmy</vt:lpstr>
      <vt:lpstr>maxLvArmy</vt:lpstr>
      <vt:lpstr>'영웅렙업zero (2)'!maxLvHero</vt:lpstr>
      <vt:lpstr>maxLvHero</vt:lpstr>
      <vt:lpstr>'영웅렙업zero (2)'!maxLvSkill</vt:lpstr>
      <vt:lpstr>maxLvSkill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2015-10-26T11:25:50Z</dcterms:modified>
</cp:coreProperties>
</file>