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Dollar Darwin\"/>
    </mc:Choice>
  </mc:AlternateContent>
  <xr:revisionPtr revIDLastSave="0" documentId="13_ncr:1_{DCFB15F8-B1C3-4E94-8706-3F3768AEACDB}" xr6:coauthVersionLast="45" xr6:coauthVersionMax="45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Appreciation" sheetId="1" r:id="rId1"/>
    <sheet name="Depreciation" sheetId="2" r:id="rId2"/>
    <sheet name="Loan " sheetId="3" r:id="rId3"/>
    <sheet name="Loan Calculations" sheetId="6" r:id="rId4"/>
    <sheet name="Compounding" sheetId="7" r:id="rId5"/>
    <sheet name="Cash Flows" sheetId="5" r:id="rId6"/>
  </sheets>
  <externalReferences>
    <externalReference r:id="rId7"/>
    <externalReference r:id="rId8"/>
  </externalReferences>
  <definedNames>
    <definedName name="duration">[1]Parameters!$B$29</definedName>
    <definedName name="LoanAmount">'Loan '!$F$2</definedName>
    <definedName name="LoanPercent">'Loan '!$E$2</definedName>
    <definedName name="LoanPrincipal">'Loan '!$B$11</definedName>
    <definedName name="LoanRate">'Loan '!$B$8</definedName>
    <definedName name="n">'Loan '!$B$12</definedName>
    <definedName name="Price">[1]Parameters!$B$9</definedName>
    <definedName name="sellChangeRate">[1]Parameters!$B$30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7" l="1"/>
  <c r="C1" i="7" l="1"/>
  <c r="C2" i="7"/>
  <c r="B2" i="7"/>
  <c r="C6" i="7" l="1"/>
  <c r="K4" i="6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3" i="6"/>
  <c r="K2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F24" i="6"/>
  <c r="F20" i="6"/>
  <c r="F16" i="6"/>
  <c r="F12" i="6"/>
  <c r="F8" i="6"/>
  <c r="H25" i="6"/>
  <c r="F25" i="6" s="1"/>
  <c r="H24" i="6"/>
  <c r="H23" i="6"/>
  <c r="F23" i="6" s="1"/>
  <c r="H22" i="6"/>
  <c r="F22" i="6" s="1"/>
  <c r="H21" i="6"/>
  <c r="F21" i="6" s="1"/>
  <c r="H20" i="6"/>
  <c r="H19" i="6"/>
  <c r="F19" i="6" s="1"/>
  <c r="H18" i="6"/>
  <c r="F18" i="6" s="1"/>
  <c r="H17" i="6"/>
  <c r="F17" i="6" s="1"/>
  <c r="H16" i="6"/>
  <c r="H15" i="6"/>
  <c r="F15" i="6" s="1"/>
  <c r="H14" i="6"/>
  <c r="F14" i="6" s="1"/>
  <c r="H13" i="6"/>
  <c r="F13" i="6" s="1"/>
  <c r="H12" i="6"/>
  <c r="H11" i="6"/>
  <c r="F11" i="6" s="1"/>
  <c r="H10" i="6"/>
  <c r="F10" i="6" s="1"/>
  <c r="H9" i="6"/>
  <c r="F9" i="6" s="1"/>
  <c r="H8" i="6"/>
  <c r="H7" i="6"/>
  <c r="F7" i="6" s="1"/>
  <c r="H6" i="6"/>
  <c r="F6" i="6" s="1"/>
  <c r="H5" i="6"/>
  <c r="F5" i="6" s="1"/>
  <c r="H4" i="6"/>
  <c r="H3" i="6"/>
  <c r="H2" i="6"/>
  <c r="F4" i="6"/>
  <c r="F2" i="6"/>
  <c r="B5" i="6"/>
  <c r="B6" i="6" s="1"/>
  <c r="B8" i="6" s="1"/>
  <c r="B9" i="6" s="1"/>
  <c r="F3" i="6" l="1"/>
  <c r="G7" i="6" s="1"/>
  <c r="G2" i="6"/>
  <c r="G4" i="6"/>
  <c r="G3" i="6"/>
  <c r="F6" i="5"/>
  <c r="F5" i="5"/>
  <c r="F4" i="5"/>
  <c r="F3" i="5"/>
  <c r="E6" i="5"/>
  <c r="E5" i="5"/>
  <c r="E4" i="5"/>
  <c r="E3" i="5"/>
  <c r="D6" i="5"/>
  <c r="D5" i="5"/>
  <c r="D4" i="5"/>
  <c r="D3" i="5"/>
  <c r="F2" i="5"/>
  <c r="D2" i="5"/>
  <c r="E2" i="5" s="1"/>
  <c r="B2" i="5"/>
  <c r="C2" i="5"/>
  <c r="G5" i="6" l="1"/>
  <c r="G6" i="6"/>
  <c r="B11" i="3"/>
  <c r="B12" i="3"/>
  <c r="B9" i="3"/>
  <c r="B10" i="3"/>
  <c r="B8" i="3"/>
  <c r="B2" i="3" l="1"/>
  <c r="D2" i="3" s="1"/>
  <c r="A3" i="3" s="1"/>
  <c r="D5" i="1"/>
  <c r="D3" i="1"/>
  <c r="B3" i="2"/>
  <c r="B2" i="2"/>
  <c r="D2" i="2" s="1"/>
  <c r="A4" i="1"/>
  <c r="B3" i="1"/>
  <c r="C4" i="1"/>
  <c r="B4" i="1"/>
  <c r="B2" i="1"/>
  <c r="D2" i="1" s="1"/>
  <c r="A3" i="1" s="1"/>
  <c r="D3" i="3" l="1"/>
  <c r="B3" i="3"/>
  <c r="A3" i="2"/>
  <c r="D3" i="2" s="1"/>
  <c r="D4" i="1"/>
  <c r="B13" i="3" a="1"/>
  <c r="B13" i="3" l="1"/>
  <c r="B14" i="3" s="1"/>
  <c r="B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<sst xmlns="http://schemas.openxmlformats.org/spreadsheetml/2006/main" count="70" uniqueCount="47">
  <si>
    <t>Principal (PV)</t>
  </si>
  <si>
    <t>Period (n)</t>
  </si>
  <si>
    <t>Rate ( R)</t>
  </si>
  <si>
    <t>Interest - Yearly Compunded</t>
  </si>
  <si>
    <t>Round off value is right</t>
  </si>
  <si>
    <t>Remarks</t>
  </si>
  <si>
    <t>Yearly gain? How is it calculated</t>
  </si>
  <si>
    <t>formula is right</t>
  </si>
  <si>
    <t>How is yearly loss determined?</t>
  </si>
  <si>
    <t>Loan %</t>
  </si>
  <si>
    <t>Loan Amount</t>
  </si>
  <si>
    <t>Loan Tenure (years)</t>
  </si>
  <si>
    <t>Loan Rate</t>
  </si>
  <si>
    <t>Monthly EMI</t>
  </si>
  <si>
    <t>Rounded loan amount</t>
  </si>
  <si>
    <t>Monthly loan Rate</t>
  </si>
  <si>
    <t xml:space="preserve"> Number of payments</t>
  </si>
  <si>
    <t>User Input</t>
  </si>
  <si>
    <t>Function Created</t>
  </si>
  <si>
    <t>Total Payment (Principal + Interest)</t>
  </si>
  <si>
    <t>Total Interest Payable</t>
  </si>
  <si>
    <t>How is total Yearly Interest amount calculated?</t>
  </si>
  <si>
    <t>Year</t>
  </si>
  <si>
    <t xml:space="preserve">Loan </t>
  </si>
  <si>
    <t>EMI Monthly</t>
  </si>
  <si>
    <t>Total Yearly EMI</t>
  </si>
  <si>
    <t>Ending Balance</t>
  </si>
  <si>
    <t>Principal To be Paid</t>
  </si>
  <si>
    <t>I did not understand this last one</t>
  </si>
  <si>
    <t>Correct</t>
  </si>
  <si>
    <t>All the calculation are right</t>
  </si>
  <si>
    <t>Value After n Years (FV)</t>
  </si>
  <si>
    <t>Annual Interest Rate</t>
  </si>
  <si>
    <t>Loan Term in years</t>
  </si>
  <si>
    <t>Period</t>
  </si>
  <si>
    <t>EMI</t>
  </si>
  <si>
    <t>NPER</t>
  </si>
  <si>
    <t>Interest</t>
  </si>
  <si>
    <t>Total payment</t>
  </si>
  <si>
    <t>Total Interest</t>
  </si>
  <si>
    <t>Annual Interest</t>
  </si>
  <si>
    <t xml:space="preserve">Remaining </t>
  </si>
  <si>
    <t>Present Value</t>
  </si>
  <si>
    <t>Interest Rate(Annual)</t>
  </si>
  <si>
    <t>Years</t>
  </si>
  <si>
    <t>Periods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</si>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</sst>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2B542C"/>
      <name val="DaxOT-Reg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D4C8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20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5" borderId="16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3" fontId="0" fillId="4" borderId="15" xfId="0" applyNumberFormat="1" applyFill="1" applyBorder="1" applyAlignment="1">
      <alignment horizontal="center" vertical="center"/>
    </xf>
    <xf numFmtId="3" fontId="0" fillId="4" borderId="16" xfId="0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8" fontId="0" fillId="0" borderId="0" xfId="0" applyNumberFormat="1"/>
    <xf numFmtId="0" fontId="0" fillId="0" borderId="12" xfId="0" applyBorder="1"/>
    <xf numFmtId="0" fontId="0" fillId="6" borderId="0" xfId="0" applyFill="1" applyBorder="1"/>
    <xf numFmtId="8" fontId="0" fillId="0" borderId="0" xfId="0" applyNumberFormat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6" borderId="15" xfId="0" applyFill="1" applyBorder="1"/>
    <xf numFmtId="8" fontId="0" fillId="0" borderId="15" xfId="0" applyNumberFormat="1" applyBorder="1"/>
    <xf numFmtId="0" fontId="0" fillId="0" borderId="15" xfId="0" applyBorder="1"/>
    <xf numFmtId="0" fontId="0" fillId="4" borderId="10" xfId="0" applyFill="1" applyBorder="1"/>
    <xf numFmtId="0" fontId="0" fillId="4" borderId="23" xfId="0" applyFill="1" applyBorder="1"/>
    <xf numFmtId="0" fontId="0" fillId="4" borderId="11" xfId="0" applyFill="1" applyBorder="1"/>
    <xf numFmtId="8" fontId="0" fillId="0" borderId="13" xfId="0" applyNumberFormat="1" applyBorder="1"/>
    <xf numFmtId="9" fontId="0" fillId="0" borderId="11" xfId="0" applyNumberFormat="1" applyBorder="1"/>
    <xf numFmtId="8" fontId="0" fillId="0" borderId="16" xfId="0" applyNumberFormat="1" applyBorder="1"/>
    <xf numFmtId="8" fontId="0" fillId="6" borderId="20" xfId="0" applyNumberFormat="1" applyFill="1" applyBorder="1"/>
    <xf numFmtId="0" fontId="0" fillId="6" borderId="21" xfId="0" applyFill="1" applyBorder="1"/>
    <xf numFmtId="0" fontId="0" fillId="0" borderId="21" xfId="0" applyBorder="1"/>
    <xf numFmtId="0" fontId="2" fillId="0" borderId="22" xfId="0" applyFont="1" applyBorder="1"/>
    <xf numFmtId="0" fontId="0" fillId="6" borderId="9" xfId="0" applyFill="1" applyBorder="1"/>
    <xf numFmtId="8" fontId="0" fillId="0" borderId="19" xfId="0" applyNumberFormat="1" applyBorder="1"/>
    <xf numFmtId="0" fontId="0" fillId="3" borderId="10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4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13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ustomXml" Target="../ink/ink6.xml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0" Type="http://schemas.openxmlformats.org/officeDocument/2006/relationships/customXml" Target="../ink/ink5.xml"/><Relationship Id="rId4" Type="http://schemas.openxmlformats.org/officeDocument/2006/relationships/customXml" Target="../ink/ink2.xml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ustomXml" Target="../ink/ink10.xml"/><Relationship Id="rId3" Type="http://schemas.openxmlformats.org/officeDocument/2006/relationships/image" Target="../media/image10.png"/><Relationship Id="rId7" Type="http://schemas.openxmlformats.org/officeDocument/2006/relationships/image" Target="../media/image12.png"/><Relationship Id="rId2" Type="http://schemas.openxmlformats.org/officeDocument/2006/relationships/customXml" Target="../ink/ink7.xml"/><Relationship Id="rId1" Type="http://schemas.openxmlformats.org/officeDocument/2006/relationships/image" Target="../media/image9.png"/><Relationship Id="rId6" Type="http://schemas.openxmlformats.org/officeDocument/2006/relationships/customXml" Target="../ink/ink9.xml"/><Relationship Id="rId11" Type="http://schemas.openxmlformats.org/officeDocument/2006/relationships/image" Target="../media/image14.png"/><Relationship Id="rId5" Type="http://schemas.openxmlformats.org/officeDocument/2006/relationships/image" Target="../media/image11.png"/><Relationship Id="rId10" Type="http://schemas.openxmlformats.org/officeDocument/2006/relationships/customXml" Target="../ink/ink11.xml"/><Relationship Id="rId4" Type="http://schemas.openxmlformats.org/officeDocument/2006/relationships/customXml" Target="../ink/ink8.xml"/><Relationship Id="rId9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107324</xdr:rowOff>
    </xdr:from>
    <xdr:to>
      <xdr:col>8</xdr:col>
      <xdr:colOff>581648</xdr:colOff>
      <xdr:row>43</xdr:row>
      <xdr:rowOff>91356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5F2702-27D6-4377-A792-A6B78D2DF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53732"/>
          <a:ext cx="8550451" cy="7121076"/>
        </a:xfrm>
        <a:prstGeom prst="rect">
          <a:avLst/>
        </a:prstGeom>
      </xdr:spPr>
    </xdr:pic>
    <xdr:clientData/>
  </xdr:twoCellAnchor>
  <xdr:twoCellAnchor editAs="oneCell">
    <xdr:from>
      <xdr:col>4</xdr:col>
      <xdr:colOff>488843</xdr:colOff>
      <xdr:row>11</xdr:row>
      <xdr:rowOff>140492</xdr:rowOff>
    </xdr:from>
    <xdr:to>
      <xdr:col>4</xdr:col>
      <xdr:colOff>858563</xdr:colOff>
      <xdr:row>13</xdr:row>
      <xdr:rowOff>164952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CCD03F61-9D9F-483A-8FB1-A9ABC3CCD380}"/>
                </a:ext>
              </a:extLst>
            </xdr14:cNvPr>
            <xdr14:cNvContentPartPr/>
          </xdr14:nvContentPartPr>
          <xdr14:nvPr macro=""/>
          <xdr14:xfrm>
            <a:off x="4701526" y="2293297"/>
            <a:ext cx="369720" cy="396167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CCD03F61-9D9F-483A-8FB1-A9ABC3CCD380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692526" y="2284582"/>
              <a:ext cx="387360" cy="41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906140</xdr:colOff>
      <xdr:row>49</xdr:row>
      <xdr:rowOff>90170</xdr:rowOff>
    </xdr:from>
    <xdr:to>
      <xdr:col>4</xdr:col>
      <xdr:colOff>906500</xdr:colOff>
      <xdr:row>49</xdr:row>
      <xdr:rowOff>90530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2AC3A1E-0333-4DA4-97C1-FE53BFDE4F5F}"/>
                </a:ext>
              </a:extLst>
            </xdr14:cNvPr>
            <xdr14:cNvContentPartPr/>
          </xdr14:nvContentPartPr>
          <xdr14:nvPr macro=""/>
          <xdr14:xfrm>
            <a:off x="5109840" y="922147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42AC3A1E-0333-4DA4-97C1-FE53BFDE4F5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055840" y="911383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703689</xdr:colOff>
      <xdr:row>39</xdr:row>
      <xdr:rowOff>150502</xdr:rowOff>
    </xdr:from>
    <xdr:to>
      <xdr:col>3</xdr:col>
      <xdr:colOff>1622563</xdr:colOff>
      <xdr:row>39</xdr:row>
      <xdr:rowOff>174622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5BE36F2-230E-47EF-8B3E-18A18214D45E}"/>
                </a:ext>
              </a:extLst>
            </xdr14:cNvPr>
            <xdr14:cNvContentPartPr/>
          </xdr14:nvContentPartPr>
          <xdr14:nvPr macro=""/>
          <xdr14:xfrm>
            <a:off x="3172140" y="7582685"/>
            <a:ext cx="918874" cy="2412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5BE36F2-230E-47EF-8B3E-18A18214D45E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117897" y="7474685"/>
              <a:ext cx="1026998" cy="23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702743</xdr:colOff>
      <xdr:row>41</xdr:row>
      <xdr:rowOff>10004</xdr:rowOff>
    </xdr:from>
    <xdr:to>
      <xdr:col>3</xdr:col>
      <xdr:colOff>1483377</xdr:colOff>
      <xdr:row>41</xdr:row>
      <xdr:rowOff>69764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BE66D99C-AB47-4420-82C7-E175F038C1A8}"/>
                </a:ext>
              </a:extLst>
            </xdr14:cNvPr>
            <xdr14:cNvContentPartPr/>
          </xdr14:nvContentPartPr>
          <xdr14:nvPr macro=""/>
          <xdr14:xfrm>
            <a:off x="3171194" y="7817821"/>
            <a:ext cx="780634" cy="597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BE66D99C-AB47-4420-82C7-E175F038C1A8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3117270" y="7710181"/>
              <a:ext cx="888844" cy="27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72384</xdr:colOff>
      <xdr:row>36</xdr:row>
      <xdr:rowOff>50054</xdr:rowOff>
    </xdr:from>
    <xdr:to>
      <xdr:col>3</xdr:col>
      <xdr:colOff>726864</xdr:colOff>
      <xdr:row>40</xdr:row>
      <xdr:rowOff>102933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72BEF067-1F01-4201-ADF8-A6E4721ED73E}"/>
                </a:ext>
              </a:extLst>
            </xdr14:cNvPr>
            <xdr14:cNvContentPartPr/>
          </xdr14:nvContentPartPr>
          <xdr14:nvPr macro=""/>
          <xdr14:xfrm>
            <a:off x="2540835" y="6918786"/>
            <a:ext cx="654480" cy="804147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72BEF067-1F01-4201-ADF8-A6E4721ED73E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531835" y="6909985"/>
              <a:ext cx="672120" cy="8221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401250</xdr:colOff>
      <xdr:row>36</xdr:row>
      <xdr:rowOff>76412</xdr:rowOff>
    </xdr:from>
    <xdr:to>
      <xdr:col>5</xdr:col>
      <xdr:colOff>465988</xdr:colOff>
      <xdr:row>42</xdr:row>
      <xdr:rowOff>121351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D3D2C345-7287-4C71-9324-619CD2BF11BE}"/>
                </a:ext>
              </a:extLst>
            </xdr14:cNvPr>
            <xdr14:cNvContentPartPr/>
          </xdr14:nvContentPartPr>
          <xdr14:nvPr macro=""/>
          <xdr14:xfrm>
            <a:off x="4613715" y="6945144"/>
            <a:ext cx="1996569" cy="1171841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D3D2C345-7287-4C71-9324-619CD2BF11BE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596084" y="6926800"/>
              <a:ext cx="2032190" cy="120816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5</xdr:row>
      <xdr:rowOff>88900</xdr:rowOff>
    </xdr:from>
    <xdr:to>
      <xdr:col>4</xdr:col>
      <xdr:colOff>2103403</xdr:colOff>
      <xdr:row>35</xdr:row>
      <xdr:rowOff>141855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5B5E42-1E4E-4A97-9BE7-6CFA5409D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" y="1250950"/>
          <a:ext cx="6859553" cy="55774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161161</xdr:colOff>
      <xdr:row>0</xdr:row>
      <xdr:rowOff>50799</xdr:rowOff>
    </xdr:from>
    <xdr:to>
      <xdr:col>9</xdr:col>
      <xdr:colOff>872261</xdr:colOff>
      <xdr:row>24</xdr:row>
      <xdr:rowOff>129218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39FEA7-811F-446C-BC4D-D61E7A64E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3761" y="50799"/>
          <a:ext cx="4743350" cy="5253669"/>
        </a:xfrm>
        <a:prstGeom prst="rect">
          <a:avLst/>
        </a:prstGeom>
      </xdr:spPr>
    </xdr:pic>
    <xdr:clientData/>
  </xdr:twoCellAnchor>
  <xdr:twoCellAnchor editAs="oneCell">
    <xdr:from>
      <xdr:col>5</xdr:col>
      <xdr:colOff>110450</xdr:colOff>
      <xdr:row>12</xdr:row>
      <xdr:rowOff>94180</xdr:rowOff>
    </xdr:from>
    <xdr:to>
      <xdr:col>5</xdr:col>
      <xdr:colOff>703370</xdr:colOff>
      <xdr:row>15</xdr:row>
      <xdr:rowOff>29660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FC9C3AC4-413E-4351-AA56-98D53C49BE54}"/>
                </a:ext>
              </a:extLst>
            </xdr14:cNvPr>
            <xdr14:cNvContentPartPr/>
          </xdr14:nvContentPartPr>
          <xdr14:nvPr macro=""/>
          <xdr14:xfrm>
            <a:off x="6314400" y="2481780"/>
            <a:ext cx="592920" cy="49428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FC9C3AC4-413E-4351-AA56-98D53C49BE54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305760" y="2473140"/>
              <a:ext cx="610560" cy="51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287290</xdr:colOff>
      <xdr:row>12</xdr:row>
      <xdr:rowOff>139180</xdr:rowOff>
    </xdr:from>
    <xdr:to>
      <xdr:col>8</xdr:col>
      <xdr:colOff>173150</xdr:colOff>
      <xdr:row>15</xdr:row>
      <xdr:rowOff>141260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052179AC-456E-4C8F-BCAC-A317D6477D92}"/>
                </a:ext>
              </a:extLst>
            </xdr14:cNvPr>
            <xdr14:cNvContentPartPr/>
          </xdr14:nvContentPartPr>
          <xdr14:nvPr macro=""/>
          <xdr14:xfrm>
            <a:off x="8447040" y="2526780"/>
            <a:ext cx="711360" cy="56088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052179AC-456E-4C8F-BCAC-A317D6477D92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8438400" y="2517780"/>
              <a:ext cx="729000" cy="57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1111200</xdr:colOff>
      <xdr:row>22</xdr:row>
      <xdr:rowOff>151970</xdr:rowOff>
    </xdr:from>
    <xdr:to>
      <xdr:col>2</xdr:col>
      <xdr:colOff>1111560</xdr:colOff>
      <xdr:row>22</xdr:row>
      <xdr:rowOff>152330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D9B7F69A-E602-424C-9761-AA0187EF45E6}"/>
                </a:ext>
              </a:extLst>
            </xdr14:cNvPr>
            <xdr14:cNvContentPartPr/>
          </xdr14:nvContentPartPr>
          <xdr14:nvPr macro=""/>
          <xdr14:xfrm>
            <a:off x="3778200" y="4381070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D9B7F69A-E602-424C-9761-AA0187EF45E6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769200" y="43720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1710760</xdr:colOff>
      <xdr:row>19</xdr:row>
      <xdr:rowOff>527410</xdr:rowOff>
    </xdr:from>
    <xdr:to>
      <xdr:col>6</xdr:col>
      <xdr:colOff>234130</xdr:colOff>
      <xdr:row>22</xdr:row>
      <xdr:rowOff>62190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033439A3-EA0C-4985-A761-D89A3753BD1E}"/>
                </a:ext>
              </a:extLst>
            </xdr14:cNvPr>
            <xdr14:cNvContentPartPr/>
          </xdr14:nvContentPartPr>
          <xdr14:nvPr macro=""/>
          <xdr14:xfrm>
            <a:off x="5660460" y="4407260"/>
            <a:ext cx="1780920" cy="46188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033439A3-EA0C-4985-A761-D89A3753BD1E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651460" y="4398620"/>
              <a:ext cx="1798560" cy="47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653760</xdr:colOff>
      <xdr:row>16</xdr:row>
      <xdr:rowOff>75840</xdr:rowOff>
    </xdr:from>
    <xdr:to>
      <xdr:col>0</xdr:col>
      <xdr:colOff>654120</xdr:colOff>
      <xdr:row>16</xdr:row>
      <xdr:rowOff>76200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5C6ED361-01F7-40D8-87DF-4C66CFF8FF06}"/>
                </a:ext>
              </a:extLst>
            </xdr14:cNvPr>
            <xdr14:cNvContentPartPr/>
          </xdr14:nvContentPartPr>
          <xdr14:nvPr macro=""/>
          <xdr14:xfrm>
            <a:off x="653760" y="3200040"/>
            <a:ext cx="360" cy="3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5C6ED361-01F7-40D8-87DF-4C66CFF8FF06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44760" y="3191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7</xdr:row>
      <xdr:rowOff>88899</xdr:rowOff>
    </xdr:from>
    <xdr:to>
      <xdr:col>11</xdr:col>
      <xdr:colOff>605617</xdr:colOff>
      <xdr:row>26</xdr:row>
      <xdr:rowOff>33986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8DA284-D683-4BA0-A34D-C1AF9BF2D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1930399"/>
          <a:ext cx="8879667" cy="344393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oal%20Paramete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Loa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Compund Income"/>
      <sheetName val="Calculate Total Maintenance"/>
    </sheetNames>
    <sheetDataSet>
      <sheetData sheetId="0">
        <row r="9">
          <cell r="B9">
            <v>7053634</v>
          </cell>
        </row>
        <row r="29">
          <cell r="B29">
            <v>13</v>
          </cell>
        </row>
        <row r="30">
          <cell r="B30">
            <v>0.03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reciation"/>
      <sheetName val="Depreciation"/>
      <sheetName val="Loan "/>
    </sheetNames>
    <sheetDataSet>
      <sheetData sheetId="0"/>
      <sheetData sheetId="1"/>
      <sheetData sheetId="2">
        <row r="3">
          <cell r="A3">
            <v>811491.85200999992</v>
          </cell>
        </row>
        <row r="11">
          <cell r="B11">
            <v>405746</v>
          </cell>
        </row>
        <row r="13">
          <cell r="B13">
            <v>5362</v>
          </cell>
        </row>
      </sheetData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8-07T12:22:29.37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1008,'2'1,"-1"0,1 1,-1-1,1 1,-1-1,0 1,1-1,-1 1,1 2,2 1,0 1,0-1,1 0,0 0,0-1,0 1,1-1,-1 0,1-1,0 1,0-1,0 0,0-1,9 3,-9-4,0 0,0-1,0 0,0 0,0 0,0 0,0-1,0 0,0-1,0 1,0-1,-1 0,1 0,-1-1,9-5,1-2,0 0,0-2,-1 0,0 0,15-19,57-79,-66 83,315-438,-102 140,-224 312,1 1,11-12,-16 20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8-07T12:22:48.24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1,'0'0,"0"0,0 0,0 0,0 0,0 0,0 0,0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8-07T12:22:49.47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66,'478'-12,"-436"10,874-50,-299 59,-157 2,-432-9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8-07T12:22:50.373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13 1,'-6'27,"4"-23,1 0,0 1,0-1,1 0,-1 7,1-10,0 1,0-1,0 0,1 1,-1-1,0 0,1 1,-1-1,1 0,0 0,-1 1,1-1,0 0,0 0,0 0,0 0,0 0,0 0,0 0,0 0,2 1,10 5,1-1,0-1,1 1,-1-2,1 0,20 2,-15-2,70 11,170 7,93-23,-323 0,554-38,-395 17,118-13,-143 27,-142 8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8-07T12:22:56.90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1947,'16'14,"28"20,3 2,8 17,-36-34,0 0,1-2,35 25,-51-40,-1 0,1-1,0 1,0-1,0 0,-1 0,1-1,0 1,0-1,0 1,0-1,0-1,0 1,0 0,0-1,0 0,0 0,0 0,0-1,-1 1,1-1,0 0,-1 0,5-3,9-7,0-1,-1-1,22-24,-30 31,80-89,81-115,62-123,390-707,-452 745,-114 205,-42 71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8-07T12:23:01.268"/>
    </inkml:context>
    <inkml:brush xml:id="br0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0"/>
      <inkml:brushProperty name="anchorY" value="0"/>
      <inkml:brushProperty name="scaleFactor" value="0.5"/>
    </inkml:brush>
    <inkml:brush xml:id="br1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1370.10376"/>
      <inkml:brushProperty name="anchorY" value="755.65479"/>
      <inkml:brushProperty name="scaleFactor" value="0.5"/>
    </inkml:brush>
    <inkml:brush xml:id="br2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385.90024"/>
      <inkml:brushProperty name="anchorY" value="-252.28275"/>
      <inkml:brushProperty name="scaleFactor" value="0.5"/>
    </inkml:brush>
    <inkml:brush xml:id="br3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-766.74695"/>
      <inkml:brushProperty name="anchorY" value="-1695.7417"/>
      <inkml:brushProperty name="scaleFactor" value="0.5"/>
    </inkml:brush>
  </inkml:definitions>
  <inkml:trace contextRef="#ctx0" brushRef="#br0">4163 524,'0'0,"0"0,-6-6,-4 0,-8-4,-10-7,-12-10,-14-8,-14-4,-12-6,-9-1,-7 0,-15 1,-9 1,-16 4,-11 4,-5 5,-6 6,-7 8,-3 8,-5 9,1 10,3 8,5 8,-2 13,4 8,8 6,7 5,7 8,5 10,9 4,12 6,5 8,5 14,7 5,9 1,11-1,12-4,12 1,11-1,12 3,10 3,11 1,10-3,10-2,8 0,12-3,9-3,14-3,7-6,15-3,9-6,11-7,10-2,10-8,11-3,7-10,11-9,11-8,4-10,5-12,1-10,4-13,3-9,14-10,-2-5,-6-4,-12-1,-7-2,-6-2,-3-4,-8-2,-3-7,-7-6,-12-2,-11-4,-7-4,-14-2,-8-5,-11-2,-8-2,-12 0,-6-1,-6-3,-7-2,-8-4,-8-3,-10-1,-10 0,-4 1,-5 2,-3 2,-5 2,-5 2,-4 3,-3 2,-4 5,-7 6,29 50,-24-25,23 27,-30-21,24 21,-27-13,-33-8,-5 9,1 7,2 5,18 5,18 4</inkml:trace>
  <inkml:trace contextRef="#ctx0" brushRef="#br1" timeOffset="835.83">3971 371,'0'0,"0"0,8 2,3 2,5 5,5 7,2 10,1 12,-4-2,-5-6</inkml:trace>
  <inkml:trace contextRef="#ctx0" brushRef="#br2" timeOffset="1579.72">4928 484,'0'0,"0"0,2-7,2 1,5-6,3-5,5-4,5-1,3 0,4 1,2 5,2 5,0 6,0 7,0 9,-4 10,-25-16,1 0,-1 0,0 0,4 9,-4-5,0 0,0 1,2 10,5 43,-8 12,-8 9,-4 1,-3 1,0-4,1-10,3-17,2-17</inkml:trace>
  <inkml:trace contextRef="#ctx0" brushRef="#br3" timeOffset="2234.05">5352 1592,'0'0,"0"0,-6 8,0 3,0 3,1 3,1 2,4 1,3-1,4-2,7-2,5-4,5-5,4-6,1-4,0-5,-4-5,-4-2,-5-4,-8 0,-7-3,-6 0,-7 1,-4 4,-2 2,-3 5,-2 3,0 6,-3 4,1 3,1 5,5 0,5-1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8-08T05:43:32.36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1173,'0'0,"0"0,18 0,-10 2,1 0,0 0,0 0,-1 1,1 0,-1 1,0 0,0 0,-1 1,1 0,6 6,3 3,-2 0,0 1,21 26,-24-24,16 20,-27-36,0 1,0-1,1 0,-1 0,0 0,1 0,-1 0,0 0,1-1,-1 1,1 0,-1-1,1 1,0-1,-1 1,1-1,0 0,-1 0,1 0,0 0,-1 0,4 0,5-5,1 1,-1-1,0-1,0 0,-1-1,0 1,0-2,10-9,-2 2,432-411,-22-28,-327 346,-25 29,117-138,-186 209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8-08T05:43:33.80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1241,'0'0,"0"0,10 14,123 236,-131-245,0-1,1 0,0 0,0 0,0 0,0 0,1-1,-1 1,8 4,-8-7,-1 1,1-1,0 0,-1 0,1-1,0 1,0-1,0 1,0-1,-1 0,1 0,0 0,0 0,0-1,0 1,-1-1,1 0,5-1,13-7,-1-1,0-1,0-1,-1 0,24-22,-16 14,440-374,-26-34,201-180,-626 594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8-08T05:43:47.88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8-08T05:54:15.269"/>
    </inkml:context>
    <inkml:brush xml:id="br0">
      <inkml:brushProperty name="width" value="0.05" units="cm"/>
      <inkml:brushProperty name="height" value="0.05" units="cm"/>
      <inkml:brushProperty name="color" value="#FF0066"/>
      <inkml:brushProperty name="ignorePressure" value="1"/>
    </inkml:brush>
  </inkml:definitions>
  <inkml:trace contextRef="#ctx0" brushRef="#br0">4553 272,'-3'-1,"0"0,0 0,1 0,-1 0,0-1,1 1,0-1,-1 1,-3-4,-10-6,-46-19,-1 3,-121-34,-143-5,170 49,-1 7,-1 7,-305 33,193 10,-347 98,617-137,-370 112,319-94,2 3,1 2,1 2,1 2,-44 35,77-53,1 2,0-1,1 2,1 0,0 0,-15 24,22-30,0 1,0 0,1-1,0 1,0 0,1 1,0-1,1 0,-1 0,2 1,-1-1,1 1,1-1,-1 1,4 11,-1-7,2 1,-1-1,2 0,0-1,0 1,1-1,1-1,0 1,1-1,0-1,0 1,1-2,1 1,-1-1,1-1,13 8,21 10,1-2,95 36,-119-51,81 29,1-4,2-4,0-5,2-5,1-5,163 3,297-38,-259-22,-114 14,145-29,-257 37,162-61,139-90,-348 153,0-2,-2-1,41-32,-66 46,-1-1,0 0,0-1,-1 0,0 0,0-1,-1 0,-1 0,0-1,0 0,-1 0,0 0,-1-1,0 1,3-19,-6 20,-1 1,-1-1,1 1,-2-1,1 1,-1 0,-1 0,1-1,-2 1,1 1,-1-1,-1 0,1 1,-1 0,-1 0,-10-12,2 5,0 0,-1 1,-1 0,0 1,-1 1,-30-17,14 14,0 1,-1 1,0 2,-1 1,0 2,0 2,-38-3,-248 5,246 7</inkml:trace>
  <inkml:trace contextRef="#ctx0" brushRef="#br0" timeOffset="790.7">129 383,'-15'-15,"1"-1,0 0,2-1,0-1,-11-20,16 25,1-1,1 1,0-1,1 0,0-1,2 1,-1 0,1-19,1 24,2 0,-1 0,1 0,0 0,1 0,0 1,5-15,-6 21,0 1,0-1,-1 0,1 0,0 0,1 0,-1 1,0-1,0 1,1-1,-1 1,1-1,-1 1,1 0,0 0,-1-1,1 1,0 0,0 1,0-1,0 0,0 1,0-1,0 1,0-1,0 1,0 0,0 0,0 0,0 0,0 0,0 0,0 1,0-1,0 1,0-1,3 3,1-1,-1 2,0-1,0 0,0 1,0 0,0 0,-1 1,0-1,0 1,0 0,-1 0,1 0,-1 0,0 1,-1 0,1-1,2 12,2 9,0 0,4 44,0 121,-7-75,-2-93</inkml:trace>
  <inkml:trace contextRef="#ctx0" brushRef="#br0" timeOffset="1443.2">532 933,'0'26,"0"-18,1-1,0 1,0-1,0 0,5 15,-6-21,0 0,1 0,-1 1,1-1,-1 0,1 0,-1 0,1 0,0 0,-1 0,1 0,0 0,0-1,0 1,0 0,-1 0,1-1,0 1,1 0,-1-1,0 1,0-1,0 1,0-1,0 0,0 1,1-1,-1 0,0 0,0 0,0 0,1 0,-1 0,0 0,0 0,0-1,0 1,1 0,-1-1,0 1,0-1,0 1,0-1,0 0,0 1,1-2,2-1,1-1,-1 0,0 0,0 0,0-1,-1 1,0-1,0 1,0-1,0 0,-1-1,0 1,0 0,0-1,-1 1,1-1,-1 1,-1-1,1 0,-1 1,0-9,0 9,-1-1,1 1,-1-1,1 1,-2-1,1 1,-1 0,1 0,-1-1,-1 1,1 0,-1 1,0-1,0 0,0 1,-1 0,1 0,-1 0,0 0,0 0,-1 1,-5-4,9 6,0 1,0-1,0 1,0 0,0-1,0 1,0 0,0-1,0 1,-1 0,1 0,0 0,0 0,0 0,0 0,0 0,-1 1,1-1,0 0,0 1,0-1,0 1,0-1,0 1,0-1,0 1,0-1,0 1,0 0,1 0,-1 0,0-1,0 1,1 0,-1 0,0 0,1 0,-1 0,1 0,0 0,-1 0,1 2,-2 2,1-1,-1 1,2 0,-1-1,0 1,1 0,0 0,1 8,1-2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8-08T05:54:18.815"/>
    </inkml:context>
    <inkml:brush xml:id="br0">
      <inkml:brushProperty name="width" value="0.05" units="cm"/>
      <inkml:brushProperty name="height" value="0.05" units="cm"/>
      <inkml:brushProperty name="color" value="#FF0066"/>
      <inkml:brushProperty name="ignorePressure" value="1"/>
    </inkml:brush>
  </inkml:definitions>
  <inkml:trace contextRef="#ctx0" brushRef="#br0">0 0,'0'0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"/>
  <sheetViews>
    <sheetView zoomScale="108" zoomScaleNormal="75" workbookViewId="0">
      <selection activeCell="I3" sqref="I3"/>
    </sheetView>
  </sheetViews>
  <sheetFormatPr defaultRowHeight="14.5"/>
  <cols>
    <col min="1" max="1" width="14.1796875" style="2" customWidth="1"/>
    <col min="2" max="2" width="8.7265625" style="2"/>
    <col min="3" max="3" width="12.36328125" style="2" customWidth="1"/>
    <col min="4" max="4" width="24.90625" style="2" bestFit="1" customWidth="1"/>
    <col min="5" max="5" width="27.6328125" style="2" customWidth="1"/>
    <col min="6" max="16384" width="8.7265625" style="2"/>
  </cols>
  <sheetData>
    <row r="1" spans="1:5" ht="23" customHeight="1" thickBot="1">
      <c r="A1" s="18" t="s">
        <v>0</v>
      </c>
      <c r="B1" s="19" t="s">
        <v>2</v>
      </c>
      <c r="C1" s="19" t="s">
        <v>1</v>
      </c>
      <c r="D1" s="19" t="s">
        <v>3</v>
      </c>
      <c r="E1" s="20" t="s">
        <v>5</v>
      </c>
    </row>
    <row r="2" spans="1:5">
      <c r="A2" s="16">
        <v>700000</v>
      </c>
      <c r="B2" s="5">
        <f>3/100</f>
        <v>0.03</v>
      </c>
      <c r="C2" s="5">
        <v>5</v>
      </c>
      <c r="D2" s="5">
        <f>A2 *(1+B2)^C2</f>
        <v>811491.85200999992</v>
      </c>
      <c r="E2" s="17" t="s">
        <v>4</v>
      </c>
    </row>
    <row r="3" spans="1:5">
      <c r="A3" s="16">
        <f>D2</f>
        <v>811491.85200999992</v>
      </c>
      <c r="B3" s="5">
        <f>B2</f>
        <v>0.03</v>
      </c>
      <c r="C3" s="5">
        <v>5</v>
      </c>
      <c r="D3" s="5">
        <f>A3 *(1+B3)^C3</f>
        <v>940741.46554088511</v>
      </c>
      <c r="E3" s="17"/>
    </row>
    <row r="4" spans="1:5" ht="15" thickBot="1">
      <c r="A4" s="16">
        <f>A2</f>
        <v>700000</v>
      </c>
      <c r="B4" s="5">
        <f>3/100</f>
        <v>0.03</v>
      </c>
      <c r="C4" s="5">
        <f>SUM(C2:C3)</f>
        <v>10</v>
      </c>
      <c r="D4" s="5">
        <f>A4 *(1+B4)^C4</f>
        <v>940741.46554088523</v>
      </c>
      <c r="E4" s="17" t="s">
        <v>6</v>
      </c>
    </row>
    <row r="5" spans="1:5" ht="15" thickBot="1">
      <c r="A5" s="21"/>
      <c r="B5" s="22"/>
      <c r="C5" s="22"/>
      <c r="D5" s="22" t="str">
        <f>IF(D3=D4, "formula is right", "formula is wrong")</f>
        <v>formula is right</v>
      </c>
      <c r="E5" s="2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5D8D-D922-44A0-80E7-B993FA493E12}">
  <sheetPr codeName="Sheet2"/>
  <dimension ref="A1:E4"/>
  <sheetViews>
    <sheetView workbookViewId="0">
      <selection activeCell="E4" sqref="E4"/>
    </sheetView>
  </sheetViews>
  <sheetFormatPr defaultRowHeight="14.5"/>
  <cols>
    <col min="1" max="1" width="17.08984375" customWidth="1"/>
    <col min="3" max="3" width="15.453125" customWidth="1"/>
    <col min="4" max="4" width="27.81640625" customWidth="1"/>
    <col min="5" max="5" width="31.08984375" customWidth="1"/>
  </cols>
  <sheetData>
    <row r="1" spans="1:5" ht="22.5" customHeight="1">
      <c r="A1" s="10" t="s">
        <v>0</v>
      </c>
      <c r="B1" s="11" t="s">
        <v>2</v>
      </c>
      <c r="C1" s="11" t="s">
        <v>1</v>
      </c>
      <c r="D1" s="11" t="s">
        <v>3</v>
      </c>
      <c r="E1" s="12" t="s">
        <v>5</v>
      </c>
    </row>
    <row r="2" spans="1:5" ht="19" customHeight="1">
      <c r="A2" s="4">
        <v>700000</v>
      </c>
      <c r="B2" s="5">
        <f>3/100</f>
        <v>0.03</v>
      </c>
      <c r="C2" s="5">
        <v>5</v>
      </c>
      <c r="D2" s="5">
        <f>A2 *(1+B2)^C2</f>
        <v>811491.85200999992</v>
      </c>
      <c r="E2" s="6" t="s">
        <v>4</v>
      </c>
    </row>
    <row r="3" spans="1:5">
      <c r="A3" s="7">
        <f>D2</f>
        <v>811491.85200999992</v>
      </c>
      <c r="B3" s="8">
        <f>-B2</f>
        <v>-0.03</v>
      </c>
      <c r="C3" s="8">
        <v>5</v>
      </c>
      <c r="D3" s="8">
        <f>A3 *(1+B3)^C3</f>
        <v>696855.66489929578</v>
      </c>
      <c r="E3" s="9"/>
    </row>
    <row r="4" spans="1:5" ht="21" customHeight="1">
      <c r="A4" s="2"/>
      <c r="B4" s="2"/>
      <c r="C4" s="2"/>
      <c r="D4" s="13" t="s">
        <v>7</v>
      </c>
      <c r="E4" s="24" t="s">
        <v>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EE7E-BC09-485A-AE7F-97F217B7DE4F}">
  <sheetPr codeName="Sheet3"/>
  <dimension ref="A1:D20"/>
  <sheetViews>
    <sheetView workbookViewId="0">
      <selection activeCell="B11" sqref="B11"/>
    </sheetView>
  </sheetViews>
  <sheetFormatPr defaultRowHeight="14.5"/>
  <cols>
    <col min="1" max="1" width="21" style="3" customWidth="1"/>
    <col min="2" max="2" width="19.36328125" style="3" customWidth="1"/>
    <col min="3" max="3" width="16.1796875" style="3" customWidth="1"/>
    <col min="4" max="4" width="25.26953125" style="3" customWidth="1"/>
    <col min="5" max="5" width="9.1796875" style="3" customWidth="1"/>
    <col min="6" max="6" width="12.1796875" style="3" customWidth="1"/>
    <col min="7" max="7" width="15.81640625" style="3" customWidth="1"/>
    <col min="8" max="8" width="11.81640625" style="3" customWidth="1"/>
    <col min="9" max="9" width="8.7265625" style="3"/>
    <col min="10" max="10" width="13.1796875" style="3" customWidth="1"/>
    <col min="11" max="16384" width="8.7265625" style="3"/>
  </cols>
  <sheetData>
    <row r="1" spans="1:4" ht="21" customHeight="1">
      <c r="A1" s="10" t="s">
        <v>0</v>
      </c>
      <c r="B1" s="11" t="s">
        <v>2</v>
      </c>
      <c r="C1" s="11" t="s">
        <v>1</v>
      </c>
      <c r="D1" s="12" t="s">
        <v>31</v>
      </c>
    </row>
    <row r="2" spans="1:4" ht="22" customHeight="1">
      <c r="A2" s="4">
        <v>700000</v>
      </c>
      <c r="B2" s="5">
        <f>3/100</f>
        <v>0.03</v>
      </c>
      <c r="C2" s="5">
        <v>5</v>
      </c>
      <c r="D2" s="6">
        <f>A2 *(1+B2)^C2</f>
        <v>811491.85200999992</v>
      </c>
    </row>
    <row r="3" spans="1:4">
      <c r="A3" s="7">
        <f>D2</f>
        <v>811491.85200999992</v>
      </c>
      <c r="B3" s="8">
        <f>-B2</f>
        <v>-0.03</v>
      </c>
      <c r="C3" s="8">
        <v>5</v>
      </c>
      <c r="D3" s="9">
        <f>A3 *(1+B3)^C3</f>
        <v>696855.66489929578</v>
      </c>
    </row>
    <row r="5" spans="1:4" ht="15" thickBot="1"/>
    <row r="6" spans="1:4">
      <c r="A6" s="29" t="s">
        <v>9</v>
      </c>
      <c r="B6" s="33">
        <v>0.5</v>
      </c>
      <c r="C6" s="25" t="s">
        <v>17</v>
      </c>
    </row>
    <row r="7" spans="1:4">
      <c r="A7" s="30" t="s">
        <v>11</v>
      </c>
      <c r="B7" s="34">
        <v>10</v>
      </c>
      <c r="C7" s="26" t="s">
        <v>17</v>
      </c>
    </row>
    <row r="8" spans="1:4">
      <c r="A8" s="30" t="s">
        <v>12</v>
      </c>
      <c r="B8" s="34">
        <f>10%</f>
        <v>0.1</v>
      </c>
      <c r="C8" s="26" t="s">
        <v>17</v>
      </c>
    </row>
    <row r="9" spans="1:4">
      <c r="A9" s="30" t="s">
        <v>15</v>
      </c>
      <c r="B9" s="34">
        <f>LoanRate/12</f>
        <v>8.3333333333333332E-3</v>
      </c>
      <c r="C9" s="26"/>
    </row>
    <row r="10" spans="1:4">
      <c r="A10" s="30" t="s">
        <v>10</v>
      </c>
      <c r="B10" s="34">
        <f>B6 * A3</f>
        <v>405745.92600499996</v>
      </c>
      <c r="C10" s="26"/>
    </row>
    <row r="11" spans="1:4">
      <c r="A11" s="30" t="s">
        <v>14</v>
      </c>
      <c r="B11" s="34">
        <f>ROUND(B10,0)</f>
        <v>405746</v>
      </c>
      <c r="C11" s="26"/>
    </row>
    <row r="12" spans="1:4">
      <c r="A12" s="30" t="s">
        <v>16</v>
      </c>
      <c r="B12" s="34">
        <f>B7*12</f>
        <v>120</v>
      </c>
      <c r="C12" s="26"/>
    </row>
    <row r="13" spans="1:4">
      <c r="A13" s="31" t="s">
        <v>13</v>
      </c>
      <c r="B13" s="31" cm="1">
        <f t="array" ref="B13">EMI(LoanPrincipal,LoanRate,B7)</f>
        <v>5362</v>
      </c>
      <c r="C13" s="28" t="s">
        <v>18</v>
      </c>
    </row>
    <row r="14" spans="1:4">
      <c r="A14" s="30" t="s">
        <v>19</v>
      </c>
      <c r="B14" s="34">
        <f>B13*n</f>
        <v>643440</v>
      </c>
      <c r="C14" s="26"/>
    </row>
    <row r="15" spans="1:4" ht="15" thickBot="1">
      <c r="A15" s="32" t="s">
        <v>20</v>
      </c>
      <c r="B15" s="35">
        <f>B14-LoanPrincipal</f>
        <v>237694</v>
      </c>
      <c r="C15" s="27"/>
    </row>
    <row r="18" spans="1:2" ht="15" thickBot="1"/>
    <row r="19" spans="1:2" ht="29">
      <c r="A19" s="69" t="s">
        <v>5</v>
      </c>
      <c r="B19" s="15" t="s">
        <v>30</v>
      </c>
    </row>
    <row r="20" spans="1:2" ht="44" thickBot="1">
      <c r="A20" s="70"/>
      <c r="B20" s="36" t="s">
        <v>21</v>
      </c>
    </row>
  </sheetData>
  <mergeCells count="1">
    <mergeCell ref="A19:A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BAAF-E4D2-4420-AF68-8522E5C25054}">
  <dimension ref="A1:K26"/>
  <sheetViews>
    <sheetView workbookViewId="0">
      <selection activeCell="A15" sqref="A15"/>
    </sheetView>
  </sheetViews>
  <sheetFormatPr defaultRowHeight="14.5"/>
  <cols>
    <col min="1" max="1" width="20.54296875" customWidth="1"/>
    <col min="2" max="2" width="14" customWidth="1"/>
    <col min="3" max="3" width="17" customWidth="1"/>
    <col min="6" max="7" width="10.08984375" bestFit="1" customWidth="1"/>
    <col min="11" max="11" width="10.453125" bestFit="1" customWidth="1"/>
  </cols>
  <sheetData>
    <row r="1" spans="1:11">
      <c r="A1" s="63" t="s">
        <v>32</v>
      </c>
      <c r="B1" s="61">
        <v>0.08</v>
      </c>
      <c r="D1" s="57" t="s">
        <v>35</v>
      </c>
      <c r="E1" s="58" t="s">
        <v>34</v>
      </c>
      <c r="F1" s="58" t="s">
        <v>37</v>
      </c>
      <c r="G1" s="58" t="s">
        <v>39</v>
      </c>
      <c r="H1" s="58" t="s">
        <v>40</v>
      </c>
      <c r="I1" s="58" t="s">
        <v>36</v>
      </c>
      <c r="J1" s="58" t="s">
        <v>10</v>
      </c>
      <c r="K1" s="59" t="s">
        <v>41</v>
      </c>
    </row>
    <row r="2" spans="1:11">
      <c r="A2" s="64" t="s">
        <v>33</v>
      </c>
      <c r="B2" s="52">
        <v>2</v>
      </c>
      <c r="D2" s="48">
        <v>2261.36</v>
      </c>
      <c r="E2" s="49">
        <v>1</v>
      </c>
      <c r="F2" s="50">
        <f>IPMT(B1/12, E2, B5, B3, 0,0)</f>
        <v>-333.33333333333337</v>
      </c>
      <c r="G2" s="50">
        <f>SUM(F2)</f>
        <v>-333.33333333333337</v>
      </c>
      <c r="H2" s="51">
        <f>8%/12</f>
        <v>6.6666666666666671E-3</v>
      </c>
      <c r="I2" s="51">
        <v>24</v>
      </c>
      <c r="J2" s="51">
        <v>50000</v>
      </c>
      <c r="K2" s="60">
        <f>ABS(J2)+ABS(G2)-ABS(D2)</f>
        <v>48071.973333333335</v>
      </c>
    </row>
    <row r="3" spans="1:11">
      <c r="A3" s="64" t="s">
        <v>10</v>
      </c>
      <c r="B3" s="52">
        <v>50000</v>
      </c>
      <c r="D3" s="48">
        <v>2261.36</v>
      </c>
      <c r="E3" s="49">
        <v>2</v>
      </c>
      <c r="F3" s="50">
        <f>IPMT(B1/12, E3, B5, B3, 0,0)</f>
        <v>-320.47979173682751</v>
      </c>
      <c r="G3" s="50">
        <f>SUM(F2:F3)</f>
        <v>-653.81312507016082</v>
      </c>
      <c r="H3" s="51">
        <f t="shared" ref="H3:H25" si="0">8%/12</f>
        <v>6.6666666666666671E-3</v>
      </c>
      <c r="I3" s="51">
        <v>24</v>
      </c>
      <c r="J3" s="51">
        <v>50000</v>
      </c>
      <c r="K3" s="60">
        <f>ABS(K2)+ABS(F3)-ABS(D3)</f>
        <v>46131.093125070161</v>
      </c>
    </row>
    <row r="4" spans="1:11">
      <c r="A4" s="64" t="s">
        <v>34</v>
      </c>
      <c r="B4" s="52">
        <v>1</v>
      </c>
      <c r="D4" s="48">
        <v>2261.36</v>
      </c>
      <c r="E4" s="49">
        <v>3</v>
      </c>
      <c r="F4" s="50">
        <f>IPMT(B1/12, E4, B5, B3, 0,0)</f>
        <v>-307.54055986301165</v>
      </c>
      <c r="G4" s="50">
        <f>SUM(F2:F4)</f>
        <v>-961.35368493317242</v>
      </c>
      <c r="H4" s="51">
        <f t="shared" si="0"/>
        <v>6.6666666666666671E-3</v>
      </c>
      <c r="I4" s="51">
        <v>24</v>
      </c>
      <c r="J4" s="51">
        <v>50000</v>
      </c>
      <c r="K4" s="60">
        <f t="shared" ref="K4:K25" si="1">ABS(K3)+ABS(F4)-ABS(D4)</f>
        <v>44177.27368493317</v>
      </c>
    </row>
    <row r="5" spans="1:11" ht="15" thickBot="1">
      <c r="A5" s="64" t="s">
        <v>36</v>
      </c>
      <c r="B5" s="52">
        <f>B2*12</f>
        <v>24</v>
      </c>
      <c r="D5" s="48">
        <v>2261.36</v>
      </c>
      <c r="E5" s="49">
        <v>4</v>
      </c>
      <c r="F5" s="50">
        <f t="shared" ref="F5:F25" si="2">IPMT(H5, E5, I5, J5, 0,0)</f>
        <v>-294.5150664433703</v>
      </c>
      <c r="G5" s="50">
        <f>SUM(F2:F5)</f>
        <v>-1255.8687513765426</v>
      </c>
      <c r="H5" s="51">
        <f t="shared" si="0"/>
        <v>6.6666666666666671E-3</v>
      </c>
      <c r="I5" s="51">
        <v>24</v>
      </c>
      <c r="J5" s="51">
        <v>50000</v>
      </c>
      <c r="K5" s="60">
        <f t="shared" si="1"/>
        <v>42210.428751376538</v>
      </c>
    </row>
    <row r="6" spans="1:11" ht="15" thickBot="1">
      <c r="A6" s="67" t="s">
        <v>35</v>
      </c>
      <c r="B6" s="68">
        <f>PMT(B1/12, B5, B3, 0,0)</f>
        <v>-2261.3645728092074</v>
      </c>
      <c r="D6" s="48">
        <v>2261.36</v>
      </c>
      <c r="E6" s="49">
        <v>5</v>
      </c>
      <c r="F6" s="50">
        <f t="shared" si="2"/>
        <v>-281.40273640093142</v>
      </c>
      <c r="G6" s="50">
        <f>SUM(F2:F6)</f>
        <v>-1537.271487777474</v>
      </c>
      <c r="H6" s="51">
        <f t="shared" si="0"/>
        <v>6.6666666666666671E-3</v>
      </c>
      <c r="I6" s="51">
        <v>24</v>
      </c>
      <c r="J6" s="51">
        <v>50000</v>
      </c>
      <c r="K6" s="60">
        <f t="shared" si="1"/>
        <v>40230.471487777468</v>
      </c>
    </row>
    <row r="7" spans="1:11" ht="15" thickBot="1">
      <c r="A7" s="65"/>
      <c r="B7" s="52"/>
      <c r="D7" s="48">
        <v>2261.36</v>
      </c>
      <c r="E7" s="49">
        <v>6</v>
      </c>
      <c r="F7" s="50">
        <f t="shared" si="2"/>
        <v>-268.20299082487622</v>
      </c>
      <c r="G7" s="50">
        <f>SUM(F2:F7)</f>
        <v>-1805.4744786023502</v>
      </c>
      <c r="H7" s="51">
        <f t="shared" si="0"/>
        <v>6.6666666666666671E-3</v>
      </c>
      <c r="I7" s="51">
        <v>24</v>
      </c>
      <c r="J7" s="51">
        <v>50000</v>
      </c>
      <c r="K7" s="60">
        <f t="shared" si="1"/>
        <v>38237.31447860234</v>
      </c>
    </row>
    <row r="8" spans="1:11" ht="15" thickBot="1">
      <c r="A8" s="67" t="s">
        <v>38</v>
      </c>
      <c r="B8" s="68">
        <f>B6*B5</f>
        <v>-54272.749747420981</v>
      </c>
      <c r="D8" s="48">
        <v>2261.36</v>
      </c>
      <c r="E8" s="49">
        <v>7</v>
      </c>
      <c r="F8" s="50">
        <f t="shared" si="2"/>
        <v>-254.91524694498068</v>
      </c>
      <c r="G8" s="50">
        <f>SUM(F2:F8)</f>
        <v>-2060.3897255473307</v>
      </c>
      <c r="H8" s="51">
        <f t="shared" si="0"/>
        <v>6.6666666666666671E-3</v>
      </c>
      <c r="I8" s="51">
        <v>24</v>
      </c>
      <c r="J8" s="51">
        <v>50000</v>
      </c>
      <c r="K8" s="60">
        <f t="shared" si="1"/>
        <v>36230.869725547323</v>
      </c>
    </row>
    <row r="9" spans="1:11" ht="15" thickBot="1">
      <c r="A9" s="66" t="s">
        <v>37</v>
      </c>
      <c r="B9" s="62">
        <f>B8+B3</f>
        <v>-4272.7497474209813</v>
      </c>
      <c r="D9" s="48">
        <v>2261.36</v>
      </c>
      <c r="E9" s="49">
        <v>8</v>
      </c>
      <c r="F9" s="50">
        <f t="shared" si="2"/>
        <v>-241.53891810588584</v>
      </c>
      <c r="G9" s="50">
        <f>SUM(F2:F9)</f>
        <v>-2301.9286436532166</v>
      </c>
      <c r="H9" s="51">
        <f t="shared" si="0"/>
        <v>6.6666666666666671E-3</v>
      </c>
      <c r="I9" s="51">
        <v>24</v>
      </c>
      <c r="J9" s="51">
        <v>50000</v>
      </c>
      <c r="K9" s="60">
        <f t="shared" si="1"/>
        <v>34211.048643653208</v>
      </c>
    </row>
    <row r="10" spans="1:11">
      <c r="D10" s="48">
        <v>2261.36</v>
      </c>
      <c r="E10" s="49">
        <v>9</v>
      </c>
      <c r="F10" s="50">
        <f t="shared" si="2"/>
        <v>-228.07341374119702</v>
      </c>
      <c r="G10" s="50">
        <f>SUM(F2:F10)</f>
        <v>-2530.0020573944134</v>
      </c>
      <c r="H10" s="51">
        <f t="shared" si="0"/>
        <v>6.6666666666666671E-3</v>
      </c>
      <c r="I10" s="51">
        <v>24</v>
      </c>
      <c r="J10" s="51">
        <v>50000</v>
      </c>
      <c r="K10" s="60">
        <f t="shared" si="1"/>
        <v>32177.762057394408</v>
      </c>
    </row>
    <row r="11" spans="1:11">
      <c r="D11" s="48">
        <v>2261.36</v>
      </c>
      <c r="E11" s="49">
        <v>10</v>
      </c>
      <c r="F11" s="50">
        <f t="shared" si="2"/>
        <v>-214.51813934741028</v>
      </c>
      <c r="G11" s="50">
        <f>SUM(F2:F11)</f>
        <v>-2744.5201967418238</v>
      </c>
      <c r="H11" s="51">
        <f t="shared" si="0"/>
        <v>6.6666666666666671E-3</v>
      </c>
      <c r="I11" s="51">
        <v>24</v>
      </c>
      <c r="J11" s="51">
        <v>50000</v>
      </c>
      <c r="K11" s="60">
        <f t="shared" si="1"/>
        <v>30130.920196741816</v>
      </c>
    </row>
    <row r="12" spans="1:11">
      <c r="D12" s="48">
        <v>2261.36</v>
      </c>
      <c r="E12" s="49">
        <v>11</v>
      </c>
      <c r="F12" s="50">
        <f t="shared" si="2"/>
        <v>-200.87249645766497</v>
      </c>
      <c r="G12" s="50">
        <f>SUM(F2:F12)</f>
        <v>-2945.3926931994888</v>
      </c>
      <c r="H12" s="51">
        <f t="shared" si="0"/>
        <v>6.6666666666666671E-3</v>
      </c>
      <c r="I12" s="51">
        <v>24</v>
      </c>
      <c r="J12" s="51">
        <v>50000</v>
      </c>
      <c r="K12" s="60">
        <f t="shared" si="1"/>
        <v>28070.43269319948</v>
      </c>
    </row>
    <row r="13" spans="1:11">
      <c r="A13" s="47"/>
      <c r="D13" s="48">
        <v>2261.36</v>
      </c>
      <c r="E13" s="49">
        <v>12</v>
      </c>
      <c r="F13" s="50">
        <f t="shared" si="2"/>
        <v>-187.13588261532135</v>
      </c>
      <c r="G13" s="50">
        <f>SUM(F2:F13)</f>
        <v>-3132.5285758148102</v>
      </c>
      <c r="H13" s="51">
        <f t="shared" si="0"/>
        <v>6.6666666666666671E-3</v>
      </c>
      <c r="I13" s="51">
        <v>24</v>
      </c>
      <c r="J13" s="51">
        <v>50000</v>
      </c>
      <c r="K13" s="60">
        <f t="shared" si="1"/>
        <v>25996.208575814802</v>
      </c>
    </row>
    <row r="14" spans="1:11">
      <c r="A14" s="47"/>
      <c r="D14" s="48">
        <v>2261.36</v>
      </c>
      <c r="E14" s="49">
        <v>13</v>
      </c>
      <c r="F14" s="50">
        <f t="shared" si="2"/>
        <v>-173.30769134736212</v>
      </c>
      <c r="G14" s="50">
        <f>SUM(F2:F14)</f>
        <v>-3305.8362671621721</v>
      </c>
      <c r="H14" s="51">
        <f t="shared" si="0"/>
        <v>6.6666666666666671E-3</v>
      </c>
      <c r="I14" s="51">
        <v>24</v>
      </c>
      <c r="J14" s="51">
        <v>50000</v>
      </c>
      <c r="K14" s="60">
        <f t="shared" si="1"/>
        <v>23908.156267162165</v>
      </c>
    </row>
    <row r="15" spans="1:11">
      <c r="A15" s="47"/>
      <c r="D15" s="48">
        <v>2261.36</v>
      </c>
      <c r="E15" s="49">
        <v>14</v>
      </c>
      <c r="F15" s="50">
        <f t="shared" si="2"/>
        <v>-159.38731213761648</v>
      </c>
      <c r="G15" s="50">
        <f>SUM(F2:F15)</f>
        <v>-3465.2235792997885</v>
      </c>
      <c r="H15" s="51">
        <f t="shared" si="0"/>
        <v>6.6666666666666671E-3</v>
      </c>
      <c r="I15" s="51">
        <v>24</v>
      </c>
      <c r="J15" s="51">
        <v>50000</v>
      </c>
      <c r="K15" s="60">
        <f t="shared" si="1"/>
        <v>21806.183579299781</v>
      </c>
    </row>
    <row r="16" spans="1:11">
      <c r="A16" s="47"/>
      <c r="D16" s="48">
        <v>2261.36</v>
      </c>
      <c r="E16" s="49">
        <v>15</v>
      </c>
      <c r="F16" s="50">
        <f t="shared" si="2"/>
        <v>-145.37413039980586</v>
      </c>
      <c r="G16" s="50">
        <f>SUM(F2:F16)</f>
        <v>-3610.5977096995944</v>
      </c>
      <c r="H16" s="51">
        <f t="shared" si="0"/>
        <v>6.6666666666666671E-3</v>
      </c>
      <c r="I16" s="51">
        <v>24</v>
      </c>
      <c r="J16" s="51">
        <v>50000</v>
      </c>
      <c r="K16" s="60">
        <f t="shared" si="1"/>
        <v>19690.197709699587</v>
      </c>
    </row>
    <row r="17" spans="1:11">
      <c r="A17" s="47"/>
      <c r="D17" s="48">
        <v>2261.36</v>
      </c>
      <c r="E17" s="49">
        <v>16</v>
      </c>
      <c r="F17" s="50">
        <f t="shared" si="2"/>
        <v>-131.26752745040983</v>
      </c>
      <c r="G17" s="50">
        <f>SUM(F2:F17)</f>
        <v>-3741.8652371500043</v>
      </c>
      <c r="H17" s="51">
        <f t="shared" si="0"/>
        <v>6.6666666666666671E-3</v>
      </c>
      <c r="I17" s="51">
        <v>24</v>
      </c>
      <c r="J17" s="51">
        <v>50000</v>
      </c>
      <c r="K17" s="60">
        <f t="shared" si="1"/>
        <v>17560.105237149997</v>
      </c>
    </row>
    <row r="18" spans="1:11">
      <c r="A18" s="47"/>
      <c r="D18" s="48">
        <v>2261.36</v>
      </c>
      <c r="E18" s="49">
        <v>17</v>
      </c>
      <c r="F18" s="50">
        <f t="shared" si="2"/>
        <v>-117.06688048135119</v>
      </c>
      <c r="G18" s="50">
        <f>SUM(F2:F18)</f>
        <v>-3858.9321176313556</v>
      </c>
      <c r="H18" s="51">
        <f t="shared" si="0"/>
        <v>6.6666666666666671E-3</v>
      </c>
      <c r="I18" s="51">
        <v>24</v>
      </c>
      <c r="J18" s="51">
        <v>50000</v>
      </c>
      <c r="K18" s="60">
        <f t="shared" si="1"/>
        <v>15415.812117631347</v>
      </c>
    </row>
    <row r="19" spans="1:11">
      <c r="D19" s="48">
        <v>2261.36</v>
      </c>
      <c r="E19" s="49">
        <v>18</v>
      </c>
      <c r="F19" s="50">
        <f t="shared" si="2"/>
        <v>-102.77156253249882</v>
      </c>
      <c r="G19" s="50">
        <f>SUM(F2:F19)</f>
        <v>-3961.7036801638542</v>
      </c>
      <c r="H19" s="51">
        <f t="shared" si="0"/>
        <v>6.6666666666666671E-3</v>
      </c>
      <c r="I19" s="51">
        <v>24</v>
      </c>
      <c r="J19" s="51">
        <v>50000</v>
      </c>
      <c r="K19" s="60">
        <f t="shared" si="1"/>
        <v>13257.223680163845</v>
      </c>
    </row>
    <row r="20" spans="1:11">
      <c r="D20" s="48">
        <v>2261.36</v>
      </c>
      <c r="E20" s="49">
        <v>19</v>
      </c>
      <c r="F20" s="50">
        <f t="shared" si="2"/>
        <v>-88.380942463987438</v>
      </c>
      <c r="G20" s="50">
        <f>SUM(F2:F20)</f>
        <v>-4050.0846226278418</v>
      </c>
      <c r="H20" s="51">
        <f t="shared" si="0"/>
        <v>6.6666666666666671E-3</v>
      </c>
      <c r="I20" s="51">
        <v>24</v>
      </c>
      <c r="J20" s="51">
        <v>50000</v>
      </c>
      <c r="K20" s="60">
        <f t="shared" si="1"/>
        <v>11084.244622627832</v>
      </c>
    </row>
    <row r="21" spans="1:11">
      <c r="D21" s="48">
        <v>2261.36</v>
      </c>
      <c r="E21" s="49">
        <v>20</v>
      </c>
      <c r="F21" s="50">
        <f t="shared" si="2"/>
        <v>-73.894384928352636</v>
      </c>
      <c r="G21" s="50">
        <f>SUM(F2:F21)</f>
        <v>-4123.9790075561941</v>
      </c>
      <c r="H21" s="51">
        <f t="shared" si="0"/>
        <v>6.6666666666666671E-3</v>
      </c>
      <c r="I21" s="51">
        <v>24</v>
      </c>
      <c r="J21" s="51">
        <v>50000</v>
      </c>
      <c r="K21" s="60">
        <f t="shared" si="1"/>
        <v>8896.7790075561843</v>
      </c>
    </row>
    <row r="22" spans="1:11">
      <c r="D22" s="48">
        <v>2261.36</v>
      </c>
      <c r="E22" s="49">
        <v>21</v>
      </c>
      <c r="F22" s="50">
        <f t="shared" si="2"/>
        <v>-59.311250342480264</v>
      </c>
      <c r="G22" s="50">
        <f>SUM(F2:F22)</f>
        <v>-4183.2902578986741</v>
      </c>
      <c r="H22" s="51">
        <f t="shared" si="0"/>
        <v>6.6666666666666671E-3</v>
      </c>
      <c r="I22" s="51">
        <v>24</v>
      </c>
      <c r="J22" s="51">
        <v>50000</v>
      </c>
      <c r="K22" s="60">
        <f t="shared" si="1"/>
        <v>6694.7302578986637</v>
      </c>
    </row>
    <row r="23" spans="1:11">
      <c r="D23" s="48">
        <v>2261.36</v>
      </c>
      <c r="E23" s="49">
        <v>22</v>
      </c>
      <c r="F23" s="50">
        <f t="shared" si="2"/>
        <v>-44.630894859368745</v>
      </c>
      <c r="G23" s="50">
        <f>SUM(F2:F23)</f>
        <v>-4227.9211527580428</v>
      </c>
      <c r="H23" s="51">
        <f t="shared" si="0"/>
        <v>6.6666666666666671E-3</v>
      </c>
      <c r="I23" s="51">
        <v>24</v>
      </c>
      <c r="J23" s="51">
        <v>50000</v>
      </c>
      <c r="K23" s="60">
        <f t="shared" si="1"/>
        <v>4478.0011527580318</v>
      </c>
    </row>
    <row r="24" spans="1:11">
      <c r="D24" s="48">
        <v>2261.36</v>
      </c>
      <c r="E24" s="49">
        <v>23</v>
      </c>
      <c r="F24" s="50">
        <f t="shared" si="2"/>
        <v>-29.852670339703145</v>
      </c>
      <c r="G24" s="50">
        <f>SUM(F2:F24)</f>
        <v>-4257.7738230977457</v>
      </c>
      <c r="H24" s="51">
        <f t="shared" si="0"/>
        <v>6.6666666666666671E-3</v>
      </c>
      <c r="I24" s="51">
        <v>24</v>
      </c>
      <c r="J24" s="51">
        <v>50000</v>
      </c>
      <c r="K24" s="60">
        <f t="shared" si="1"/>
        <v>2246.4938230977345</v>
      </c>
    </row>
    <row r="25" spans="1:11" ht="15" thickBot="1">
      <c r="D25" s="53">
        <v>2261.36</v>
      </c>
      <c r="E25" s="54">
        <v>24</v>
      </c>
      <c r="F25" s="55">
        <f t="shared" si="2"/>
        <v>-14.975924323239786</v>
      </c>
      <c r="G25" s="55">
        <f>SUM(F2:F25)</f>
        <v>-4272.7497474209858</v>
      </c>
      <c r="H25" s="56">
        <f t="shared" si="0"/>
        <v>6.6666666666666671E-3</v>
      </c>
      <c r="I25" s="56">
        <v>24</v>
      </c>
      <c r="J25" s="56">
        <v>50000</v>
      </c>
      <c r="K25" s="60">
        <f t="shared" si="1"/>
        <v>0.10974742097414492</v>
      </c>
    </row>
    <row r="26" spans="1:11">
      <c r="F26" s="47"/>
      <c r="G26" s="47">
        <f>SUM(F2:F25)</f>
        <v>-4272.7497474209858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3AA7-D3EF-45B7-93E5-6F2DEA9A125B}">
  <dimension ref="A1:C6"/>
  <sheetViews>
    <sheetView tabSelected="1" workbookViewId="0">
      <selection activeCell="B6" sqref="B6"/>
    </sheetView>
  </sheetViews>
  <sheetFormatPr defaultRowHeight="14.5"/>
  <cols>
    <col min="2" max="2" width="10.81640625" bestFit="1" customWidth="1"/>
  </cols>
  <sheetData>
    <row r="1" spans="1:3">
      <c r="A1" t="s">
        <v>42</v>
      </c>
      <c r="B1">
        <v>14322150</v>
      </c>
      <c r="C1">
        <f>Price</f>
        <v>7053634</v>
      </c>
    </row>
    <row r="2" spans="1:3">
      <c r="A2" t="s">
        <v>43</v>
      </c>
      <c r="B2">
        <f>3%</f>
        <v>0.03</v>
      </c>
      <c r="C2">
        <f>sellChangeRate</f>
        <v>0.03</v>
      </c>
    </row>
    <row r="3" spans="1:3">
      <c r="A3" t="s">
        <v>44</v>
      </c>
      <c r="B3">
        <v>6</v>
      </c>
      <c r="C3">
        <v>13</v>
      </c>
    </row>
    <row r="4" spans="1:3">
      <c r="A4" t="s">
        <v>45</v>
      </c>
      <c r="B4">
        <v>1</v>
      </c>
      <c r="C4">
        <v>1</v>
      </c>
    </row>
    <row r="6" spans="1:3">
      <c r="A6" t="s">
        <v>46</v>
      </c>
      <c r="B6">
        <f>B1*(1+B2/B4)^(B3*B4)</f>
        <v>17101396.098732818</v>
      </c>
      <c r="C6">
        <f>C1*(1+C2/C4)^(C3*C4)</f>
        <v>10358499.331348209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033D-6315-438D-949D-E2125284C7ED}">
  <dimension ref="A1:G7"/>
  <sheetViews>
    <sheetView topLeftCell="A5" workbookViewId="0">
      <selection activeCell="G7" sqref="G7"/>
    </sheetView>
  </sheetViews>
  <sheetFormatPr defaultRowHeight="14.5"/>
  <cols>
    <col min="2" max="2" width="16.453125" customWidth="1"/>
    <col min="4" max="4" width="10.90625" customWidth="1"/>
    <col min="5" max="5" width="12.453125" customWidth="1"/>
    <col min="6" max="6" width="13.26953125" customWidth="1"/>
    <col min="7" max="7" width="15.54296875" customWidth="1"/>
  </cols>
  <sheetData>
    <row r="1" spans="1:7" s="1" customFormat="1" ht="29.5" thickBot="1">
      <c r="A1" s="44" t="s">
        <v>22</v>
      </c>
      <c r="B1" s="37" t="s">
        <v>27</v>
      </c>
      <c r="C1" s="37" t="s">
        <v>23</v>
      </c>
      <c r="D1" s="37" t="s">
        <v>24</v>
      </c>
      <c r="E1" s="37" t="s">
        <v>25</v>
      </c>
      <c r="F1" s="37" t="s">
        <v>26</v>
      </c>
      <c r="G1" s="38" t="s">
        <v>5</v>
      </c>
    </row>
    <row r="2" spans="1:7">
      <c r="A2" s="45">
        <v>2025</v>
      </c>
      <c r="B2" s="39">
        <f>-'[2]Loan '!A3</f>
        <v>-811491.85200999992</v>
      </c>
      <c r="C2" s="14">
        <f>'[2]Loan '!B11</f>
        <v>405746</v>
      </c>
      <c r="D2" s="14">
        <f>-'[2]Loan '!B13</f>
        <v>-5362</v>
      </c>
      <c r="E2" s="14">
        <f>D2*12</f>
        <v>-64344</v>
      </c>
      <c r="F2" s="39">
        <f>B2+C2+E2</f>
        <v>-470089.85200999992</v>
      </c>
      <c r="G2" s="40" t="s">
        <v>29</v>
      </c>
    </row>
    <row r="3" spans="1:7">
      <c r="A3" s="45">
        <v>2026</v>
      </c>
      <c r="B3" s="14">
        <v>0</v>
      </c>
      <c r="C3" s="14">
        <v>0</v>
      </c>
      <c r="D3" s="14">
        <f>-'[2]Loan '!B13</f>
        <v>-5362</v>
      </c>
      <c r="E3" s="14">
        <f t="shared" ref="E3:E6" si="0">D3*12</f>
        <v>-64344</v>
      </c>
      <c r="F3" s="39">
        <f t="shared" ref="F3:F6" si="1">B3+C3+E3</f>
        <v>-64344</v>
      </c>
      <c r="G3" s="40" t="s">
        <v>29</v>
      </c>
    </row>
    <row r="4" spans="1:7">
      <c r="A4" s="45">
        <v>2027</v>
      </c>
      <c r="B4" s="14">
        <v>0</v>
      </c>
      <c r="C4" s="14">
        <v>0</v>
      </c>
      <c r="D4" s="14">
        <f>-'[2]Loan '!B13</f>
        <v>-5362</v>
      </c>
      <c r="E4" s="14">
        <f t="shared" si="0"/>
        <v>-64344</v>
      </c>
      <c r="F4" s="39">
        <f t="shared" si="1"/>
        <v>-64344</v>
      </c>
      <c r="G4" s="40" t="s">
        <v>29</v>
      </c>
    </row>
    <row r="5" spans="1:7">
      <c r="A5" s="45">
        <v>2028</v>
      </c>
      <c r="B5" s="14">
        <v>0</v>
      </c>
      <c r="C5" s="14">
        <v>0</v>
      </c>
      <c r="D5" s="14">
        <f>-'[2]Loan '!B13</f>
        <v>-5362</v>
      </c>
      <c r="E5" s="14">
        <f t="shared" si="0"/>
        <v>-64344</v>
      </c>
      <c r="F5" s="39">
        <f t="shared" si="1"/>
        <v>-64344</v>
      </c>
      <c r="G5" s="40" t="s">
        <v>29</v>
      </c>
    </row>
    <row r="6" spans="1:7">
      <c r="A6" s="45">
        <v>2029</v>
      </c>
      <c r="B6" s="14">
        <v>0</v>
      </c>
      <c r="C6" s="14">
        <v>0</v>
      </c>
      <c r="D6" s="14">
        <f>-'[2]Loan '!B13</f>
        <v>-5362</v>
      </c>
      <c r="E6" s="14">
        <f t="shared" si="0"/>
        <v>-64344</v>
      </c>
      <c r="F6" s="39">
        <f t="shared" si="1"/>
        <v>-64344</v>
      </c>
      <c r="G6" s="40" t="s">
        <v>29</v>
      </c>
    </row>
    <row r="7" spans="1:7" ht="44" thickBot="1">
      <c r="A7" s="46">
        <v>2030</v>
      </c>
      <c r="B7" s="41"/>
      <c r="C7" s="41"/>
      <c r="D7" s="41"/>
      <c r="E7" s="41"/>
      <c r="F7" s="42"/>
      <c r="G7" s="43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Appreciation</vt:lpstr>
      <vt:lpstr>Depreciation</vt:lpstr>
      <vt:lpstr>Loan </vt:lpstr>
      <vt:lpstr>Loan Calculations</vt:lpstr>
      <vt:lpstr>Compounding</vt:lpstr>
      <vt:lpstr>Cash Flows</vt:lpstr>
      <vt:lpstr>LoanAmount</vt:lpstr>
      <vt:lpstr>LoanPercent</vt:lpstr>
      <vt:lpstr>LoanPrincipal</vt:lpstr>
      <vt:lpstr>LoanRate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 Garg</dc:creator>
  <cp:lastModifiedBy>manisha garg</cp:lastModifiedBy>
  <dcterms:created xsi:type="dcterms:W3CDTF">2015-06-05T18:17:20Z</dcterms:created>
  <dcterms:modified xsi:type="dcterms:W3CDTF">2020-08-14T07:38:16Z</dcterms:modified>
</cp:coreProperties>
</file>