
<file path=[Content_Types].xml><?xml version="1.0" encoding="utf-8"?>
<Types xmlns="http://schemas.openxmlformats.org/package/2006/content-types">
  <Default Extension="bin" ContentType="application/vnd.openxmlformats-officedocument.spreadsheetml.printerSettings"/>
  <Default Extension="png" ContentType="image/png"/>
  <Override PartName="/xl/drawings/drawing9.xml" ContentType="application/vnd.openxmlformats-officedocument.drawing+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drawings/drawing4.xml" ContentType="application/vnd.openxmlformats-officedocument.drawing+xml"/>
  <Override PartName="/xl/drawings/drawing5.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drawings/drawing11.xml" ContentType="application/vnd.openxmlformats-officedocument.drawing+xml"/>
  <Override PartName="/xl/drawings/drawing12.xml" ContentType="application/vnd.openxmlformats-officedocument.drawing+xml"/>
  <Override PartName="/xl/calcChain.xml" ContentType="application/vnd.openxmlformats-officedocument.spreadsheetml.calcChain+xml"/>
  <Override PartName="/xl/sharedStrings.xml" ContentType="application/vnd.openxmlformats-officedocument.spreadsheetml.sharedStrings+xml"/>
  <Override PartName="/xl/drawings/drawing10.xml" ContentType="application/vnd.openxmlformats-officedocument.drawing+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codeName="ThisWorkbook" defaultThemeVersion="124226"/>
  <bookViews>
    <workbookView xWindow="11220" yWindow="-180" windowWidth="8595" windowHeight="12690" tabRatio="854" activeTab="11"/>
  </bookViews>
  <sheets>
    <sheet name="Enero" sheetId="22" r:id="rId1"/>
    <sheet name="Febrero" sheetId="23" r:id="rId2"/>
    <sheet name="Marzo." sheetId="24" r:id="rId3"/>
    <sheet name="Abril" sheetId="25" r:id="rId4"/>
    <sheet name="Mayo" sheetId="26" r:id="rId5"/>
    <sheet name="Junio" sheetId="27" r:id="rId6"/>
    <sheet name="Julio" sheetId="9" r:id="rId7"/>
    <sheet name="Agosto" sheetId="17" r:id="rId8"/>
    <sheet name="Septiembre" sheetId="18" r:id="rId9"/>
    <sheet name="Octubre" sheetId="19" r:id="rId10"/>
    <sheet name="Noviembre" sheetId="28" r:id="rId11"/>
    <sheet name="Diciembre" sheetId="29" r:id="rId12"/>
  </sheets>
  <definedNames>
    <definedName name="_xlnm._FilterDatabase" localSheetId="3" hidden="1">Abril!$A$7:$S$101</definedName>
    <definedName name="_xlnm._FilterDatabase" localSheetId="7" hidden="1">Agosto!$A$7:$S$40</definedName>
    <definedName name="_xlnm._FilterDatabase" localSheetId="11" hidden="1">Diciembre!$A$7:$S$56</definedName>
    <definedName name="_xlnm._FilterDatabase" localSheetId="0" hidden="1">Enero!$A$7:$S$90</definedName>
    <definedName name="_xlnm._FilterDatabase" localSheetId="1" hidden="1">Febrero!$A$7:$S$101</definedName>
    <definedName name="_xlnm._FilterDatabase" localSheetId="6" hidden="1">Julio!$A$7:$Y$95</definedName>
    <definedName name="_xlnm._FilterDatabase" localSheetId="5" hidden="1">Junio!$A$7:$S$119</definedName>
    <definedName name="_xlnm._FilterDatabase" localSheetId="2" hidden="1">Marzo.!$A$7:$S$101</definedName>
    <definedName name="_xlnm._FilterDatabase" localSheetId="4" hidden="1">Mayo!$A$7:$S$88</definedName>
    <definedName name="_xlnm._FilterDatabase" localSheetId="10" hidden="1">Noviembre!$A$7:$S$99</definedName>
    <definedName name="_xlnm._FilterDatabase" localSheetId="9" hidden="1">Octubre!$A$7:$S$37</definedName>
    <definedName name="_xlnm._FilterDatabase" localSheetId="8" hidden="1">Septiembre!$A$7:$S$197</definedName>
  </definedNames>
  <calcPr calcId="125725"/>
</workbook>
</file>

<file path=xl/calcChain.xml><?xml version="1.0" encoding="utf-8"?>
<calcChain xmlns="http://schemas.openxmlformats.org/spreadsheetml/2006/main">
  <c r="X73" i="29"/>
  <c r="V73"/>
  <c r="W73"/>
  <c r="X72" l="1"/>
  <c r="W72"/>
  <c r="V72"/>
  <c r="T72"/>
  <c r="S72"/>
  <c r="R72"/>
  <c r="Q72"/>
  <c r="M72"/>
  <c r="H72"/>
  <c r="X71"/>
  <c r="W71"/>
  <c r="V71"/>
  <c r="T71"/>
  <c r="S71"/>
  <c r="R71"/>
  <c r="Q71"/>
  <c r="M71"/>
  <c r="U71" s="1"/>
  <c r="H71"/>
  <c r="X70"/>
  <c r="W70"/>
  <c r="V70"/>
  <c r="T70"/>
  <c r="S70"/>
  <c r="R70"/>
  <c r="Q70"/>
  <c r="M70"/>
  <c r="U70" s="1"/>
  <c r="H70"/>
  <c r="X69"/>
  <c r="W69"/>
  <c r="V69"/>
  <c r="U69" s="1"/>
  <c r="T69"/>
  <c r="S69"/>
  <c r="R69"/>
  <c r="Q69"/>
  <c r="M69"/>
  <c r="H69"/>
  <c r="X68"/>
  <c r="W68"/>
  <c r="V68"/>
  <c r="T68"/>
  <c r="S68"/>
  <c r="R68"/>
  <c r="Q68"/>
  <c r="M68"/>
  <c r="H68"/>
  <c r="X67"/>
  <c r="W67"/>
  <c r="V67"/>
  <c r="T67"/>
  <c r="S67"/>
  <c r="R67"/>
  <c r="Q67"/>
  <c r="M67"/>
  <c r="H67"/>
  <c r="X66"/>
  <c r="W66"/>
  <c r="V66"/>
  <c r="T66"/>
  <c r="S66"/>
  <c r="R66"/>
  <c r="Q66"/>
  <c r="M66"/>
  <c r="H66"/>
  <c r="X65"/>
  <c r="W65"/>
  <c r="V65"/>
  <c r="T65"/>
  <c r="S65"/>
  <c r="R65"/>
  <c r="Q65"/>
  <c r="M65"/>
  <c r="U65" s="1"/>
  <c r="H65"/>
  <c r="X64"/>
  <c r="W64"/>
  <c r="V64"/>
  <c r="T64"/>
  <c r="S64"/>
  <c r="R64"/>
  <c r="Q64"/>
  <c r="M64"/>
  <c r="H64"/>
  <c r="X63"/>
  <c r="W63"/>
  <c r="V63"/>
  <c r="T63"/>
  <c r="S63"/>
  <c r="R63"/>
  <c r="Q63"/>
  <c r="M63"/>
  <c r="H63"/>
  <c r="X62"/>
  <c r="W62"/>
  <c r="V62"/>
  <c r="U62" s="1"/>
  <c r="T62"/>
  <c r="S62"/>
  <c r="R62"/>
  <c r="Q62"/>
  <c r="M62"/>
  <c r="H62"/>
  <c r="X61"/>
  <c r="W61"/>
  <c r="V61"/>
  <c r="T61"/>
  <c r="S61"/>
  <c r="R61"/>
  <c r="Q61"/>
  <c r="M61"/>
  <c r="H61"/>
  <c r="X60"/>
  <c r="W60"/>
  <c r="V60"/>
  <c r="T60"/>
  <c r="S60"/>
  <c r="R60"/>
  <c r="Q60"/>
  <c r="M60"/>
  <c r="H60"/>
  <c r="X59"/>
  <c r="W59"/>
  <c r="V59"/>
  <c r="U59" s="1"/>
  <c r="T59"/>
  <c r="S59"/>
  <c r="R59"/>
  <c r="Q59"/>
  <c r="M59"/>
  <c r="H59"/>
  <c r="X58"/>
  <c r="W58"/>
  <c r="V58"/>
  <c r="U58" s="1"/>
  <c r="T58"/>
  <c r="S58"/>
  <c r="R58"/>
  <c r="Q58"/>
  <c r="M58"/>
  <c r="U61" l="1"/>
  <c r="U68"/>
  <c r="U60"/>
  <c r="U64"/>
  <c r="U67"/>
  <c r="U63"/>
  <c r="U66"/>
  <c r="U72"/>
  <c r="H58"/>
  <c r="X57"/>
  <c r="W57"/>
  <c r="V57"/>
  <c r="T57"/>
  <c r="S57"/>
  <c r="R57"/>
  <c r="Q57"/>
  <c r="M57"/>
  <c r="H57"/>
  <c r="X56"/>
  <c r="W56"/>
  <c r="V56"/>
  <c r="U56" s="1"/>
  <c r="T56"/>
  <c r="S56"/>
  <c r="R56"/>
  <c r="Q56"/>
  <c r="M56"/>
  <c r="H56"/>
  <c r="X55"/>
  <c r="W55"/>
  <c r="V55"/>
  <c r="T55"/>
  <c r="S55"/>
  <c r="R55"/>
  <c r="Q55"/>
  <c r="M55"/>
  <c r="H55"/>
  <c r="X54"/>
  <c r="W54"/>
  <c r="V54"/>
  <c r="T54"/>
  <c r="S54"/>
  <c r="R54"/>
  <c r="Q54"/>
  <c r="M54"/>
  <c r="U54" s="1"/>
  <c r="H54"/>
  <c r="X53"/>
  <c r="W53"/>
  <c r="V53"/>
  <c r="U53" s="1"/>
  <c r="T53"/>
  <c r="S53"/>
  <c r="R53"/>
  <c r="Q53"/>
  <c r="M53"/>
  <c r="H53"/>
  <c r="X52"/>
  <c r="W52"/>
  <c r="V52"/>
  <c r="U52"/>
  <c r="T52"/>
  <c r="S52"/>
  <c r="R52"/>
  <c r="Q52"/>
  <c r="M52"/>
  <c r="H52"/>
  <c r="X51"/>
  <c r="W51"/>
  <c r="V51"/>
  <c r="T51"/>
  <c r="S51"/>
  <c r="R51"/>
  <c r="Q51"/>
  <c r="M51"/>
  <c r="H51"/>
  <c r="X50"/>
  <c r="W50"/>
  <c r="V50"/>
  <c r="U50" s="1"/>
  <c r="T50"/>
  <c r="S50"/>
  <c r="R50"/>
  <c r="Q50"/>
  <c r="M50"/>
  <c r="H50"/>
  <c r="X49"/>
  <c r="W49"/>
  <c r="V49"/>
  <c r="T49"/>
  <c r="S49"/>
  <c r="R49"/>
  <c r="Q49"/>
  <c r="M49"/>
  <c r="H49"/>
  <c r="X48"/>
  <c r="W48"/>
  <c r="V48"/>
  <c r="U48" s="1"/>
  <c r="T48"/>
  <c r="S48"/>
  <c r="R48"/>
  <c r="Q48"/>
  <c r="M48"/>
  <c r="H48"/>
  <c r="X47"/>
  <c r="W47"/>
  <c r="V47"/>
  <c r="T47"/>
  <c r="S47"/>
  <c r="R47"/>
  <c r="Q47"/>
  <c r="M47"/>
  <c r="H47"/>
  <c r="X46"/>
  <c r="W46"/>
  <c r="V46"/>
  <c r="U46" s="1"/>
  <c r="T46"/>
  <c r="S46"/>
  <c r="R46"/>
  <c r="Q46"/>
  <c r="M46"/>
  <c r="H46"/>
  <c r="X45"/>
  <c r="W45"/>
  <c r="V45"/>
  <c r="T45"/>
  <c r="S45"/>
  <c r="R45"/>
  <c r="Q45"/>
  <c r="M45"/>
  <c r="H45"/>
  <c r="X44"/>
  <c r="W44"/>
  <c r="V44"/>
  <c r="U44" s="1"/>
  <c r="T44"/>
  <c r="S44"/>
  <c r="R44"/>
  <c r="Q44"/>
  <c r="M44"/>
  <c r="H44"/>
  <c r="X43"/>
  <c r="W43"/>
  <c r="V43"/>
  <c r="T43"/>
  <c r="S43"/>
  <c r="R43"/>
  <c r="Q43"/>
  <c r="M43"/>
  <c r="H43"/>
  <c r="X42"/>
  <c r="W42"/>
  <c r="V42"/>
  <c r="U42" s="1"/>
  <c r="T42"/>
  <c r="S42"/>
  <c r="R42"/>
  <c r="Q42"/>
  <c r="M42"/>
  <c r="H42"/>
  <c r="X41"/>
  <c r="W41"/>
  <c r="V41"/>
  <c r="T41"/>
  <c r="S41"/>
  <c r="R41"/>
  <c r="Q41"/>
  <c r="M41"/>
  <c r="H41"/>
  <c r="X40"/>
  <c r="W40"/>
  <c r="V40"/>
  <c r="U40" s="1"/>
  <c r="T40"/>
  <c r="S40"/>
  <c r="R40"/>
  <c r="Q40"/>
  <c r="M40"/>
  <c r="H40"/>
  <c r="X39"/>
  <c r="W39"/>
  <c r="V39"/>
  <c r="T39"/>
  <c r="S39"/>
  <c r="R39"/>
  <c r="Q39"/>
  <c r="M39"/>
  <c r="H39"/>
  <c r="X38"/>
  <c r="W38"/>
  <c r="V38"/>
  <c r="U38" s="1"/>
  <c r="T38"/>
  <c r="S38"/>
  <c r="R38"/>
  <c r="Q38"/>
  <c r="M38"/>
  <c r="H38"/>
  <c r="X37"/>
  <c r="W37"/>
  <c r="V37"/>
  <c r="T37"/>
  <c r="S37"/>
  <c r="R37"/>
  <c r="Q37"/>
  <c r="M37"/>
  <c r="H37"/>
  <c r="X36"/>
  <c r="W36"/>
  <c r="V36"/>
  <c r="U36" s="1"/>
  <c r="T36"/>
  <c r="S36"/>
  <c r="R36"/>
  <c r="Q36"/>
  <c r="M36"/>
  <c r="H36"/>
  <c r="X35"/>
  <c r="W35"/>
  <c r="V35"/>
  <c r="T35"/>
  <c r="S35"/>
  <c r="R35"/>
  <c r="Q35"/>
  <c r="M35"/>
  <c r="H35"/>
  <c r="X34"/>
  <c r="W34"/>
  <c r="V34"/>
  <c r="U34" s="1"/>
  <c r="T34"/>
  <c r="S34"/>
  <c r="R34"/>
  <c r="Q34"/>
  <c r="M34"/>
  <c r="H34"/>
  <c r="X33"/>
  <c r="W33"/>
  <c r="V33"/>
  <c r="T33"/>
  <c r="S33"/>
  <c r="R33"/>
  <c r="Q33"/>
  <c r="M33"/>
  <c r="H33"/>
  <c r="X32"/>
  <c r="W32"/>
  <c r="V32"/>
  <c r="U32" s="1"/>
  <c r="T32"/>
  <c r="S32"/>
  <c r="R32"/>
  <c r="Q32"/>
  <c r="M32"/>
  <c r="H32"/>
  <c r="X31"/>
  <c r="W31"/>
  <c r="V31"/>
  <c r="T31"/>
  <c r="S31"/>
  <c r="R31"/>
  <c r="Q31"/>
  <c r="M31"/>
  <c r="H31"/>
  <c r="X30"/>
  <c r="W30"/>
  <c r="V30"/>
  <c r="U30" s="1"/>
  <c r="T30"/>
  <c r="S30"/>
  <c r="R30"/>
  <c r="Q30"/>
  <c r="M30"/>
  <c r="H30"/>
  <c r="X29"/>
  <c r="W29"/>
  <c r="V29"/>
  <c r="T29"/>
  <c r="S29"/>
  <c r="R29"/>
  <c r="Q29"/>
  <c r="M29"/>
  <c r="H29"/>
  <c r="M28"/>
  <c r="U29" l="1"/>
  <c r="U33"/>
  <c r="U37"/>
  <c r="U41"/>
  <c r="U45"/>
  <c r="U49"/>
  <c r="U55"/>
  <c r="U31"/>
  <c r="U35"/>
  <c r="U39"/>
  <c r="U43"/>
  <c r="U47"/>
  <c r="U51"/>
  <c r="U57"/>
  <c r="E28"/>
  <c r="M27"/>
  <c r="E27"/>
  <c r="X27" s="1"/>
  <c r="X26"/>
  <c r="W26"/>
  <c r="V26"/>
  <c r="U26"/>
  <c r="T26"/>
  <c r="S26"/>
  <c r="R26"/>
  <c r="Q26"/>
  <c r="H26"/>
  <c r="X25"/>
  <c r="W25"/>
  <c r="V25"/>
  <c r="U25" s="1"/>
  <c r="T25"/>
  <c r="S25"/>
  <c r="R25"/>
  <c r="Q25"/>
  <c r="M25"/>
  <c r="H25"/>
  <c r="X24"/>
  <c r="W24"/>
  <c r="V24"/>
  <c r="T24"/>
  <c r="S24"/>
  <c r="R24"/>
  <c r="Q24"/>
  <c r="M24"/>
  <c r="H24"/>
  <c r="X23"/>
  <c r="W23"/>
  <c r="V23"/>
  <c r="U23" s="1"/>
  <c r="T23"/>
  <c r="S23"/>
  <c r="R23"/>
  <c r="Q23"/>
  <c r="M23"/>
  <c r="H23"/>
  <c r="X22"/>
  <c r="W22"/>
  <c r="V22"/>
  <c r="T22"/>
  <c r="S22"/>
  <c r="R22"/>
  <c r="Q22"/>
  <c r="M22"/>
  <c r="H22"/>
  <c r="X21"/>
  <c r="W21"/>
  <c r="V21"/>
  <c r="U21" s="1"/>
  <c r="T21"/>
  <c r="S21"/>
  <c r="R21"/>
  <c r="Q21"/>
  <c r="M21"/>
  <c r="H21"/>
  <c r="X20"/>
  <c r="W20"/>
  <c r="V20"/>
  <c r="T20"/>
  <c r="S20"/>
  <c r="R20"/>
  <c r="Q20"/>
  <c r="M20"/>
  <c r="H20"/>
  <c r="X19"/>
  <c r="W19"/>
  <c r="V19"/>
  <c r="U19" s="1"/>
  <c r="T19"/>
  <c r="S19"/>
  <c r="R19"/>
  <c r="Q19"/>
  <c r="M19"/>
  <c r="H19"/>
  <c r="X18"/>
  <c r="W18"/>
  <c r="V18"/>
  <c r="T18"/>
  <c r="S18"/>
  <c r="R18"/>
  <c r="Q18"/>
  <c r="M18"/>
  <c r="H18"/>
  <c r="X17"/>
  <c r="W17"/>
  <c r="V17"/>
  <c r="U17" s="1"/>
  <c r="T17"/>
  <c r="S17"/>
  <c r="R17"/>
  <c r="Q17"/>
  <c r="M17"/>
  <c r="H17"/>
  <c r="X16"/>
  <c r="W16"/>
  <c r="V16"/>
  <c r="T16"/>
  <c r="S16"/>
  <c r="R16"/>
  <c r="Q16"/>
  <c r="M16"/>
  <c r="H16"/>
  <c r="X15"/>
  <c r="W15"/>
  <c r="V15"/>
  <c r="U15" s="1"/>
  <c r="T15"/>
  <c r="S15"/>
  <c r="R15"/>
  <c r="Q15"/>
  <c r="M15"/>
  <c r="H15"/>
  <c r="X14"/>
  <c r="W14"/>
  <c r="V14"/>
  <c r="U14"/>
  <c r="T14"/>
  <c r="S14"/>
  <c r="R14"/>
  <c r="Q14"/>
  <c r="M14"/>
  <c r="H14"/>
  <c r="X13"/>
  <c r="W13"/>
  <c r="V13"/>
  <c r="U13"/>
  <c r="T13"/>
  <c r="S13"/>
  <c r="R13"/>
  <c r="Q13"/>
  <c r="M13"/>
  <c r="H13"/>
  <c r="X12"/>
  <c r="W12"/>
  <c r="V12"/>
  <c r="T12"/>
  <c r="S12"/>
  <c r="R12"/>
  <c r="Q12"/>
  <c r="M12"/>
  <c r="H12"/>
  <c r="X11"/>
  <c r="W11"/>
  <c r="V11"/>
  <c r="U11" s="1"/>
  <c r="T11"/>
  <c r="S11"/>
  <c r="R11"/>
  <c r="Q11"/>
  <c r="M11"/>
  <c r="H11"/>
  <c r="X10"/>
  <c r="W10"/>
  <c r="V10"/>
  <c r="T10"/>
  <c r="S10"/>
  <c r="R10"/>
  <c r="Q10"/>
  <c r="M10"/>
  <c r="H10"/>
  <c r="X9"/>
  <c r="W9"/>
  <c r="V9"/>
  <c r="U9" s="1"/>
  <c r="T9"/>
  <c r="S9"/>
  <c r="R9"/>
  <c r="Q9"/>
  <c r="M9"/>
  <c r="H9"/>
  <c r="X8"/>
  <c r="W8"/>
  <c r="V8"/>
  <c r="T8"/>
  <c r="S8"/>
  <c r="R8"/>
  <c r="Q8"/>
  <c r="M8"/>
  <c r="H8"/>
  <c r="R27" l="1"/>
  <c r="R73" s="1"/>
  <c r="W27"/>
  <c r="U10"/>
  <c r="U16"/>
  <c r="U20"/>
  <c r="U24"/>
  <c r="Q27"/>
  <c r="V27"/>
  <c r="U27" s="1"/>
  <c r="T28"/>
  <c r="V28"/>
  <c r="U28" s="1"/>
  <c r="Q28"/>
  <c r="X28"/>
  <c r="H28"/>
  <c r="W28"/>
  <c r="R28"/>
  <c r="S28"/>
  <c r="T27"/>
  <c r="U8"/>
  <c r="T73"/>
  <c r="Q73"/>
  <c r="U12"/>
  <c r="U18"/>
  <c r="U22"/>
  <c r="H27"/>
  <c r="S27"/>
  <c r="S73" s="1"/>
  <c r="X133" i="28"/>
  <c r="W133"/>
  <c r="V133"/>
  <c r="U133" s="1"/>
  <c r="T133"/>
  <c r="S133"/>
  <c r="R133"/>
  <c r="Q133"/>
  <c r="M133"/>
  <c r="H133"/>
  <c r="X132"/>
  <c r="W132"/>
  <c r="V132"/>
  <c r="U132"/>
  <c r="T132"/>
  <c r="S132"/>
  <c r="R132"/>
  <c r="Q132"/>
  <c r="M132"/>
  <c r="H132"/>
  <c r="X131"/>
  <c r="W131"/>
  <c r="V131"/>
  <c r="T131"/>
  <c r="S131"/>
  <c r="R131"/>
  <c r="Q131"/>
  <c r="M131"/>
  <c r="H131"/>
  <c r="X130"/>
  <c r="W130"/>
  <c r="V130"/>
  <c r="U130" s="1"/>
  <c r="T130"/>
  <c r="S130"/>
  <c r="R130"/>
  <c r="Q130"/>
  <c r="M130"/>
  <c r="H130"/>
  <c r="X129"/>
  <c r="W129"/>
  <c r="V129"/>
  <c r="T129"/>
  <c r="S129"/>
  <c r="R129"/>
  <c r="Q129"/>
  <c r="M129"/>
  <c r="H129"/>
  <c r="X128"/>
  <c r="W128"/>
  <c r="V128"/>
  <c r="U128" s="1"/>
  <c r="T128"/>
  <c r="S128"/>
  <c r="R128"/>
  <c r="Q128"/>
  <c r="M128"/>
  <c r="H128"/>
  <c r="X127"/>
  <c r="W127"/>
  <c r="V127"/>
  <c r="T127"/>
  <c r="S127"/>
  <c r="R127"/>
  <c r="Q127"/>
  <c r="M127"/>
  <c r="H127"/>
  <c r="X126"/>
  <c r="W126"/>
  <c r="V126"/>
  <c r="U126" s="1"/>
  <c r="T126"/>
  <c r="S126"/>
  <c r="R126"/>
  <c r="Q126"/>
  <c r="M126"/>
  <c r="H126"/>
  <c r="X125"/>
  <c r="W125"/>
  <c r="V125"/>
  <c r="T125"/>
  <c r="S125"/>
  <c r="R125"/>
  <c r="Q125"/>
  <c r="M125"/>
  <c r="H125"/>
  <c r="X124"/>
  <c r="W124"/>
  <c r="V124"/>
  <c r="U124" s="1"/>
  <c r="T124"/>
  <c r="S124"/>
  <c r="R124"/>
  <c r="Q124"/>
  <c r="M124"/>
  <c r="H124"/>
  <c r="T123"/>
  <c r="M123"/>
  <c r="E123"/>
  <c r="V123" s="1"/>
  <c r="U123" s="1"/>
  <c r="X122"/>
  <c r="W122"/>
  <c r="V122"/>
  <c r="T122"/>
  <c r="S122"/>
  <c r="R122"/>
  <c r="Q122"/>
  <c r="M122"/>
  <c r="H122"/>
  <c r="X121"/>
  <c r="W121"/>
  <c r="V121"/>
  <c r="U121" s="1"/>
  <c r="T121"/>
  <c r="S121"/>
  <c r="R121"/>
  <c r="Q121"/>
  <c r="M121"/>
  <c r="H121"/>
  <c r="X120"/>
  <c r="W120"/>
  <c r="V120"/>
  <c r="T120"/>
  <c r="S120"/>
  <c r="R120"/>
  <c r="Q120"/>
  <c r="M120"/>
  <c r="H120"/>
  <c r="X119"/>
  <c r="W119"/>
  <c r="V119"/>
  <c r="U119" s="1"/>
  <c r="T119"/>
  <c r="S119"/>
  <c r="R119"/>
  <c r="Q119"/>
  <c r="M119"/>
  <c r="H119"/>
  <c r="X118"/>
  <c r="W118"/>
  <c r="V118"/>
  <c r="T118"/>
  <c r="S118"/>
  <c r="R118"/>
  <c r="Q118"/>
  <c r="M118"/>
  <c r="H118"/>
  <c r="X117"/>
  <c r="W117"/>
  <c r="V117"/>
  <c r="T117"/>
  <c r="S117"/>
  <c r="R117"/>
  <c r="Q117"/>
  <c r="M117"/>
  <c r="U117" s="1"/>
  <c r="H117"/>
  <c r="X116"/>
  <c r="W116"/>
  <c r="V116"/>
  <c r="U116" s="1"/>
  <c r="T116"/>
  <c r="S116"/>
  <c r="R116"/>
  <c r="Q116"/>
  <c r="M116"/>
  <c r="H116"/>
  <c r="X115"/>
  <c r="W115"/>
  <c r="V115"/>
  <c r="T115"/>
  <c r="S115"/>
  <c r="R115"/>
  <c r="Q115"/>
  <c r="M115"/>
  <c r="H115"/>
  <c r="X114"/>
  <c r="V114"/>
  <c r="U114" s="1"/>
  <c r="S114"/>
  <c r="Q114"/>
  <c r="M114"/>
  <c r="H114"/>
  <c r="E114"/>
  <c r="T114" s="1"/>
  <c r="X113"/>
  <c r="W113"/>
  <c r="V113"/>
  <c r="U113" s="1"/>
  <c r="T113"/>
  <c r="S113"/>
  <c r="R113"/>
  <c r="Q113"/>
  <c r="M113"/>
  <c r="H113"/>
  <c r="X112"/>
  <c r="W112"/>
  <c r="V112"/>
  <c r="T112"/>
  <c r="S112"/>
  <c r="R112"/>
  <c r="Q112"/>
  <c r="M112"/>
  <c r="G112"/>
  <c r="H112" s="1"/>
  <c r="X111"/>
  <c r="W111"/>
  <c r="V111"/>
  <c r="T111"/>
  <c r="S111"/>
  <c r="R111"/>
  <c r="Q111"/>
  <c r="M111"/>
  <c r="H111"/>
  <c r="X110"/>
  <c r="W110"/>
  <c r="V110"/>
  <c r="U110" s="1"/>
  <c r="T110"/>
  <c r="S110"/>
  <c r="R110"/>
  <c r="Q110"/>
  <c r="M110"/>
  <c r="H110"/>
  <c r="X109"/>
  <c r="W109"/>
  <c r="V109"/>
  <c r="T109"/>
  <c r="S109"/>
  <c r="R109"/>
  <c r="Q109"/>
  <c r="M109"/>
  <c r="H109"/>
  <c r="X108"/>
  <c r="W108"/>
  <c r="V108"/>
  <c r="U108" s="1"/>
  <c r="T108"/>
  <c r="S108"/>
  <c r="R108"/>
  <c r="Q108"/>
  <c r="M108"/>
  <c r="H108"/>
  <c r="X107"/>
  <c r="W107"/>
  <c r="V107"/>
  <c r="T107"/>
  <c r="S107"/>
  <c r="R107"/>
  <c r="Q107"/>
  <c r="M107"/>
  <c r="H107"/>
  <c r="X106"/>
  <c r="W106"/>
  <c r="V106"/>
  <c r="U106" s="1"/>
  <c r="T106"/>
  <c r="S106"/>
  <c r="R106"/>
  <c r="Q106"/>
  <c r="M106"/>
  <c r="H106"/>
  <c r="X105"/>
  <c r="W105"/>
  <c r="V105"/>
  <c r="T105"/>
  <c r="S105"/>
  <c r="R105"/>
  <c r="Q105"/>
  <c r="M105"/>
  <c r="H105"/>
  <c r="X104"/>
  <c r="W104"/>
  <c r="V104"/>
  <c r="U104" s="1"/>
  <c r="T104"/>
  <c r="S104"/>
  <c r="R104"/>
  <c r="Q104"/>
  <c r="M104"/>
  <c r="H104"/>
  <c r="X103"/>
  <c r="W103"/>
  <c r="V103"/>
  <c r="T103"/>
  <c r="S103"/>
  <c r="R103"/>
  <c r="Q103"/>
  <c r="M103"/>
  <c r="H103"/>
  <c r="X102"/>
  <c r="W102"/>
  <c r="V102"/>
  <c r="U102" s="1"/>
  <c r="T102"/>
  <c r="S102"/>
  <c r="R102"/>
  <c r="Q102"/>
  <c r="M102"/>
  <c r="H102"/>
  <c r="X101"/>
  <c r="W101"/>
  <c r="V101"/>
  <c r="T101"/>
  <c r="S101"/>
  <c r="R101"/>
  <c r="Q101"/>
  <c r="M101"/>
  <c r="H101"/>
  <c r="X100"/>
  <c r="W100"/>
  <c r="V100"/>
  <c r="T100"/>
  <c r="S100"/>
  <c r="R100"/>
  <c r="Q100"/>
  <c r="M100"/>
  <c r="U100" s="1"/>
  <c r="H100"/>
  <c r="X99"/>
  <c r="W99"/>
  <c r="V99"/>
  <c r="U99" s="1"/>
  <c r="T99"/>
  <c r="S99"/>
  <c r="R99"/>
  <c r="Q99"/>
  <c r="M99"/>
  <c r="H99"/>
  <c r="X98"/>
  <c r="W98"/>
  <c r="V98"/>
  <c r="T98"/>
  <c r="S98"/>
  <c r="R98"/>
  <c r="Q98"/>
  <c r="M98"/>
  <c r="H98"/>
  <c r="X97"/>
  <c r="W97"/>
  <c r="V97"/>
  <c r="U97" s="1"/>
  <c r="T97"/>
  <c r="S97"/>
  <c r="R97"/>
  <c r="Q97"/>
  <c r="M97"/>
  <c r="H97"/>
  <c r="T96"/>
  <c r="M96"/>
  <c r="E96"/>
  <c r="V96" s="1"/>
  <c r="U96" s="1"/>
  <c r="X95"/>
  <c r="W95"/>
  <c r="V95"/>
  <c r="T95"/>
  <c r="S95"/>
  <c r="R95"/>
  <c r="Q95"/>
  <c r="M95"/>
  <c r="H95"/>
  <c r="X94"/>
  <c r="W94"/>
  <c r="V94"/>
  <c r="U94" s="1"/>
  <c r="T94"/>
  <c r="S94"/>
  <c r="R94"/>
  <c r="Q94"/>
  <c r="M94"/>
  <c r="H94"/>
  <c r="X93"/>
  <c r="W93"/>
  <c r="V93"/>
  <c r="T93"/>
  <c r="S93"/>
  <c r="R93"/>
  <c r="Q93"/>
  <c r="M93"/>
  <c r="H93"/>
  <c r="X92"/>
  <c r="W92"/>
  <c r="V92"/>
  <c r="U92" s="1"/>
  <c r="T92"/>
  <c r="S92"/>
  <c r="R92"/>
  <c r="Q92"/>
  <c r="M92"/>
  <c r="H92"/>
  <c r="X91"/>
  <c r="W91"/>
  <c r="V91"/>
  <c r="T91"/>
  <c r="S91"/>
  <c r="R91"/>
  <c r="Q91"/>
  <c r="M91"/>
  <c r="H91"/>
  <c r="X90"/>
  <c r="W90"/>
  <c r="V90"/>
  <c r="U90" s="1"/>
  <c r="T90"/>
  <c r="S90"/>
  <c r="R90"/>
  <c r="Q90"/>
  <c r="M90"/>
  <c r="H90"/>
  <c r="X89"/>
  <c r="W89"/>
  <c r="V89"/>
  <c r="T89"/>
  <c r="S89"/>
  <c r="R89"/>
  <c r="Q89"/>
  <c r="M89"/>
  <c r="H89"/>
  <c r="X88"/>
  <c r="W88"/>
  <c r="V88"/>
  <c r="T88"/>
  <c r="S88"/>
  <c r="R88"/>
  <c r="Q88"/>
  <c r="M88"/>
  <c r="U88" s="1"/>
  <c r="H88"/>
  <c r="X87"/>
  <c r="W87"/>
  <c r="V87"/>
  <c r="T87"/>
  <c r="S87"/>
  <c r="R87"/>
  <c r="Q87"/>
  <c r="M87"/>
  <c r="U87" s="1"/>
  <c r="H87"/>
  <c r="X86"/>
  <c r="W86"/>
  <c r="V86"/>
  <c r="T86"/>
  <c r="S86"/>
  <c r="R86"/>
  <c r="Q86"/>
  <c r="M86"/>
  <c r="U86" s="1"/>
  <c r="H86"/>
  <c r="X85"/>
  <c r="W85"/>
  <c r="V85"/>
  <c r="T85"/>
  <c r="S85"/>
  <c r="R85"/>
  <c r="Q85"/>
  <c r="M85"/>
  <c r="U85" s="1"/>
  <c r="H85"/>
  <c r="X84"/>
  <c r="W84"/>
  <c r="V84"/>
  <c r="U84" s="1"/>
  <c r="T84"/>
  <c r="S84"/>
  <c r="R84"/>
  <c r="Q84"/>
  <c r="M84"/>
  <c r="H84"/>
  <c r="X83"/>
  <c r="W83"/>
  <c r="V83"/>
  <c r="T83"/>
  <c r="S83"/>
  <c r="R83"/>
  <c r="Q83"/>
  <c r="M83"/>
  <c r="H83"/>
  <c r="X82"/>
  <c r="W82"/>
  <c r="V82"/>
  <c r="U82" s="1"/>
  <c r="T82"/>
  <c r="S82"/>
  <c r="R82"/>
  <c r="Q82"/>
  <c r="M82"/>
  <c r="H82"/>
  <c r="X81"/>
  <c r="W81"/>
  <c r="V81"/>
  <c r="T81"/>
  <c r="S81"/>
  <c r="R81"/>
  <c r="Q81"/>
  <c r="M81"/>
  <c r="H81"/>
  <c r="X80"/>
  <c r="W80"/>
  <c r="V80"/>
  <c r="U80" s="1"/>
  <c r="T80"/>
  <c r="S80"/>
  <c r="R80"/>
  <c r="Q80"/>
  <c r="M80"/>
  <c r="H80"/>
  <c r="X79"/>
  <c r="W79"/>
  <c r="V79"/>
  <c r="T79"/>
  <c r="S79"/>
  <c r="R79"/>
  <c r="Q79"/>
  <c r="M79"/>
  <c r="H79"/>
  <c r="X78"/>
  <c r="W78"/>
  <c r="V78"/>
  <c r="U78" s="1"/>
  <c r="T78"/>
  <c r="S78"/>
  <c r="R78"/>
  <c r="Q78"/>
  <c r="M78"/>
  <c r="H78"/>
  <c r="X77"/>
  <c r="W77"/>
  <c r="V77"/>
  <c r="T77"/>
  <c r="S77"/>
  <c r="R77"/>
  <c r="Q77"/>
  <c r="M77"/>
  <c r="H77"/>
  <c r="X76"/>
  <c r="W76"/>
  <c r="V76"/>
  <c r="U76" s="1"/>
  <c r="T76"/>
  <c r="S76"/>
  <c r="R76"/>
  <c r="Q76"/>
  <c r="M76"/>
  <c r="H76"/>
  <c r="M75"/>
  <c r="E75"/>
  <c r="X75" s="1"/>
  <c r="X74"/>
  <c r="W74"/>
  <c r="V74"/>
  <c r="T74"/>
  <c r="S74"/>
  <c r="R74"/>
  <c r="Q74"/>
  <c r="M74"/>
  <c r="H74"/>
  <c r="X73"/>
  <c r="W73"/>
  <c r="V73"/>
  <c r="U73" s="1"/>
  <c r="T73"/>
  <c r="S73"/>
  <c r="R73"/>
  <c r="Q73"/>
  <c r="M73"/>
  <c r="H73"/>
  <c r="X72"/>
  <c r="W72"/>
  <c r="V72"/>
  <c r="T72"/>
  <c r="S72"/>
  <c r="R72"/>
  <c r="Q72"/>
  <c r="M72"/>
  <c r="H72"/>
  <c r="X71"/>
  <c r="W71"/>
  <c r="V71"/>
  <c r="U71" s="1"/>
  <c r="T71"/>
  <c r="S71"/>
  <c r="R71"/>
  <c r="Q71"/>
  <c r="M71"/>
  <c r="H71"/>
  <c r="X70"/>
  <c r="W70"/>
  <c r="V70"/>
  <c r="T70"/>
  <c r="S70"/>
  <c r="R70"/>
  <c r="Q70"/>
  <c r="M70"/>
  <c r="H70"/>
  <c r="X69"/>
  <c r="W69"/>
  <c r="V69"/>
  <c r="U69" s="1"/>
  <c r="T69"/>
  <c r="S69"/>
  <c r="R69"/>
  <c r="Q69"/>
  <c r="M69"/>
  <c r="H69"/>
  <c r="X68"/>
  <c r="W68"/>
  <c r="V68"/>
  <c r="T68"/>
  <c r="S68"/>
  <c r="R68"/>
  <c r="Q68"/>
  <c r="M68"/>
  <c r="H68"/>
  <c r="X67"/>
  <c r="W67"/>
  <c r="V67"/>
  <c r="U67" s="1"/>
  <c r="T67"/>
  <c r="S67"/>
  <c r="R67"/>
  <c r="Q67"/>
  <c r="M67"/>
  <c r="H67"/>
  <c r="X66"/>
  <c r="W66"/>
  <c r="V66"/>
  <c r="U66"/>
  <c r="T66"/>
  <c r="S66"/>
  <c r="R66"/>
  <c r="Q66"/>
  <c r="M66"/>
  <c r="H66"/>
  <c r="X65"/>
  <c r="W65"/>
  <c r="V65"/>
  <c r="T65"/>
  <c r="S65"/>
  <c r="R65"/>
  <c r="Q65"/>
  <c r="M65"/>
  <c r="H65"/>
  <c r="X64"/>
  <c r="W64"/>
  <c r="V64"/>
  <c r="U64" s="1"/>
  <c r="T64"/>
  <c r="S64"/>
  <c r="R64"/>
  <c r="Q64"/>
  <c r="M64"/>
  <c r="H64"/>
  <c r="X63"/>
  <c r="W63"/>
  <c r="V63"/>
  <c r="T63"/>
  <c r="S63"/>
  <c r="R63"/>
  <c r="Q63"/>
  <c r="M63"/>
  <c r="H63"/>
  <c r="X62"/>
  <c r="W62"/>
  <c r="V62"/>
  <c r="T62"/>
  <c r="S62"/>
  <c r="R62"/>
  <c r="Q62"/>
  <c r="M62"/>
  <c r="U62" s="1"/>
  <c r="H62"/>
  <c r="X61"/>
  <c r="W61"/>
  <c r="V61"/>
  <c r="T61"/>
  <c r="S61"/>
  <c r="R61"/>
  <c r="Q61"/>
  <c r="M61"/>
  <c r="U61" s="1"/>
  <c r="H61"/>
  <c r="X60"/>
  <c r="W60"/>
  <c r="V60"/>
  <c r="T60"/>
  <c r="S60"/>
  <c r="R60"/>
  <c r="Q60"/>
  <c r="M60"/>
  <c r="U60" s="1"/>
  <c r="H60"/>
  <c r="X59"/>
  <c r="T59"/>
  <c r="M59"/>
  <c r="E59"/>
  <c r="U59" s="1"/>
  <c r="X58"/>
  <c r="W58"/>
  <c r="V58"/>
  <c r="U58"/>
  <c r="T58"/>
  <c r="S58"/>
  <c r="R58"/>
  <c r="Q58"/>
  <c r="M58"/>
  <c r="H58"/>
  <c r="X57"/>
  <c r="W57"/>
  <c r="V57"/>
  <c r="U57"/>
  <c r="T57"/>
  <c r="S57"/>
  <c r="R57"/>
  <c r="Q57"/>
  <c r="M57"/>
  <c r="H57"/>
  <c r="W56"/>
  <c r="U56"/>
  <c r="S56"/>
  <c r="Q56"/>
  <c r="M56"/>
  <c r="H56"/>
  <c r="E56"/>
  <c r="X56" s="1"/>
  <c r="X55"/>
  <c r="W55"/>
  <c r="V55"/>
  <c r="U55" s="1"/>
  <c r="T55"/>
  <c r="S55"/>
  <c r="R55"/>
  <c r="Q55"/>
  <c r="M55"/>
  <c r="H55"/>
  <c r="X54"/>
  <c r="W54"/>
  <c r="V54"/>
  <c r="T54"/>
  <c r="S54"/>
  <c r="R54"/>
  <c r="Q54"/>
  <c r="M54"/>
  <c r="H54"/>
  <c r="X53"/>
  <c r="W53"/>
  <c r="V53"/>
  <c r="T53"/>
  <c r="S53"/>
  <c r="R53"/>
  <c r="Q53"/>
  <c r="M53"/>
  <c r="U53" s="1"/>
  <c r="H53"/>
  <c r="X52"/>
  <c r="W52"/>
  <c r="V52"/>
  <c r="T52"/>
  <c r="S52"/>
  <c r="R52"/>
  <c r="Q52"/>
  <c r="M52"/>
  <c r="U52" s="1"/>
  <c r="H52"/>
  <c r="X51"/>
  <c r="T51"/>
  <c r="M51"/>
  <c r="E51"/>
  <c r="U51" s="1"/>
  <c r="X50"/>
  <c r="W50"/>
  <c r="V50"/>
  <c r="T50"/>
  <c r="S50"/>
  <c r="R50"/>
  <c r="Q50"/>
  <c r="M50"/>
  <c r="H50"/>
  <c r="X49"/>
  <c r="W49"/>
  <c r="V49"/>
  <c r="U49" s="1"/>
  <c r="T49"/>
  <c r="S49"/>
  <c r="R49"/>
  <c r="Q49"/>
  <c r="M49"/>
  <c r="H49"/>
  <c r="X48"/>
  <c r="W48"/>
  <c r="V48"/>
  <c r="T48"/>
  <c r="S48"/>
  <c r="R48"/>
  <c r="Q48"/>
  <c r="M48"/>
  <c r="H48"/>
  <c r="X47"/>
  <c r="W47"/>
  <c r="V47"/>
  <c r="U47" s="1"/>
  <c r="T47"/>
  <c r="S47"/>
  <c r="R47"/>
  <c r="Q47"/>
  <c r="M47"/>
  <c r="H47"/>
  <c r="X46"/>
  <c r="W46"/>
  <c r="V46"/>
  <c r="T46"/>
  <c r="S46"/>
  <c r="R46"/>
  <c r="Q46"/>
  <c r="M46"/>
  <c r="H46"/>
  <c r="X45"/>
  <c r="W45"/>
  <c r="V45"/>
  <c r="T45"/>
  <c r="S45"/>
  <c r="R45"/>
  <c r="Q45"/>
  <c r="M45"/>
  <c r="U45" s="1"/>
  <c r="H45"/>
  <c r="M44"/>
  <c r="E44"/>
  <c r="W44" s="1"/>
  <c r="W43"/>
  <c r="U43"/>
  <c r="S43"/>
  <c r="Q43"/>
  <c r="M43"/>
  <c r="H43"/>
  <c r="E43"/>
  <c r="V43" s="1"/>
  <c r="X42"/>
  <c r="W42"/>
  <c r="V42"/>
  <c r="T42"/>
  <c r="S42"/>
  <c r="R42"/>
  <c r="Q42"/>
  <c r="M42"/>
  <c r="U42" s="1"/>
  <c r="H42"/>
  <c r="X41"/>
  <c r="W41"/>
  <c r="V41"/>
  <c r="U41" s="1"/>
  <c r="T41"/>
  <c r="S41"/>
  <c r="R41"/>
  <c r="Q41"/>
  <c r="M41"/>
  <c r="H41"/>
  <c r="X40"/>
  <c r="W40"/>
  <c r="V40"/>
  <c r="T40"/>
  <c r="S40"/>
  <c r="R40"/>
  <c r="Q40"/>
  <c r="M40"/>
  <c r="H40"/>
  <c r="X39"/>
  <c r="W39"/>
  <c r="V39"/>
  <c r="U39" s="1"/>
  <c r="T39"/>
  <c r="S39"/>
  <c r="R39"/>
  <c r="Q39"/>
  <c r="M39"/>
  <c r="H39"/>
  <c r="X38"/>
  <c r="W38"/>
  <c r="V38"/>
  <c r="T38"/>
  <c r="S38"/>
  <c r="R38"/>
  <c r="Q38"/>
  <c r="M38"/>
  <c r="H38"/>
  <c r="X37"/>
  <c r="W37"/>
  <c r="V37"/>
  <c r="U37" s="1"/>
  <c r="T37"/>
  <c r="S37"/>
  <c r="R37"/>
  <c r="Q37"/>
  <c r="M37"/>
  <c r="H37"/>
  <c r="X36"/>
  <c r="W36"/>
  <c r="V36"/>
  <c r="T36"/>
  <c r="S36"/>
  <c r="R36"/>
  <c r="Q36"/>
  <c r="M36"/>
  <c r="H36"/>
  <c r="X35"/>
  <c r="W35"/>
  <c r="V35"/>
  <c r="T35"/>
  <c r="S35"/>
  <c r="R35"/>
  <c r="Q35"/>
  <c r="V44" l="1"/>
  <c r="W75"/>
  <c r="U73" i="29"/>
  <c r="U36" i="28"/>
  <c r="U40"/>
  <c r="T43"/>
  <c r="X43"/>
  <c r="Q44"/>
  <c r="U44"/>
  <c r="U46"/>
  <c r="U50"/>
  <c r="H51"/>
  <c r="S51"/>
  <c r="W51"/>
  <c r="U54"/>
  <c r="R56"/>
  <c r="V56"/>
  <c r="H59"/>
  <c r="S59"/>
  <c r="W59"/>
  <c r="U65"/>
  <c r="U68"/>
  <c r="U72"/>
  <c r="Q75"/>
  <c r="V75"/>
  <c r="U75" s="1"/>
  <c r="U79"/>
  <c r="U83"/>
  <c r="U91"/>
  <c r="U95"/>
  <c r="H96"/>
  <c r="S96"/>
  <c r="X96"/>
  <c r="U98"/>
  <c r="U101"/>
  <c r="U105"/>
  <c r="U109"/>
  <c r="U112"/>
  <c r="R114"/>
  <c r="W114"/>
  <c r="U115"/>
  <c r="U118"/>
  <c r="U122"/>
  <c r="H123"/>
  <c r="S123"/>
  <c r="X123"/>
  <c r="U125"/>
  <c r="U129"/>
  <c r="H73" i="29"/>
  <c r="R123" i="28"/>
  <c r="W123"/>
  <c r="R44"/>
  <c r="R75"/>
  <c r="T44"/>
  <c r="X44"/>
  <c r="R51"/>
  <c r="V51"/>
  <c r="R59"/>
  <c r="V59"/>
  <c r="T75"/>
  <c r="R96"/>
  <c r="W96"/>
  <c r="U38"/>
  <c r="R43"/>
  <c r="H44"/>
  <c r="S44"/>
  <c r="U48"/>
  <c r="Q51"/>
  <c r="T56"/>
  <c r="Q59"/>
  <c r="U63"/>
  <c r="U70"/>
  <c r="U74"/>
  <c r="H75"/>
  <c r="S75"/>
  <c r="U77"/>
  <c r="U81"/>
  <c r="U89"/>
  <c r="U93"/>
  <c r="Q96"/>
  <c r="U103"/>
  <c r="U107"/>
  <c r="U111"/>
  <c r="U120"/>
  <c r="Q123"/>
  <c r="U127"/>
  <c r="U131"/>
  <c r="M35"/>
  <c r="U35" s="1"/>
  <c r="H35"/>
  <c r="X34"/>
  <c r="W34"/>
  <c r="V34"/>
  <c r="T34"/>
  <c r="S34"/>
  <c r="R34"/>
  <c r="Q34"/>
  <c r="M34"/>
  <c r="H34"/>
  <c r="X33"/>
  <c r="W33"/>
  <c r="V33"/>
  <c r="U33" s="1"/>
  <c r="T33"/>
  <c r="S33"/>
  <c r="R33"/>
  <c r="Q33"/>
  <c r="M33"/>
  <c r="H33"/>
  <c r="X32"/>
  <c r="W32"/>
  <c r="V32"/>
  <c r="T32"/>
  <c r="S32"/>
  <c r="R32"/>
  <c r="Q32"/>
  <c r="M32"/>
  <c r="H32"/>
  <c r="X31"/>
  <c r="W31"/>
  <c r="V31"/>
  <c r="U31" s="1"/>
  <c r="T31"/>
  <c r="S31"/>
  <c r="R31"/>
  <c r="Q31"/>
  <c r="M31"/>
  <c r="H31"/>
  <c r="X30"/>
  <c r="W30"/>
  <c r="V30"/>
  <c r="T30"/>
  <c r="S30"/>
  <c r="R30"/>
  <c r="Q30"/>
  <c r="M30"/>
  <c r="H30"/>
  <c r="X29"/>
  <c r="W29"/>
  <c r="V29"/>
  <c r="U29" s="1"/>
  <c r="T29"/>
  <c r="S29"/>
  <c r="R29"/>
  <c r="Q29"/>
  <c r="M29"/>
  <c r="H29"/>
  <c r="X28"/>
  <c r="W28"/>
  <c r="V28"/>
  <c r="T28"/>
  <c r="S28"/>
  <c r="R28"/>
  <c r="Q28"/>
  <c r="M28"/>
  <c r="H28"/>
  <c r="X27"/>
  <c r="W27"/>
  <c r="V27"/>
  <c r="U27" s="1"/>
  <c r="T27"/>
  <c r="S27"/>
  <c r="R27"/>
  <c r="Q27"/>
  <c r="M27"/>
  <c r="H27"/>
  <c r="X26"/>
  <c r="W26"/>
  <c r="V26"/>
  <c r="T26"/>
  <c r="S26"/>
  <c r="R26"/>
  <c r="Q26"/>
  <c r="M26"/>
  <c r="H26"/>
  <c r="X25"/>
  <c r="W25"/>
  <c r="V25"/>
  <c r="U25" s="1"/>
  <c r="T25"/>
  <c r="S25"/>
  <c r="R25"/>
  <c r="Q25"/>
  <c r="M25"/>
  <c r="H25"/>
  <c r="X24"/>
  <c r="W24"/>
  <c r="V24"/>
  <c r="T24"/>
  <c r="S24"/>
  <c r="R24"/>
  <c r="Q24"/>
  <c r="M24"/>
  <c r="H24"/>
  <c r="X23"/>
  <c r="W23"/>
  <c r="V23"/>
  <c r="U23" s="1"/>
  <c r="T23"/>
  <c r="S23"/>
  <c r="R23"/>
  <c r="Q23"/>
  <c r="M23"/>
  <c r="H23"/>
  <c r="X22"/>
  <c r="W22"/>
  <c r="V22"/>
  <c r="T22"/>
  <c r="S22"/>
  <c r="R22"/>
  <c r="Q22"/>
  <c r="M22"/>
  <c r="H22"/>
  <c r="X21"/>
  <c r="W21"/>
  <c r="V21"/>
  <c r="U21" s="1"/>
  <c r="T21"/>
  <c r="S21"/>
  <c r="R21"/>
  <c r="Q21"/>
  <c r="M21"/>
  <c r="H21"/>
  <c r="X20"/>
  <c r="W20"/>
  <c r="V20"/>
  <c r="T20"/>
  <c r="S20"/>
  <c r="R20"/>
  <c r="Q20"/>
  <c r="M20"/>
  <c r="H20"/>
  <c r="X19"/>
  <c r="W19"/>
  <c r="V19"/>
  <c r="U19" s="1"/>
  <c r="T19"/>
  <c r="S19"/>
  <c r="R19"/>
  <c r="Q19"/>
  <c r="M19"/>
  <c r="H19"/>
  <c r="X18"/>
  <c r="W18"/>
  <c r="V18"/>
  <c r="T18"/>
  <c r="S18"/>
  <c r="R18"/>
  <c r="Q18"/>
  <c r="M18"/>
  <c r="G18"/>
  <c r="H18" s="1"/>
  <c r="X17"/>
  <c r="W17"/>
  <c r="V17"/>
  <c r="T17"/>
  <c r="S17"/>
  <c r="R17"/>
  <c r="Q17"/>
  <c r="M17"/>
  <c r="G17"/>
  <c r="H17" s="1"/>
  <c r="X16"/>
  <c r="W16"/>
  <c r="V16"/>
  <c r="U16"/>
  <c r="T16"/>
  <c r="S16"/>
  <c r="R16"/>
  <c r="Q16"/>
  <c r="M16"/>
  <c r="H16"/>
  <c r="G16"/>
  <c r="X15"/>
  <c r="W15"/>
  <c r="V15"/>
  <c r="U15" s="1"/>
  <c r="T15"/>
  <c r="S15"/>
  <c r="R15"/>
  <c r="Q15"/>
  <c r="M15"/>
  <c r="H15"/>
  <c r="G15"/>
  <c r="X14"/>
  <c r="W14"/>
  <c r="V14"/>
  <c r="U14" s="1"/>
  <c r="T14"/>
  <c r="S14"/>
  <c r="R14"/>
  <c r="Q14"/>
  <c r="M14"/>
  <c r="H14"/>
  <c r="X13"/>
  <c r="W13"/>
  <c r="V13"/>
  <c r="T13"/>
  <c r="S13"/>
  <c r="R13"/>
  <c r="Q13"/>
  <c r="M13"/>
  <c r="H13"/>
  <c r="X12"/>
  <c r="W12"/>
  <c r="V12"/>
  <c r="U12" s="1"/>
  <c r="T12"/>
  <c r="S12"/>
  <c r="R12"/>
  <c r="Q12"/>
  <c r="M12"/>
  <c r="H12"/>
  <c r="X11"/>
  <c r="W11"/>
  <c r="V11"/>
  <c r="T11"/>
  <c r="S11"/>
  <c r="R11"/>
  <c r="Q11"/>
  <c r="M11"/>
  <c r="H11"/>
  <c r="X10"/>
  <c r="W10"/>
  <c r="V10"/>
  <c r="U10" s="1"/>
  <c r="T10"/>
  <c r="S10"/>
  <c r="R10"/>
  <c r="Q10"/>
  <c r="M10"/>
  <c r="H10"/>
  <c r="X9"/>
  <c r="W9"/>
  <c r="V9"/>
  <c r="T9"/>
  <c r="S9"/>
  <c r="R9"/>
  <c r="Q9"/>
  <c r="M9"/>
  <c r="H9"/>
  <c r="X8"/>
  <c r="X134" s="1"/>
  <c r="X135" s="1"/>
  <c r="W8"/>
  <c r="V8"/>
  <c r="T8"/>
  <c r="S8"/>
  <c r="S134" s="1"/>
  <c r="R8"/>
  <c r="Q8"/>
  <c r="M8"/>
  <c r="H8"/>
  <c r="H134" l="1"/>
  <c r="R134"/>
  <c r="W134"/>
  <c r="W135" s="1"/>
  <c r="V135" s="1"/>
  <c r="U9"/>
  <c r="U13"/>
  <c r="U17"/>
  <c r="U20"/>
  <c r="U24"/>
  <c r="U28"/>
  <c r="U32"/>
  <c r="U8"/>
  <c r="V134"/>
  <c r="Q134"/>
  <c r="T134"/>
  <c r="U11"/>
  <c r="U18"/>
  <c r="U22"/>
  <c r="U26"/>
  <c r="U30"/>
  <c r="U34"/>
  <c r="U135" l="1"/>
  <c r="T135" s="1"/>
  <c r="S135" s="1"/>
  <c r="R135" s="1"/>
  <c r="Q135" s="1"/>
  <c r="H135" s="1"/>
  <c r="U134"/>
  <c r="X144" i="19"/>
  <c r="W144"/>
  <c r="V144"/>
  <c r="U144" s="1"/>
  <c r="T144"/>
  <c r="S144"/>
  <c r="R144"/>
  <c r="Q144"/>
  <c r="M144"/>
  <c r="H144"/>
  <c r="X143"/>
  <c r="W143"/>
  <c r="V143"/>
  <c r="U143" s="1"/>
  <c r="T143"/>
  <c r="S143"/>
  <c r="R143"/>
  <c r="Q143"/>
  <c r="M143"/>
  <c r="H143"/>
  <c r="X142"/>
  <c r="W142"/>
  <c r="V142"/>
  <c r="T142"/>
  <c r="S142"/>
  <c r="R142"/>
  <c r="Q142"/>
  <c r="M142"/>
  <c r="H142"/>
  <c r="X141"/>
  <c r="W141"/>
  <c r="V141"/>
  <c r="T141"/>
  <c r="S141"/>
  <c r="R141"/>
  <c r="Q141"/>
  <c r="M141"/>
  <c r="H141"/>
  <c r="X140"/>
  <c r="W140"/>
  <c r="V140"/>
  <c r="U140" s="1"/>
  <c r="T140"/>
  <c r="S140"/>
  <c r="R140"/>
  <c r="Q140"/>
  <c r="M140"/>
  <c r="H140"/>
  <c r="X139"/>
  <c r="W139"/>
  <c r="V139"/>
  <c r="U139" s="1"/>
  <c r="T139"/>
  <c r="S139"/>
  <c r="R139"/>
  <c r="Q139"/>
  <c r="M139"/>
  <c r="H139"/>
  <c r="X138"/>
  <c r="W138"/>
  <c r="V138"/>
  <c r="T138"/>
  <c r="S138"/>
  <c r="R138"/>
  <c r="Q138"/>
  <c r="M138"/>
  <c r="H138"/>
  <c r="X137"/>
  <c r="W137"/>
  <c r="V137"/>
  <c r="T137"/>
  <c r="S137"/>
  <c r="R137"/>
  <c r="Q137"/>
  <c r="M137"/>
  <c r="H137"/>
  <c r="X136"/>
  <c r="W136"/>
  <c r="V136"/>
  <c r="U136" s="1"/>
  <c r="T136"/>
  <c r="S136"/>
  <c r="R136"/>
  <c r="Q136"/>
  <c r="M136"/>
  <c r="H136"/>
  <c r="X135"/>
  <c r="W135"/>
  <c r="V135"/>
  <c r="U135" s="1"/>
  <c r="T135"/>
  <c r="S135"/>
  <c r="R135"/>
  <c r="Q135"/>
  <c r="M135"/>
  <c r="H135"/>
  <c r="X134"/>
  <c r="W134"/>
  <c r="V134"/>
  <c r="T134"/>
  <c r="S134"/>
  <c r="R134"/>
  <c r="Q134"/>
  <c r="M134"/>
  <c r="H134"/>
  <c r="X133"/>
  <c r="W133"/>
  <c r="V133"/>
  <c r="T133"/>
  <c r="S133"/>
  <c r="R133"/>
  <c r="Q133"/>
  <c r="M133"/>
  <c r="H133"/>
  <c r="X132"/>
  <c r="W132"/>
  <c r="V132"/>
  <c r="U132" s="1"/>
  <c r="T132"/>
  <c r="S132"/>
  <c r="R132"/>
  <c r="Q132"/>
  <c r="M132"/>
  <c r="H132"/>
  <c r="X131"/>
  <c r="W131"/>
  <c r="V131"/>
  <c r="U131" s="1"/>
  <c r="T131"/>
  <c r="S131"/>
  <c r="R131"/>
  <c r="Q131"/>
  <c r="M131"/>
  <c r="H131"/>
  <c r="X130"/>
  <c r="W130"/>
  <c r="V130"/>
  <c r="T130"/>
  <c r="S130"/>
  <c r="R130"/>
  <c r="Q130"/>
  <c r="M130"/>
  <c r="H130"/>
  <c r="X129"/>
  <c r="W129"/>
  <c r="V129"/>
  <c r="T129"/>
  <c r="S129"/>
  <c r="R129"/>
  <c r="Q129"/>
  <c r="M129"/>
  <c r="H129"/>
  <c r="X128"/>
  <c r="W128"/>
  <c r="V128"/>
  <c r="U128" s="1"/>
  <c r="T128"/>
  <c r="S128"/>
  <c r="R128"/>
  <c r="Q128"/>
  <c r="M128"/>
  <c r="H128"/>
  <c r="X127"/>
  <c r="W127"/>
  <c r="V127"/>
  <c r="U127" s="1"/>
  <c r="T127"/>
  <c r="S127"/>
  <c r="R127"/>
  <c r="Q127"/>
  <c r="M127"/>
  <c r="H127"/>
  <c r="X126"/>
  <c r="W126"/>
  <c r="V126"/>
  <c r="T126"/>
  <c r="S126"/>
  <c r="R126"/>
  <c r="Q126"/>
  <c r="M126"/>
  <c r="H126"/>
  <c r="X125"/>
  <c r="W125"/>
  <c r="V125"/>
  <c r="T125"/>
  <c r="S125"/>
  <c r="R125"/>
  <c r="Q125"/>
  <c r="M125"/>
  <c r="H125"/>
  <c r="X124"/>
  <c r="W124"/>
  <c r="V124"/>
  <c r="U124" s="1"/>
  <c r="T124"/>
  <c r="S124"/>
  <c r="R124"/>
  <c r="Q124"/>
  <c r="M124"/>
  <c r="H124"/>
  <c r="X123"/>
  <c r="W123"/>
  <c r="V123"/>
  <c r="U123" s="1"/>
  <c r="T123"/>
  <c r="S123"/>
  <c r="R123"/>
  <c r="Q123"/>
  <c r="M123"/>
  <c r="H123"/>
  <c r="X122"/>
  <c r="W122"/>
  <c r="V122"/>
  <c r="T122"/>
  <c r="S122"/>
  <c r="R122"/>
  <c r="Q122"/>
  <c r="M122"/>
  <c r="H122"/>
  <c r="X121"/>
  <c r="W121"/>
  <c r="V121"/>
  <c r="T121"/>
  <c r="S121"/>
  <c r="R121"/>
  <c r="Q121"/>
  <c r="M121"/>
  <c r="H121"/>
  <c r="X120"/>
  <c r="W120"/>
  <c r="V120"/>
  <c r="U120" s="1"/>
  <c r="T120"/>
  <c r="S120"/>
  <c r="R120"/>
  <c r="Q120"/>
  <c r="M120"/>
  <c r="H120"/>
  <c r="X119"/>
  <c r="W119"/>
  <c r="V119"/>
  <c r="U119" s="1"/>
  <c r="T119"/>
  <c r="S119"/>
  <c r="R119"/>
  <c r="Q119"/>
  <c r="M119"/>
  <c r="H119"/>
  <c r="X118"/>
  <c r="W118"/>
  <c r="V118"/>
  <c r="U118" s="1"/>
  <c r="T118"/>
  <c r="S118"/>
  <c r="R118"/>
  <c r="Q118"/>
  <c r="M118"/>
  <c r="H118"/>
  <c r="X117"/>
  <c r="W117"/>
  <c r="V117"/>
  <c r="T117"/>
  <c r="S117"/>
  <c r="R117"/>
  <c r="Q117"/>
  <c r="M117"/>
  <c r="H117"/>
  <c r="X116"/>
  <c r="W116"/>
  <c r="V116"/>
  <c r="U116" s="1"/>
  <c r="T116"/>
  <c r="S116"/>
  <c r="R116"/>
  <c r="Q116"/>
  <c r="M116"/>
  <c r="H116"/>
  <c r="X115"/>
  <c r="W115"/>
  <c r="V115"/>
  <c r="U115" s="1"/>
  <c r="T115"/>
  <c r="S115"/>
  <c r="R115"/>
  <c r="Q115"/>
  <c r="M115"/>
  <c r="H115"/>
  <c r="X114"/>
  <c r="W114"/>
  <c r="V114"/>
  <c r="T114"/>
  <c r="S114"/>
  <c r="R114"/>
  <c r="Q114"/>
  <c r="M114"/>
  <c r="H114"/>
  <c r="X113"/>
  <c r="W113"/>
  <c r="V113"/>
  <c r="T113"/>
  <c r="S113"/>
  <c r="R113"/>
  <c r="Q113"/>
  <c r="M113"/>
  <c r="H113"/>
  <c r="X112"/>
  <c r="W112"/>
  <c r="V112"/>
  <c r="U112" s="1"/>
  <c r="T112"/>
  <c r="S112"/>
  <c r="R112"/>
  <c r="Q112"/>
  <c r="M112"/>
  <c r="H112"/>
  <c r="X111"/>
  <c r="W111"/>
  <c r="V111"/>
  <c r="U111" s="1"/>
  <c r="T111"/>
  <c r="S111"/>
  <c r="R111"/>
  <c r="Q111"/>
  <c r="M111"/>
  <c r="H111"/>
  <c r="X110"/>
  <c r="W110"/>
  <c r="V110"/>
  <c r="T110"/>
  <c r="S110"/>
  <c r="R110"/>
  <c r="Q110"/>
  <c r="M110"/>
  <c r="H110"/>
  <c r="X109"/>
  <c r="W109"/>
  <c r="V109"/>
  <c r="T109"/>
  <c r="S109"/>
  <c r="R109"/>
  <c r="Q109"/>
  <c r="M109"/>
  <c r="H109"/>
  <c r="X108"/>
  <c r="W108"/>
  <c r="V108"/>
  <c r="U108"/>
  <c r="T108"/>
  <c r="S108"/>
  <c r="R108"/>
  <c r="Q108"/>
  <c r="M108"/>
  <c r="H108"/>
  <c r="X107"/>
  <c r="W107"/>
  <c r="V107"/>
  <c r="U107" s="1"/>
  <c r="T107"/>
  <c r="S107"/>
  <c r="R107"/>
  <c r="Q107"/>
  <c r="M107"/>
  <c r="H107"/>
  <c r="X106"/>
  <c r="W106"/>
  <c r="V106"/>
  <c r="T106"/>
  <c r="S106"/>
  <c r="R106"/>
  <c r="Q106"/>
  <c r="M106"/>
  <c r="H106"/>
  <c r="X105"/>
  <c r="W105"/>
  <c r="V105"/>
  <c r="U105" s="1"/>
  <c r="T105"/>
  <c r="S105"/>
  <c r="R105"/>
  <c r="Q105"/>
  <c r="M105"/>
  <c r="H105"/>
  <c r="X104"/>
  <c r="W104"/>
  <c r="V104"/>
  <c r="T104"/>
  <c r="S104"/>
  <c r="R104"/>
  <c r="Q104"/>
  <c r="M104"/>
  <c r="H104"/>
  <c r="X103"/>
  <c r="W103"/>
  <c r="V103"/>
  <c r="U103" s="1"/>
  <c r="T103"/>
  <c r="S103"/>
  <c r="R103"/>
  <c r="Q103"/>
  <c r="M103"/>
  <c r="H103"/>
  <c r="X102"/>
  <c r="W102"/>
  <c r="V102"/>
  <c r="T102"/>
  <c r="S102"/>
  <c r="R102"/>
  <c r="Q102"/>
  <c r="M102"/>
  <c r="H102"/>
  <c r="X101"/>
  <c r="W101"/>
  <c r="V101"/>
  <c r="U101" s="1"/>
  <c r="T101"/>
  <c r="S101"/>
  <c r="R101"/>
  <c r="Q101"/>
  <c r="M101"/>
  <c r="H101"/>
  <c r="X100"/>
  <c r="W100"/>
  <c r="V100"/>
  <c r="T100"/>
  <c r="S100"/>
  <c r="R100"/>
  <c r="Q100"/>
  <c r="M100"/>
  <c r="H100"/>
  <c r="X99"/>
  <c r="W99"/>
  <c r="V99"/>
  <c r="U99" s="1"/>
  <c r="T99"/>
  <c r="S99"/>
  <c r="R99"/>
  <c r="Q99"/>
  <c r="M99"/>
  <c r="H99"/>
  <c r="X98"/>
  <c r="W98"/>
  <c r="V98"/>
  <c r="T98"/>
  <c r="S98"/>
  <c r="R98"/>
  <c r="Q98"/>
  <c r="M98"/>
  <c r="H98"/>
  <c r="X97"/>
  <c r="W97"/>
  <c r="V97"/>
  <c r="U97" s="1"/>
  <c r="T97"/>
  <c r="S97"/>
  <c r="R97"/>
  <c r="Q97"/>
  <c r="M97"/>
  <c r="H97"/>
  <c r="X96"/>
  <c r="W96"/>
  <c r="V96"/>
  <c r="T96"/>
  <c r="S96"/>
  <c r="R96"/>
  <c r="Q96"/>
  <c r="M96"/>
  <c r="H96"/>
  <c r="X95"/>
  <c r="W95"/>
  <c r="V95"/>
  <c r="U95" s="1"/>
  <c r="T95"/>
  <c r="S95"/>
  <c r="R95"/>
  <c r="Q95"/>
  <c r="M95"/>
  <c r="H95"/>
  <c r="X94"/>
  <c r="W94"/>
  <c r="V94"/>
  <c r="T94"/>
  <c r="S94"/>
  <c r="R94"/>
  <c r="Q94"/>
  <c r="M94"/>
  <c r="H94"/>
  <c r="X93"/>
  <c r="W93"/>
  <c r="V93"/>
  <c r="U93" s="1"/>
  <c r="T93"/>
  <c r="S93"/>
  <c r="R93"/>
  <c r="Q93"/>
  <c r="M93"/>
  <c r="H93"/>
  <c r="X92"/>
  <c r="W92"/>
  <c r="V92"/>
  <c r="T92"/>
  <c r="S92"/>
  <c r="R92"/>
  <c r="Q92"/>
  <c r="M92"/>
  <c r="H92"/>
  <c r="X91"/>
  <c r="W91"/>
  <c r="V91"/>
  <c r="U91" s="1"/>
  <c r="T91"/>
  <c r="S91"/>
  <c r="R91"/>
  <c r="Q91"/>
  <c r="M91"/>
  <c r="H91"/>
  <c r="X90"/>
  <c r="W90"/>
  <c r="V90"/>
  <c r="T90"/>
  <c r="S90"/>
  <c r="R90"/>
  <c r="Q90"/>
  <c r="M90"/>
  <c r="H90"/>
  <c r="X89"/>
  <c r="W89"/>
  <c r="V89"/>
  <c r="U89" s="1"/>
  <c r="T89"/>
  <c r="S89"/>
  <c r="R89"/>
  <c r="Q89"/>
  <c r="M89"/>
  <c r="H89"/>
  <c r="U92" l="1"/>
  <c r="U96"/>
  <c r="U100"/>
  <c r="U104"/>
  <c r="U110"/>
  <c r="U114"/>
  <c r="U122"/>
  <c r="U126"/>
  <c r="U130"/>
  <c r="U134"/>
  <c r="U138"/>
  <c r="U142"/>
  <c r="U90"/>
  <c r="U94"/>
  <c r="U98"/>
  <c r="U102"/>
  <c r="U106"/>
  <c r="U109"/>
  <c r="U113"/>
  <c r="U117"/>
  <c r="U121"/>
  <c r="U125"/>
  <c r="U129"/>
  <c r="U133"/>
  <c r="U137"/>
  <c r="U141"/>
  <c r="X88"/>
  <c r="W88"/>
  <c r="V88"/>
  <c r="U88" s="1"/>
  <c r="T88"/>
  <c r="S88"/>
  <c r="R88"/>
  <c r="Q88"/>
  <c r="M88"/>
  <c r="H88"/>
  <c r="X87"/>
  <c r="W87"/>
  <c r="V87"/>
  <c r="T87"/>
  <c r="S87"/>
  <c r="R87"/>
  <c r="Q87"/>
  <c r="M87"/>
  <c r="H87"/>
  <c r="X86"/>
  <c r="W86"/>
  <c r="V86"/>
  <c r="T86"/>
  <c r="S86"/>
  <c r="R86"/>
  <c r="Q86"/>
  <c r="M86"/>
  <c r="H86"/>
  <c r="X85"/>
  <c r="W85"/>
  <c r="V85"/>
  <c r="T85"/>
  <c r="S85"/>
  <c r="R85"/>
  <c r="Q85"/>
  <c r="M85"/>
  <c r="H85"/>
  <c r="X84"/>
  <c r="W84"/>
  <c r="V84"/>
  <c r="T84"/>
  <c r="S84"/>
  <c r="R84"/>
  <c r="Q84"/>
  <c r="M84"/>
  <c r="U84" s="1"/>
  <c r="H84"/>
  <c r="X83"/>
  <c r="W83"/>
  <c r="V83"/>
  <c r="T83"/>
  <c r="S83"/>
  <c r="R83"/>
  <c r="Q83"/>
  <c r="M83"/>
  <c r="H83"/>
  <c r="X82"/>
  <c r="W82"/>
  <c r="V82"/>
  <c r="T82"/>
  <c r="S82"/>
  <c r="R82"/>
  <c r="Q82"/>
  <c r="M82"/>
  <c r="H82"/>
  <c r="X81"/>
  <c r="W81"/>
  <c r="V81"/>
  <c r="U81" s="1"/>
  <c r="T81"/>
  <c r="S81"/>
  <c r="R81"/>
  <c r="Q81"/>
  <c r="M81"/>
  <c r="H81"/>
  <c r="X80"/>
  <c r="W80"/>
  <c r="V80"/>
  <c r="T80"/>
  <c r="S80"/>
  <c r="R80"/>
  <c r="Q80"/>
  <c r="M80"/>
  <c r="H80"/>
  <c r="X79"/>
  <c r="W79"/>
  <c r="V79"/>
  <c r="T79"/>
  <c r="S79"/>
  <c r="R79"/>
  <c r="Q79"/>
  <c r="M79"/>
  <c r="H79"/>
  <c r="X78"/>
  <c r="W78"/>
  <c r="V78"/>
  <c r="T78"/>
  <c r="S78"/>
  <c r="R78"/>
  <c r="Q78"/>
  <c r="M78"/>
  <c r="H78"/>
  <c r="X77"/>
  <c r="W77"/>
  <c r="V77"/>
  <c r="U77" s="1"/>
  <c r="T77"/>
  <c r="S77"/>
  <c r="R77"/>
  <c r="Q77"/>
  <c r="M77"/>
  <c r="H77"/>
  <c r="X76"/>
  <c r="W76"/>
  <c r="V76"/>
  <c r="T76"/>
  <c r="S76"/>
  <c r="R76"/>
  <c r="Q76"/>
  <c r="M76"/>
  <c r="H76"/>
  <c r="X75"/>
  <c r="W75"/>
  <c r="V75"/>
  <c r="T75"/>
  <c r="S75"/>
  <c r="R75"/>
  <c r="Q75"/>
  <c r="M75"/>
  <c r="H75"/>
  <c r="X74"/>
  <c r="W74"/>
  <c r="V74"/>
  <c r="T74"/>
  <c r="S74"/>
  <c r="R74"/>
  <c r="Q74"/>
  <c r="M74"/>
  <c r="H74"/>
  <c r="X73"/>
  <c r="W73"/>
  <c r="V73"/>
  <c r="U73" s="1"/>
  <c r="T73"/>
  <c r="S73"/>
  <c r="R73"/>
  <c r="Q73"/>
  <c r="M73"/>
  <c r="H73"/>
  <c r="X72"/>
  <c r="W72"/>
  <c r="V72"/>
  <c r="T72"/>
  <c r="S72"/>
  <c r="R72"/>
  <c r="Q72"/>
  <c r="M72"/>
  <c r="U72" s="1"/>
  <c r="H72"/>
  <c r="X71"/>
  <c r="W71"/>
  <c r="V71"/>
  <c r="T71"/>
  <c r="S71"/>
  <c r="R71"/>
  <c r="Q71"/>
  <c r="M71"/>
  <c r="H71"/>
  <c r="X70"/>
  <c r="W70"/>
  <c r="V70"/>
  <c r="U70" s="1"/>
  <c r="T70"/>
  <c r="S70"/>
  <c r="R70"/>
  <c r="Q70"/>
  <c r="M70"/>
  <c r="H70"/>
  <c r="X69"/>
  <c r="W69"/>
  <c r="V69"/>
  <c r="T69"/>
  <c r="S69"/>
  <c r="R69"/>
  <c r="Q69"/>
  <c r="M69"/>
  <c r="H69"/>
  <c r="X68"/>
  <c r="W68"/>
  <c r="V68"/>
  <c r="T68"/>
  <c r="S68"/>
  <c r="R68"/>
  <c r="Q68"/>
  <c r="M68"/>
  <c r="U68" s="1"/>
  <c r="H68"/>
  <c r="X67"/>
  <c r="W67"/>
  <c r="V67"/>
  <c r="U67" s="1"/>
  <c r="T67"/>
  <c r="S67"/>
  <c r="R67"/>
  <c r="Q67"/>
  <c r="M67"/>
  <c r="H67"/>
  <c r="X66"/>
  <c r="W66"/>
  <c r="V66"/>
  <c r="T66"/>
  <c r="S66"/>
  <c r="R66"/>
  <c r="Q66"/>
  <c r="M66"/>
  <c r="U66" s="1"/>
  <c r="H66"/>
  <c r="X65"/>
  <c r="W65"/>
  <c r="V65"/>
  <c r="T65"/>
  <c r="S65"/>
  <c r="R65"/>
  <c r="Q65"/>
  <c r="M65"/>
  <c r="H65"/>
  <c r="X64"/>
  <c r="W64"/>
  <c r="V64"/>
  <c r="U64" s="1"/>
  <c r="T64"/>
  <c r="S64"/>
  <c r="R64"/>
  <c r="Q64"/>
  <c r="M64"/>
  <c r="H64"/>
  <c r="X63"/>
  <c r="W63"/>
  <c r="V63"/>
  <c r="T63"/>
  <c r="S63"/>
  <c r="R63"/>
  <c r="Q63"/>
  <c r="M63"/>
  <c r="H63"/>
  <c r="X62"/>
  <c r="W62"/>
  <c r="V62"/>
  <c r="T62"/>
  <c r="S62"/>
  <c r="R62"/>
  <c r="Q62"/>
  <c r="M62"/>
  <c r="U62" s="1"/>
  <c r="H62"/>
  <c r="X61"/>
  <c r="W61"/>
  <c r="V61"/>
  <c r="U61" s="1"/>
  <c r="T61"/>
  <c r="S61"/>
  <c r="R61"/>
  <c r="Q61"/>
  <c r="M61"/>
  <c r="H61"/>
  <c r="X60"/>
  <c r="W60"/>
  <c r="V60"/>
  <c r="T60"/>
  <c r="S60"/>
  <c r="R60"/>
  <c r="Q60"/>
  <c r="M60"/>
  <c r="H60"/>
  <c r="X59"/>
  <c r="W59"/>
  <c r="V59"/>
  <c r="T59"/>
  <c r="S59"/>
  <c r="R59"/>
  <c r="Q59"/>
  <c r="M59"/>
  <c r="H59"/>
  <c r="X58"/>
  <c r="W58"/>
  <c r="V58"/>
  <c r="T58"/>
  <c r="S58"/>
  <c r="R58"/>
  <c r="Q58"/>
  <c r="M58"/>
  <c r="H58"/>
  <c r="X57"/>
  <c r="W57"/>
  <c r="V57"/>
  <c r="U57" s="1"/>
  <c r="T57"/>
  <c r="S57"/>
  <c r="R57"/>
  <c r="Q57"/>
  <c r="M57"/>
  <c r="H57"/>
  <c r="X56"/>
  <c r="W56"/>
  <c r="V56"/>
  <c r="T56"/>
  <c r="S56"/>
  <c r="R56"/>
  <c r="Q56"/>
  <c r="M56"/>
  <c r="H56"/>
  <c r="X55"/>
  <c r="W55"/>
  <c r="V55"/>
  <c r="T55"/>
  <c r="S55"/>
  <c r="R55"/>
  <c r="Q55"/>
  <c r="M55"/>
  <c r="H55"/>
  <c r="X54"/>
  <c r="W54"/>
  <c r="V54"/>
  <c r="T54"/>
  <c r="S54"/>
  <c r="R54"/>
  <c r="Q54"/>
  <c r="M54"/>
  <c r="H54"/>
  <c r="X53"/>
  <c r="W53"/>
  <c r="V53"/>
  <c r="U53" s="1"/>
  <c r="T53"/>
  <c r="S53"/>
  <c r="R53"/>
  <c r="Q53"/>
  <c r="M53"/>
  <c r="H53"/>
  <c r="X52"/>
  <c r="W52"/>
  <c r="V52"/>
  <c r="T52"/>
  <c r="S52"/>
  <c r="R52"/>
  <c r="Q52"/>
  <c r="M52"/>
  <c r="H52"/>
  <c r="X51"/>
  <c r="W51"/>
  <c r="V51"/>
  <c r="U51" s="1"/>
  <c r="T51"/>
  <c r="S51"/>
  <c r="R51"/>
  <c r="Q51"/>
  <c r="M51"/>
  <c r="H51"/>
  <c r="X50"/>
  <c r="W50"/>
  <c r="V50"/>
  <c r="T50"/>
  <c r="S50"/>
  <c r="R50"/>
  <c r="Q50"/>
  <c r="M50"/>
  <c r="H50"/>
  <c r="X49"/>
  <c r="W49"/>
  <c r="V49"/>
  <c r="U49" s="1"/>
  <c r="T49"/>
  <c r="S49"/>
  <c r="R49"/>
  <c r="Q49"/>
  <c r="M49"/>
  <c r="H49"/>
  <c r="X48"/>
  <c r="W48"/>
  <c r="V48"/>
  <c r="T48"/>
  <c r="S48"/>
  <c r="R48"/>
  <c r="Q48"/>
  <c r="M48"/>
  <c r="H48"/>
  <c r="X47"/>
  <c r="W47"/>
  <c r="V47"/>
  <c r="T47"/>
  <c r="S47"/>
  <c r="R47"/>
  <c r="Q47"/>
  <c r="M47"/>
  <c r="H47"/>
  <c r="X46"/>
  <c r="W46"/>
  <c r="V46"/>
  <c r="T46"/>
  <c r="S46"/>
  <c r="R46"/>
  <c r="Q46"/>
  <c r="M46"/>
  <c r="H46"/>
  <c r="X45"/>
  <c r="W45"/>
  <c r="V45"/>
  <c r="U45" s="1"/>
  <c r="T45"/>
  <c r="S45"/>
  <c r="R45"/>
  <c r="Q45"/>
  <c r="M45"/>
  <c r="H45"/>
  <c r="X44"/>
  <c r="W44"/>
  <c r="V44"/>
  <c r="T44"/>
  <c r="S44"/>
  <c r="R44"/>
  <c r="Q44"/>
  <c r="M44"/>
  <c r="H44"/>
  <c r="X43"/>
  <c r="W43"/>
  <c r="V43"/>
  <c r="U43" s="1"/>
  <c r="T43"/>
  <c r="S43"/>
  <c r="R43"/>
  <c r="Q43"/>
  <c r="M43"/>
  <c r="H43"/>
  <c r="X42"/>
  <c r="W42"/>
  <c r="V42"/>
  <c r="T42"/>
  <c r="S42"/>
  <c r="R42"/>
  <c r="Q42"/>
  <c r="M42"/>
  <c r="H42"/>
  <c r="X41"/>
  <c r="W41"/>
  <c r="V41"/>
  <c r="U41" s="1"/>
  <c r="T41"/>
  <c r="S41"/>
  <c r="R41"/>
  <c r="Q41"/>
  <c r="M41"/>
  <c r="H41"/>
  <c r="X40"/>
  <c r="W40"/>
  <c r="V40"/>
  <c r="T40"/>
  <c r="S40"/>
  <c r="R40"/>
  <c r="Q40"/>
  <c r="M40"/>
  <c r="H40"/>
  <c r="X39"/>
  <c r="W39"/>
  <c r="V39"/>
  <c r="T39"/>
  <c r="S39"/>
  <c r="R39"/>
  <c r="Q39"/>
  <c r="M39"/>
  <c r="G39"/>
  <c r="X38"/>
  <c r="W38"/>
  <c r="V38"/>
  <c r="T38"/>
  <c r="S38"/>
  <c r="R38"/>
  <c r="Q38"/>
  <c r="M38"/>
  <c r="H38" s="1"/>
  <c r="G38"/>
  <c r="X37"/>
  <c r="W37"/>
  <c r="V37"/>
  <c r="U37" s="1"/>
  <c r="T37"/>
  <c r="S37"/>
  <c r="R37"/>
  <c r="Q37"/>
  <c r="M37"/>
  <c r="H37"/>
  <c r="W36"/>
  <c r="R36"/>
  <c r="M36"/>
  <c r="H36" s="1"/>
  <c r="E36"/>
  <c r="X36" s="1"/>
  <c r="X35"/>
  <c r="W35"/>
  <c r="V35"/>
  <c r="U35" s="1"/>
  <c r="T35"/>
  <c r="S35"/>
  <c r="R35"/>
  <c r="Q35"/>
  <c r="M35"/>
  <c r="H35"/>
  <c r="X34"/>
  <c r="W34"/>
  <c r="V34"/>
  <c r="T34"/>
  <c r="S34"/>
  <c r="R34"/>
  <c r="Q34"/>
  <c r="M34"/>
  <c r="H34"/>
  <c r="X33"/>
  <c r="W33"/>
  <c r="V33"/>
  <c r="U33" s="1"/>
  <c r="T33"/>
  <c r="S33"/>
  <c r="R33"/>
  <c r="Q33"/>
  <c r="M33"/>
  <c r="H33"/>
  <c r="X32"/>
  <c r="W32"/>
  <c r="V32"/>
  <c r="T32"/>
  <c r="S32"/>
  <c r="R32"/>
  <c r="Q32"/>
  <c r="M32"/>
  <c r="H32"/>
  <c r="X31"/>
  <c r="W31"/>
  <c r="V31"/>
  <c r="T31"/>
  <c r="S31"/>
  <c r="R31"/>
  <c r="Q31"/>
  <c r="M31"/>
  <c r="U31" s="1"/>
  <c r="H31"/>
  <c r="X30"/>
  <c r="W30"/>
  <c r="V30"/>
  <c r="U30" s="1"/>
  <c r="T30"/>
  <c r="S30"/>
  <c r="R30"/>
  <c r="Q30"/>
  <c r="M30"/>
  <c r="H30"/>
  <c r="X29"/>
  <c r="W29"/>
  <c r="V29"/>
  <c r="T29"/>
  <c r="S29"/>
  <c r="R29"/>
  <c r="Q29"/>
  <c r="M29"/>
  <c r="H29"/>
  <c r="X28"/>
  <c r="W28"/>
  <c r="V28"/>
  <c r="T28"/>
  <c r="S28"/>
  <c r="R28"/>
  <c r="Q28"/>
  <c r="M28"/>
  <c r="H28"/>
  <c r="X27"/>
  <c r="W27"/>
  <c r="V27"/>
  <c r="T27"/>
  <c r="S27"/>
  <c r="R27"/>
  <c r="Q27"/>
  <c r="M27"/>
  <c r="H27"/>
  <c r="X26"/>
  <c r="W26"/>
  <c r="V26"/>
  <c r="U26" s="1"/>
  <c r="T26"/>
  <c r="S26"/>
  <c r="R26"/>
  <c r="Q26"/>
  <c r="M26"/>
  <c r="H26"/>
  <c r="X25"/>
  <c r="W25"/>
  <c r="V25"/>
  <c r="T25"/>
  <c r="S25"/>
  <c r="R25"/>
  <c r="Q25"/>
  <c r="M25"/>
  <c r="H25"/>
  <c r="X24"/>
  <c r="W24"/>
  <c r="V24"/>
  <c r="T24"/>
  <c r="S24"/>
  <c r="R24"/>
  <c r="Q24"/>
  <c r="M24"/>
  <c r="H24"/>
  <c r="X23"/>
  <c r="W23"/>
  <c r="V23"/>
  <c r="T23"/>
  <c r="S23"/>
  <c r="R23"/>
  <c r="Q23"/>
  <c r="M23"/>
  <c r="H23"/>
  <c r="X22"/>
  <c r="W22"/>
  <c r="V22"/>
  <c r="U22" s="1"/>
  <c r="T22"/>
  <c r="S22"/>
  <c r="R22"/>
  <c r="Q22"/>
  <c r="M22"/>
  <c r="H22"/>
  <c r="X21"/>
  <c r="W21"/>
  <c r="V21"/>
  <c r="T21"/>
  <c r="S21"/>
  <c r="R21"/>
  <c r="Q21"/>
  <c r="M21"/>
  <c r="H21"/>
  <c r="X20"/>
  <c r="W20"/>
  <c r="V20"/>
  <c r="T20"/>
  <c r="S20"/>
  <c r="R20"/>
  <c r="Q20"/>
  <c r="M20"/>
  <c r="H20"/>
  <c r="X19"/>
  <c r="W19"/>
  <c r="V19"/>
  <c r="T19"/>
  <c r="S19"/>
  <c r="R19"/>
  <c r="Q19"/>
  <c r="M19"/>
  <c r="H19"/>
  <c r="X18"/>
  <c r="W18"/>
  <c r="V18"/>
  <c r="U18" s="1"/>
  <c r="T18"/>
  <c r="S18"/>
  <c r="R18"/>
  <c r="Q18"/>
  <c r="M18"/>
  <c r="H18"/>
  <c r="X17"/>
  <c r="W17"/>
  <c r="V17"/>
  <c r="T17"/>
  <c r="S17"/>
  <c r="R17"/>
  <c r="Q17"/>
  <c r="M17"/>
  <c r="H17"/>
  <c r="X16"/>
  <c r="W16"/>
  <c r="V16"/>
  <c r="T16"/>
  <c r="S16"/>
  <c r="R16"/>
  <c r="Q16"/>
  <c r="M16"/>
  <c r="H16"/>
  <c r="X15"/>
  <c r="W15"/>
  <c r="V15"/>
  <c r="T15"/>
  <c r="S15"/>
  <c r="R15"/>
  <c r="Q15"/>
  <c r="M15"/>
  <c r="H15"/>
  <c r="X14"/>
  <c r="W14"/>
  <c r="V14"/>
  <c r="U14" s="1"/>
  <c r="T14"/>
  <c r="S14"/>
  <c r="R14"/>
  <c r="Q14"/>
  <c r="M14"/>
  <c r="H14"/>
  <c r="X13"/>
  <c r="W13"/>
  <c r="V13"/>
  <c r="T13"/>
  <c r="S13"/>
  <c r="R13"/>
  <c r="Q13"/>
  <c r="M13"/>
  <c r="H13"/>
  <c r="X12"/>
  <c r="W12"/>
  <c r="V12"/>
  <c r="U12" s="1"/>
  <c r="T12"/>
  <c r="S12"/>
  <c r="R12"/>
  <c r="Q12"/>
  <c r="M12"/>
  <c r="H12"/>
  <c r="X11"/>
  <c r="W11"/>
  <c r="V11"/>
  <c r="T11"/>
  <c r="S11"/>
  <c r="R11"/>
  <c r="Q11"/>
  <c r="M11"/>
  <c r="H11"/>
  <c r="X10"/>
  <c r="W10"/>
  <c r="V10"/>
  <c r="U10" s="1"/>
  <c r="T10"/>
  <c r="S10"/>
  <c r="R10"/>
  <c r="Q10"/>
  <c r="M10"/>
  <c r="H10"/>
  <c r="X9"/>
  <c r="W9"/>
  <c r="V9"/>
  <c r="T9"/>
  <c r="S9"/>
  <c r="R9"/>
  <c r="Q9"/>
  <c r="M9"/>
  <c r="H9"/>
  <c r="X8"/>
  <c r="W8"/>
  <c r="V8"/>
  <c r="T8"/>
  <c r="S8"/>
  <c r="R8"/>
  <c r="Q8"/>
  <c r="M8"/>
  <c r="H8"/>
  <c r="X145" l="1"/>
  <c r="X146" s="1"/>
  <c r="W146" s="1"/>
  <c r="R145"/>
  <c r="W145"/>
  <c r="U9"/>
  <c r="U13"/>
  <c r="U17"/>
  <c r="U21"/>
  <c r="U25"/>
  <c r="U29"/>
  <c r="U32"/>
  <c r="Q36"/>
  <c r="V36"/>
  <c r="U36" s="1"/>
  <c r="U40"/>
  <c r="U44"/>
  <c r="U48"/>
  <c r="U52"/>
  <c r="U56"/>
  <c r="U60"/>
  <c r="U63"/>
  <c r="U69"/>
  <c r="U76"/>
  <c r="U80"/>
  <c r="U87"/>
  <c r="U8"/>
  <c r="V145"/>
  <c r="H145"/>
  <c r="Q145"/>
  <c r="U16"/>
  <c r="U20"/>
  <c r="U24"/>
  <c r="U28"/>
  <c r="T36"/>
  <c r="U39"/>
  <c r="U47"/>
  <c r="U55"/>
  <c r="U59"/>
  <c r="U75"/>
  <c r="U79"/>
  <c r="U83"/>
  <c r="U86"/>
  <c r="T145"/>
  <c r="U11"/>
  <c r="U15"/>
  <c r="U19"/>
  <c r="U23"/>
  <c r="U27"/>
  <c r="U34"/>
  <c r="S36"/>
  <c r="S145" s="1"/>
  <c r="U38"/>
  <c r="H39"/>
  <c r="U42"/>
  <c r="U46"/>
  <c r="U50"/>
  <c r="U54"/>
  <c r="U58"/>
  <c r="M145"/>
  <c r="U65"/>
  <c r="U71"/>
  <c r="U74"/>
  <c r="U78"/>
  <c r="U82"/>
  <c r="U85"/>
  <c r="X195" i="18"/>
  <c r="W195"/>
  <c r="V195"/>
  <c r="U195" s="1"/>
  <c r="T195"/>
  <c r="S195"/>
  <c r="R195"/>
  <c r="Q195"/>
  <c r="M195"/>
  <c r="H195"/>
  <c r="X194"/>
  <c r="W194"/>
  <c r="V194"/>
  <c r="U194" s="1"/>
  <c r="T194"/>
  <c r="S194"/>
  <c r="R194"/>
  <c r="Q194"/>
  <c r="M194"/>
  <c r="H194"/>
  <c r="X193"/>
  <c r="W193"/>
  <c r="V193"/>
  <c r="T193"/>
  <c r="S193"/>
  <c r="R193"/>
  <c r="Q193"/>
  <c r="M193"/>
  <c r="H193"/>
  <c r="X192"/>
  <c r="W192"/>
  <c r="V192"/>
  <c r="T192"/>
  <c r="S192"/>
  <c r="R192"/>
  <c r="Q192"/>
  <c r="M192"/>
  <c r="H192"/>
  <c r="X191"/>
  <c r="W191"/>
  <c r="V191"/>
  <c r="U191" s="1"/>
  <c r="T191"/>
  <c r="S191"/>
  <c r="R191"/>
  <c r="Q191"/>
  <c r="M191"/>
  <c r="H191"/>
  <c r="X190"/>
  <c r="W190"/>
  <c r="V190"/>
  <c r="U190" s="1"/>
  <c r="T190"/>
  <c r="S190"/>
  <c r="R190"/>
  <c r="Q190"/>
  <c r="M190"/>
  <c r="H190"/>
  <c r="X189"/>
  <c r="W189"/>
  <c r="V189"/>
  <c r="T189"/>
  <c r="S189"/>
  <c r="R189"/>
  <c r="Q189"/>
  <c r="M189"/>
  <c r="H189"/>
  <c r="X188"/>
  <c r="W188"/>
  <c r="V188"/>
  <c r="T188"/>
  <c r="S188"/>
  <c r="R188"/>
  <c r="Q188"/>
  <c r="M188"/>
  <c r="H188"/>
  <c r="X187"/>
  <c r="W187"/>
  <c r="V187"/>
  <c r="U187" s="1"/>
  <c r="T187"/>
  <c r="S187"/>
  <c r="R187"/>
  <c r="Q187"/>
  <c r="M187"/>
  <c r="H187"/>
  <c r="X186"/>
  <c r="W186"/>
  <c r="V186"/>
  <c r="U186" s="1"/>
  <c r="T186"/>
  <c r="S186"/>
  <c r="R186"/>
  <c r="Q186"/>
  <c r="M186"/>
  <c r="H186"/>
  <c r="X185"/>
  <c r="W185"/>
  <c r="V185"/>
  <c r="T185"/>
  <c r="S185"/>
  <c r="R185"/>
  <c r="Q185"/>
  <c r="M185"/>
  <c r="H185"/>
  <c r="X184"/>
  <c r="W184"/>
  <c r="V184"/>
  <c r="T184"/>
  <c r="S184"/>
  <c r="R184"/>
  <c r="Q184"/>
  <c r="M184"/>
  <c r="H184"/>
  <c r="X183"/>
  <c r="W183"/>
  <c r="V183"/>
  <c r="U183" s="1"/>
  <c r="T183"/>
  <c r="S183"/>
  <c r="R183"/>
  <c r="Q183"/>
  <c r="M183"/>
  <c r="H183"/>
  <c r="X182"/>
  <c r="W182"/>
  <c r="V182"/>
  <c r="U182" s="1"/>
  <c r="T182"/>
  <c r="S182"/>
  <c r="R182"/>
  <c r="Q182"/>
  <c r="M182"/>
  <c r="H182"/>
  <c r="X181"/>
  <c r="W181"/>
  <c r="V181"/>
  <c r="T181"/>
  <c r="S181"/>
  <c r="R181"/>
  <c r="Q181"/>
  <c r="M181"/>
  <c r="H181"/>
  <c r="X180"/>
  <c r="W180"/>
  <c r="V180"/>
  <c r="T180"/>
  <c r="S180"/>
  <c r="R180"/>
  <c r="Q180"/>
  <c r="M180"/>
  <c r="H180"/>
  <c r="X179"/>
  <c r="W179"/>
  <c r="V179"/>
  <c r="U179" s="1"/>
  <c r="T179"/>
  <c r="S179"/>
  <c r="R179"/>
  <c r="Q179"/>
  <c r="M179"/>
  <c r="H179"/>
  <c r="X178"/>
  <c r="W178"/>
  <c r="V178"/>
  <c r="U178" s="1"/>
  <c r="T178"/>
  <c r="S178"/>
  <c r="R178"/>
  <c r="Q178"/>
  <c r="M178"/>
  <c r="H178"/>
  <c r="X177"/>
  <c r="W177"/>
  <c r="V177"/>
  <c r="T177"/>
  <c r="S177"/>
  <c r="R177"/>
  <c r="Q177"/>
  <c r="M177"/>
  <c r="H177"/>
  <c r="X176"/>
  <c r="W176"/>
  <c r="V176"/>
  <c r="T176"/>
  <c r="S176"/>
  <c r="R176"/>
  <c r="Q176"/>
  <c r="M176"/>
  <c r="H176"/>
  <c r="X175"/>
  <c r="W175"/>
  <c r="V175"/>
  <c r="U175" s="1"/>
  <c r="T175"/>
  <c r="S175"/>
  <c r="R175"/>
  <c r="Q175"/>
  <c r="M175"/>
  <c r="H175"/>
  <c r="X174"/>
  <c r="W174"/>
  <c r="V174"/>
  <c r="U174" s="1"/>
  <c r="T174"/>
  <c r="S174"/>
  <c r="R174"/>
  <c r="Q174"/>
  <c r="M174"/>
  <c r="H174"/>
  <c r="X173"/>
  <c r="W173"/>
  <c r="V173"/>
  <c r="T173"/>
  <c r="S173"/>
  <c r="R173"/>
  <c r="Q173"/>
  <c r="M173"/>
  <c r="H173"/>
  <c r="X172"/>
  <c r="W172"/>
  <c r="V172"/>
  <c r="T172"/>
  <c r="S172"/>
  <c r="R172"/>
  <c r="Q172"/>
  <c r="M172"/>
  <c r="H172"/>
  <c r="X171"/>
  <c r="W171"/>
  <c r="V171"/>
  <c r="U171" s="1"/>
  <c r="T171"/>
  <c r="S171"/>
  <c r="R171"/>
  <c r="Q171"/>
  <c r="M171"/>
  <c r="H171"/>
  <c r="X170"/>
  <c r="W170"/>
  <c r="V170"/>
  <c r="U170" s="1"/>
  <c r="T170"/>
  <c r="S170"/>
  <c r="R170"/>
  <c r="Q170"/>
  <c r="M170"/>
  <c r="H170"/>
  <c r="X169"/>
  <c r="W169"/>
  <c r="V169"/>
  <c r="T169"/>
  <c r="S169"/>
  <c r="R169"/>
  <c r="Q169"/>
  <c r="M169"/>
  <c r="U169" s="1"/>
  <c r="H169"/>
  <c r="X168"/>
  <c r="W168"/>
  <c r="V168"/>
  <c r="U168" s="1"/>
  <c r="T168"/>
  <c r="S168"/>
  <c r="R168"/>
  <c r="Q168"/>
  <c r="M168"/>
  <c r="H168" s="1"/>
  <c r="G168"/>
  <c r="X167"/>
  <c r="W167"/>
  <c r="V167"/>
  <c r="U167" s="1"/>
  <c r="T167"/>
  <c r="S167"/>
  <c r="R167"/>
  <c r="Q167"/>
  <c r="M167"/>
  <c r="H167"/>
  <c r="X166"/>
  <c r="W166"/>
  <c r="V166"/>
  <c r="T166"/>
  <c r="S166"/>
  <c r="R166"/>
  <c r="Q166"/>
  <c r="M166"/>
  <c r="H166"/>
  <c r="X165"/>
  <c r="W165"/>
  <c r="V165"/>
  <c r="T165"/>
  <c r="S165"/>
  <c r="R165"/>
  <c r="Q165"/>
  <c r="M165"/>
  <c r="H165"/>
  <c r="X164"/>
  <c r="W164"/>
  <c r="V164"/>
  <c r="U164" s="1"/>
  <c r="T164"/>
  <c r="S164"/>
  <c r="R164"/>
  <c r="Q164"/>
  <c r="M164"/>
  <c r="H164"/>
  <c r="X163"/>
  <c r="W163"/>
  <c r="V163"/>
  <c r="U163" s="1"/>
  <c r="T163"/>
  <c r="S163"/>
  <c r="R163"/>
  <c r="Q163"/>
  <c r="M163"/>
  <c r="H163"/>
  <c r="X162"/>
  <c r="W162"/>
  <c r="V162"/>
  <c r="T162"/>
  <c r="S162"/>
  <c r="R162"/>
  <c r="Q162"/>
  <c r="M162"/>
  <c r="G162"/>
  <c r="X161"/>
  <c r="W161"/>
  <c r="V161"/>
  <c r="T161"/>
  <c r="S161"/>
  <c r="R161"/>
  <c r="Q161"/>
  <c r="M161"/>
  <c r="H161"/>
  <c r="X160"/>
  <c r="W160"/>
  <c r="V160"/>
  <c r="U160" s="1"/>
  <c r="T160"/>
  <c r="S160"/>
  <c r="R160"/>
  <c r="Q160"/>
  <c r="M160"/>
  <c r="H160"/>
  <c r="X159"/>
  <c r="W159"/>
  <c r="V159"/>
  <c r="U159" s="1"/>
  <c r="T159"/>
  <c r="S159"/>
  <c r="R159"/>
  <c r="Q159"/>
  <c r="M159"/>
  <c r="H159"/>
  <c r="X158"/>
  <c r="W158"/>
  <c r="V158"/>
  <c r="T158"/>
  <c r="S158"/>
  <c r="R158"/>
  <c r="Q158"/>
  <c r="M158"/>
  <c r="H158"/>
  <c r="X157"/>
  <c r="W157"/>
  <c r="V157"/>
  <c r="T157"/>
  <c r="S157"/>
  <c r="R157"/>
  <c r="Q157"/>
  <c r="M157"/>
  <c r="H157"/>
  <c r="X156"/>
  <c r="W156"/>
  <c r="V156"/>
  <c r="U156" s="1"/>
  <c r="T156"/>
  <c r="S156"/>
  <c r="R156"/>
  <c r="Q156"/>
  <c r="M156"/>
  <c r="H156"/>
  <c r="X155"/>
  <c r="W155"/>
  <c r="V155"/>
  <c r="U155" s="1"/>
  <c r="T155"/>
  <c r="S155"/>
  <c r="R155"/>
  <c r="Q155"/>
  <c r="M155"/>
  <c r="H155"/>
  <c r="X154"/>
  <c r="W154"/>
  <c r="V154"/>
  <c r="T154"/>
  <c r="S154"/>
  <c r="R154"/>
  <c r="Q154"/>
  <c r="M154"/>
  <c r="H154"/>
  <c r="X153"/>
  <c r="W153"/>
  <c r="V153"/>
  <c r="T153"/>
  <c r="S153"/>
  <c r="R153"/>
  <c r="Q153"/>
  <c r="M153"/>
  <c r="H153"/>
  <c r="X152"/>
  <c r="W152"/>
  <c r="V152"/>
  <c r="U152" s="1"/>
  <c r="T152"/>
  <c r="S152"/>
  <c r="R152"/>
  <c r="Q152"/>
  <c r="M152"/>
  <c r="H152"/>
  <c r="X151"/>
  <c r="W151"/>
  <c r="V151"/>
  <c r="U151" s="1"/>
  <c r="T151"/>
  <c r="S151"/>
  <c r="R151"/>
  <c r="Q151"/>
  <c r="M151"/>
  <c r="H151"/>
  <c r="X150"/>
  <c r="S150"/>
  <c r="M150"/>
  <c r="H150"/>
  <c r="E150"/>
  <c r="V150" s="1"/>
  <c r="X149"/>
  <c r="W149"/>
  <c r="V149"/>
  <c r="U149" s="1"/>
  <c r="T149"/>
  <c r="S149"/>
  <c r="R149"/>
  <c r="Q149"/>
  <c r="M149"/>
  <c r="H149"/>
  <c r="X148"/>
  <c r="W148"/>
  <c r="V148"/>
  <c r="U148" s="1"/>
  <c r="T148"/>
  <c r="S148"/>
  <c r="R148"/>
  <c r="Q148"/>
  <c r="M148"/>
  <c r="H148"/>
  <c r="X147"/>
  <c r="W147"/>
  <c r="V147"/>
  <c r="T147"/>
  <c r="S147"/>
  <c r="R147"/>
  <c r="Q147"/>
  <c r="M147"/>
  <c r="H147"/>
  <c r="X146"/>
  <c r="W146"/>
  <c r="V146"/>
  <c r="T146"/>
  <c r="S146"/>
  <c r="R146"/>
  <c r="Q146"/>
  <c r="M146"/>
  <c r="H146"/>
  <c r="X145"/>
  <c r="W145"/>
  <c r="V145"/>
  <c r="U145" s="1"/>
  <c r="T145"/>
  <c r="S145"/>
  <c r="R145"/>
  <c r="Q145"/>
  <c r="M145"/>
  <c r="H145"/>
  <c r="X144"/>
  <c r="W144"/>
  <c r="V144"/>
  <c r="U144" s="1"/>
  <c r="T144"/>
  <c r="S144"/>
  <c r="R144"/>
  <c r="Q144"/>
  <c r="M144"/>
  <c r="H144"/>
  <c r="X143"/>
  <c r="W143"/>
  <c r="V143"/>
  <c r="T143"/>
  <c r="S143"/>
  <c r="R143"/>
  <c r="Q143"/>
  <c r="M143"/>
  <c r="H143"/>
  <c r="X142"/>
  <c r="W142"/>
  <c r="V142"/>
  <c r="T142"/>
  <c r="S142"/>
  <c r="R142"/>
  <c r="Q142"/>
  <c r="M142"/>
  <c r="H142"/>
  <c r="X141"/>
  <c r="W141"/>
  <c r="V141"/>
  <c r="U141" s="1"/>
  <c r="T141"/>
  <c r="S141"/>
  <c r="R141"/>
  <c r="Q141"/>
  <c r="M141"/>
  <c r="H141"/>
  <c r="X140"/>
  <c r="W140"/>
  <c r="V140"/>
  <c r="U140" s="1"/>
  <c r="T140"/>
  <c r="S140"/>
  <c r="R140"/>
  <c r="Q140"/>
  <c r="M140"/>
  <c r="H140"/>
  <c r="X139"/>
  <c r="W139"/>
  <c r="V139"/>
  <c r="T139"/>
  <c r="S139"/>
  <c r="R139"/>
  <c r="Q139"/>
  <c r="M139"/>
  <c r="H139"/>
  <c r="X138"/>
  <c r="W138"/>
  <c r="V138"/>
  <c r="T138"/>
  <c r="S138"/>
  <c r="R138"/>
  <c r="Q138"/>
  <c r="M138"/>
  <c r="H138"/>
  <c r="X137"/>
  <c r="W137"/>
  <c r="V137"/>
  <c r="U137" s="1"/>
  <c r="T137"/>
  <c r="S137"/>
  <c r="R137"/>
  <c r="Q137"/>
  <c r="M137"/>
  <c r="H137"/>
  <c r="M136"/>
  <c r="E136"/>
  <c r="U136" s="1"/>
  <c r="T136" s="1"/>
  <c r="X135"/>
  <c r="V135"/>
  <c r="T135"/>
  <c r="R135"/>
  <c r="Q135" s="1"/>
  <c r="M135"/>
  <c r="U135" s="1"/>
  <c r="H135"/>
  <c r="E135"/>
  <c r="W135" s="1"/>
  <c r="X134"/>
  <c r="W134"/>
  <c r="V134"/>
  <c r="U134" s="1"/>
  <c r="T134"/>
  <c r="S134"/>
  <c r="R134"/>
  <c r="Q134"/>
  <c r="M134"/>
  <c r="H134"/>
  <c r="X133"/>
  <c r="W133"/>
  <c r="V133"/>
  <c r="T133"/>
  <c r="S133"/>
  <c r="R133"/>
  <c r="Q133"/>
  <c r="M133"/>
  <c r="U133" s="1"/>
  <c r="H133"/>
  <c r="X132"/>
  <c r="W132"/>
  <c r="V132"/>
  <c r="U132" s="1"/>
  <c r="T132"/>
  <c r="S132"/>
  <c r="R132"/>
  <c r="Q132"/>
  <c r="M132"/>
  <c r="H132"/>
  <c r="X131"/>
  <c r="W131"/>
  <c r="V131"/>
  <c r="U131" s="1"/>
  <c r="T131"/>
  <c r="S131"/>
  <c r="R131"/>
  <c r="Q131"/>
  <c r="M131"/>
  <c r="H131"/>
  <c r="X130"/>
  <c r="W130"/>
  <c r="V130"/>
  <c r="T130"/>
  <c r="S130"/>
  <c r="R130"/>
  <c r="Q130"/>
  <c r="M130"/>
  <c r="H130"/>
  <c r="X129"/>
  <c r="W129"/>
  <c r="V129"/>
  <c r="T129"/>
  <c r="S129"/>
  <c r="R129"/>
  <c r="Q129"/>
  <c r="M129"/>
  <c r="H129"/>
  <c r="X128"/>
  <c r="W128"/>
  <c r="V128"/>
  <c r="U128" s="1"/>
  <c r="T128"/>
  <c r="S128"/>
  <c r="R128"/>
  <c r="Q128"/>
  <c r="M128"/>
  <c r="H128"/>
  <c r="X127"/>
  <c r="W127"/>
  <c r="V127"/>
  <c r="U127" s="1"/>
  <c r="T127"/>
  <c r="S127"/>
  <c r="R127"/>
  <c r="Q127"/>
  <c r="M127"/>
  <c r="H127"/>
  <c r="X126"/>
  <c r="W126"/>
  <c r="V126"/>
  <c r="T126"/>
  <c r="S126"/>
  <c r="R126"/>
  <c r="Q126"/>
  <c r="M126"/>
  <c r="H126"/>
  <c r="X125"/>
  <c r="W125"/>
  <c r="V125"/>
  <c r="T125"/>
  <c r="S125"/>
  <c r="R125"/>
  <c r="Q125"/>
  <c r="M125"/>
  <c r="H125"/>
  <c r="X124"/>
  <c r="W124"/>
  <c r="V124"/>
  <c r="U124" s="1"/>
  <c r="T124"/>
  <c r="S124"/>
  <c r="R124"/>
  <c r="Q124"/>
  <c r="M124"/>
  <c r="H124"/>
  <c r="X123"/>
  <c r="W123"/>
  <c r="V123"/>
  <c r="U123" s="1"/>
  <c r="T123"/>
  <c r="S123"/>
  <c r="R123"/>
  <c r="Q123"/>
  <c r="M123"/>
  <c r="H123"/>
  <c r="X122"/>
  <c r="W122"/>
  <c r="V122"/>
  <c r="T122"/>
  <c r="S122"/>
  <c r="R122"/>
  <c r="Q122"/>
  <c r="M122"/>
  <c r="H122"/>
  <c r="X121"/>
  <c r="W121"/>
  <c r="V121"/>
  <c r="T121"/>
  <c r="S121"/>
  <c r="R121"/>
  <c r="Q121"/>
  <c r="M121"/>
  <c r="H121"/>
  <c r="X120"/>
  <c r="W120"/>
  <c r="V120"/>
  <c r="U120" s="1"/>
  <c r="T120"/>
  <c r="S120"/>
  <c r="R120"/>
  <c r="Q120"/>
  <c r="M120"/>
  <c r="H120"/>
  <c r="X119"/>
  <c r="W119"/>
  <c r="V119"/>
  <c r="U119" s="1"/>
  <c r="T119"/>
  <c r="S119"/>
  <c r="R119"/>
  <c r="Q119"/>
  <c r="M119"/>
  <c r="H119"/>
  <c r="X118"/>
  <c r="W118"/>
  <c r="V118"/>
  <c r="T118"/>
  <c r="S118"/>
  <c r="R118"/>
  <c r="Q118"/>
  <c r="M118"/>
  <c r="H118"/>
  <c r="X117"/>
  <c r="V117"/>
  <c r="T117"/>
  <c r="R117"/>
  <c r="Q117" s="1"/>
  <c r="M117"/>
  <c r="U117" s="1"/>
  <c r="H117"/>
  <c r="E117"/>
  <c r="W117" s="1"/>
  <c r="X116"/>
  <c r="W116"/>
  <c r="V116"/>
  <c r="U116" s="1"/>
  <c r="T116"/>
  <c r="S116"/>
  <c r="R116"/>
  <c r="Q116"/>
  <c r="M116"/>
  <c r="H116"/>
  <c r="X115"/>
  <c r="W115"/>
  <c r="V115"/>
  <c r="T115"/>
  <c r="S115"/>
  <c r="R115"/>
  <c r="Q115"/>
  <c r="M115"/>
  <c r="H115"/>
  <c r="X114"/>
  <c r="W114"/>
  <c r="V114"/>
  <c r="T114"/>
  <c r="S114"/>
  <c r="R114"/>
  <c r="Q114"/>
  <c r="M114"/>
  <c r="H114"/>
  <c r="X113"/>
  <c r="W113"/>
  <c r="V113"/>
  <c r="U113" s="1"/>
  <c r="T113"/>
  <c r="S113"/>
  <c r="R113"/>
  <c r="Q113"/>
  <c r="M113"/>
  <c r="H113"/>
  <c r="X112"/>
  <c r="W112"/>
  <c r="V112"/>
  <c r="U112" s="1"/>
  <c r="T112"/>
  <c r="S112"/>
  <c r="R112"/>
  <c r="Q112"/>
  <c r="M112"/>
  <c r="H112"/>
  <c r="X111"/>
  <c r="W111"/>
  <c r="V111"/>
  <c r="T111"/>
  <c r="S111"/>
  <c r="R111"/>
  <c r="Q111"/>
  <c r="M111"/>
  <c r="H111"/>
  <c r="X110"/>
  <c r="W110"/>
  <c r="V110"/>
  <c r="T110"/>
  <c r="S110"/>
  <c r="R110"/>
  <c r="Q110"/>
  <c r="M110"/>
  <c r="H110"/>
  <c r="X109"/>
  <c r="W109"/>
  <c r="V109"/>
  <c r="U109" s="1"/>
  <c r="T109"/>
  <c r="S109"/>
  <c r="R109"/>
  <c r="Q109"/>
  <c r="M109"/>
  <c r="H109"/>
  <c r="X108"/>
  <c r="W108"/>
  <c r="V108"/>
  <c r="U108" s="1"/>
  <c r="T108"/>
  <c r="S108"/>
  <c r="R108"/>
  <c r="Q108"/>
  <c r="M108"/>
  <c r="H108"/>
  <c r="X107"/>
  <c r="W107"/>
  <c r="V107"/>
  <c r="T107"/>
  <c r="S107"/>
  <c r="R107"/>
  <c r="Q107"/>
  <c r="M107"/>
  <c r="H107"/>
  <c r="X106"/>
  <c r="W106"/>
  <c r="V106"/>
  <c r="T106"/>
  <c r="S106"/>
  <c r="R106"/>
  <c r="Q106"/>
  <c r="M106"/>
  <c r="H106"/>
  <c r="X105"/>
  <c r="W105"/>
  <c r="V105"/>
  <c r="U105" s="1"/>
  <c r="T105"/>
  <c r="S105"/>
  <c r="R105"/>
  <c r="Q105"/>
  <c r="M105"/>
  <c r="H105"/>
  <c r="X104"/>
  <c r="W104"/>
  <c r="V104"/>
  <c r="U104" s="1"/>
  <c r="T104"/>
  <c r="S104"/>
  <c r="R104"/>
  <c r="Q104"/>
  <c r="M104"/>
  <c r="H104"/>
  <c r="X103"/>
  <c r="W103"/>
  <c r="V103"/>
  <c r="T103"/>
  <c r="S103"/>
  <c r="R103"/>
  <c r="Q103"/>
  <c r="M103"/>
  <c r="H103"/>
  <c r="X102"/>
  <c r="W102"/>
  <c r="V102"/>
  <c r="T102"/>
  <c r="S102"/>
  <c r="R102"/>
  <c r="Q102"/>
  <c r="M102"/>
  <c r="M196" s="1"/>
  <c r="H102"/>
  <c r="X101"/>
  <c r="W101"/>
  <c r="V101"/>
  <c r="U101" s="1"/>
  <c r="T101"/>
  <c r="S101"/>
  <c r="R101"/>
  <c r="Q101"/>
  <c r="M101"/>
  <c r="H101"/>
  <c r="X100"/>
  <c r="W100"/>
  <c r="V100"/>
  <c r="U100" s="1"/>
  <c r="T100"/>
  <c r="S100"/>
  <c r="R100"/>
  <c r="Q100"/>
  <c r="M100"/>
  <c r="H100"/>
  <c r="X99"/>
  <c r="W99"/>
  <c r="V99"/>
  <c r="T99"/>
  <c r="S99"/>
  <c r="R99"/>
  <c r="Q99"/>
  <c r="M99"/>
  <c r="H99"/>
  <c r="X98"/>
  <c r="W98"/>
  <c r="V98"/>
  <c r="T98"/>
  <c r="S98"/>
  <c r="R98"/>
  <c r="Q98"/>
  <c r="M98"/>
  <c r="H98"/>
  <c r="X97"/>
  <c r="W97"/>
  <c r="V97"/>
  <c r="U97" s="1"/>
  <c r="T97"/>
  <c r="S97"/>
  <c r="R97"/>
  <c r="Q97"/>
  <c r="M97"/>
  <c r="X96"/>
  <c r="W96"/>
  <c r="V96"/>
  <c r="U96" s="1"/>
  <c r="T96"/>
  <c r="S96"/>
  <c r="R96"/>
  <c r="Q96"/>
  <c r="M96"/>
  <c r="H96"/>
  <c r="X95"/>
  <c r="W95"/>
  <c r="V95"/>
  <c r="U95" s="1"/>
  <c r="T95"/>
  <c r="S95"/>
  <c r="R95"/>
  <c r="Q95"/>
  <c r="M95"/>
  <c r="H95"/>
  <c r="X94"/>
  <c r="W94"/>
  <c r="V94"/>
  <c r="T94"/>
  <c r="S94"/>
  <c r="R94"/>
  <c r="Q94"/>
  <c r="M94"/>
  <c r="H94"/>
  <c r="X93"/>
  <c r="W93"/>
  <c r="V93"/>
  <c r="T93"/>
  <c r="S93"/>
  <c r="R93"/>
  <c r="Q93"/>
  <c r="M93"/>
  <c r="H93"/>
  <c r="X92"/>
  <c r="W92"/>
  <c r="V92"/>
  <c r="U92" s="1"/>
  <c r="T92"/>
  <c r="S92"/>
  <c r="R92"/>
  <c r="Q92"/>
  <c r="M92"/>
  <c r="H92"/>
  <c r="X91"/>
  <c r="W91"/>
  <c r="V91"/>
  <c r="U91" s="1"/>
  <c r="T91"/>
  <c r="S91"/>
  <c r="R91"/>
  <c r="Q91"/>
  <c r="M91"/>
  <c r="H91"/>
  <c r="X90"/>
  <c r="W90"/>
  <c r="V90"/>
  <c r="T90"/>
  <c r="S90"/>
  <c r="R90"/>
  <c r="Q90"/>
  <c r="M90"/>
  <c r="H90"/>
  <c r="X89"/>
  <c r="W89"/>
  <c r="V89"/>
  <c r="T89"/>
  <c r="S89"/>
  <c r="R89"/>
  <c r="Q89"/>
  <c r="M89"/>
  <c r="H89"/>
  <c r="X88"/>
  <c r="W88"/>
  <c r="V88"/>
  <c r="U88" s="1"/>
  <c r="T88"/>
  <c r="S88"/>
  <c r="R88"/>
  <c r="Q88"/>
  <c r="M88"/>
  <c r="H88"/>
  <c r="X87"/>
  <c r="W87"/>
  <c r="V87"/>
  <c r="U87" s="1"/>
  <c r="T87"/>
  <c r="S87"/>
  <c r="R87"/>
  <c r="Q87"/>
  <c r="M87"/>
  <c r="H87"/>
  <c r="X86"/>
  <c r="W86"/>
  <c r="V86"/>
  <c r="T86"/>
  <c r="S86"/>
  <c r="R86"/>
  <c r="Q86"/>
  <c r="M86"/>
  <c r="H86"/>
  <c r="X85"/>
  <c r="W85"/>
  <c r="V85"/>
  <c r="T85"/>
  <c r="S85"/>
  <c r="R85"/>
  <c r="Q85"/>
  <c r="M85"/>
  <c r="H85"/>
  <c r="X84"/>
  <c r="W84"/>
  <c r="V84"/>
  <c r="U84" s="1"/>
  <c r="T84"/>
  <c r="S84"/>
  <c r="R84"/>
  <c r="Q84"/>
  <c r="M84"/>
  <c r="H84"/>
  <c r="X83"/>
  <c r="W83"/>
  <c r="V83"/>
  <c r="U83" s="1"/>
  <c r="T83"/>
  <c r="S83"/>
  <c r="R83"/>
  <c r="Q83"/>
  <c r="M83"/>
  <c r="H83"/>
  <c r="X82"/>
  <c r="W82"/>
  <c r="V82"/>
  <c r="T82"/>
  <c r="S82"/>
  <c r="R82"/>
  <c r="Q82"/>
  <c r="M82"/>
  <c r="H82"/>
  <c r="X81"/>
  <c r="W81"/>
  <c r="V81"/>
  <c r="U81"/>
  <c r="T81"/>
  <c r="S81"/>
  <c r="R81"/>
  <c r="Q81"/>
  <c r="M81"/>
  <c r="H81"/>
  <c r="X80"/>
  <c r="W80"/>
  <c r="V80"/>
  <c r="U80" s="1"/>
  <c r="T80"/>
  <c r="S80"/>
  <c r="R80"/>
  <c r="Q80"/>
  <c r="M80"/>
  <c r="H80"/>
  <c r="X79"/>
  <c r="W79"/>
  <c r="V79"/>
  <c r="T79"/>
  <c r="S79"/>
  <c r="R79"/>
  <c r="Q79"/>
  <c r="M79"/>
  <c r="H79"/>
  <c r="X78"/>
  <c r="W78"/>
  <c r="V78"/>
  <c r="T78"/>
  <c r="S78"/>
  <c r="R78"/>
  <c r="Q78"/>
  <c r="M78"/>
  <c r="H78"/>
  <c r="X77"/>
  <c r="W77"/>
  <c r="V77"/>
  <c r="U77" s="1"/>
  <c r="T77"/>
  <c r="S77"/>
  <c r="R77"/>
  <c r="Q77"/>
  <c r="M77"/>
  <c r="H77"/>
  <c r="X76"/>
  <c r="W76"/>
  <c r="V76"/>
  <c r="U76" s="1"/>
  <c r="T76"/>
  <c r="S76"/>
  <c r="R76"/>
  <c r="Q76"/>
  <c r="M76"/>
  <c r="H76"/>
  <c r="X75"/>
  <c r="W75"/>
  <c r="V75"/>
  <c r="T75"/>
  <c r="S75"/>
  <c r="R75"/>
  <c r="Q75"/>
  <c r="M75"/>
  <c r="H75"/>
  <c r="X74"/>
  <c r="W74"/>
  <c r="V74"/>
  <c r="T74"/>
  <c r="S74"/>
  <c r="R74"/>
  <c r="Q74"/>
  <c r="M74"/>
  <c r="H74"/>
  <c r="X73"/>
  <c r="W73"/>
  <c r="V73"/>
  <c r="U73" s="1"/>
  <c r="T73"/>
  <c r="S73"/>
  <c r="R73"/>
  <c r="Q73"/>
  <c r="M73"/>
  <c r="H73"/>
  <c r="X72"/>
  <c r="W72"/>
  <c r="V72"/>
  <c r="U72" s="1"/>
  <c r="T72"/>
  <c r="S72"/>
  <c r="R72"/>
  <c r="Q72"/>
  <c r="M72"/>
  <c r="H72"/>
  <c r="X71"/>
  <c r="W71"/>
  <c r="V71"/>
  <c r="T71"/>
  <c r="S71"/>
  <c r="R71"/>
  <c r="Q71"/>
  <c r="M71"/>
  <c r="H71"/>
  <c r="X70"/>
  <c r="W70"/>
  <c r="V70"/>
  <c r="T70"/>
  <c r="S70"/>
  <c r="R70"/>
  <c r="Q70"/>
  <c r="M70"/>
  <c r="H70"/>
  <c r="X69"/>
  <c r="W69"/>
  <c r="V69"/>
  <c r="U69" s="1"/>
  <c r="T69"/>
  <c r="S69"/>
  <c r="R69"/>
  <c r="Q69"/>
  <c r="M69"/>
  <c r="H69" s="1"/>
  <c r="G69"/>
  <c r="M68"/>
  <c r="U70" l="1"/>
  <c r="U74"/>
  <c r="U78"/>
  <c r="U85"/>
  <c r="U89"/>
  <c r="U93"/>
  <c r="U98"/>
  <c r="U102"/>
  <c r="U106"/>
  <c r="U110"/>
  <c r="U114"/>
  <c r="U121"/>
  <c r="U125"/>
  <c r="U129"/>
  <c r="H136"/>
  <c r="S136"/>
  <c r="X136"/>
  <c r="U138"/>
  <c r="U142"/>
  <c r="U146"/>
  <c r="U150"/>
  <c r="T150" s="1"/>
  <c r="U153"/>
  <c r="U157"/>
  <c r="U161"/>
  <c r="H162"/>
  <c r="U165"/>
  <c r="U172"/>
  <c r="U176"/>
  <c r="U180"/>
  <c r="U184"/>
  <c r="U188"/>
  <c r="U192"/>
  <c r="V146" i="19"/>
  <c r="U146" s="1"/>
  <c r="T146" s="1"/>
  <c r="S146" s="1"/>
  <c r="R146" s="1"/>
  <c r="Q146" s="1"/>
  <c r="M146" s="1"/>
  <c r="H146" s="1"/>
  <c r="R136" i="18"/>
  <c r="W136"/>
  <c r="Q136"/>
  <c r="V136"/>
  <c r="R150"/>
  <c r="W150"/>
  <c r="U71"/>
  <c r="U75"/>
  <c r="U79"/>
  <c r="U82"/>
  <c r="U86"/>
  <c r="U90"/>
  <c r="U94"/>
  <c r="U99"/>
  <c r="U103"/>
  <c r="U107"/>
  <c r="U111"/>
  <c r="U115"/>
  <c r="S117"/>
  <c r="U118"/>
  <c r="U122"/>
  <c r="U126"/>
  <c r="U130"/>
  <c r="S135"/>
  <c r="U139"/>
  <c r="U143"/>
  <c r="U147"/>
  <c r="Q150"/>
  <c r="U154"/>
  <c r="U158"/>
  <c r="U162"/>
  <c r="U166"/>
  <c r="U173"/>
  <c r="U177"/>
  <c r="U181"/>
  <c r="U185"/>
  <c r="U189"/>
  <c r="U193"/>
  <c r="U145" i="19"/>
  <c r="H68" i="18"/>
  <c r="G68"/>
  <c r="E68"/>
  <c r="X67"/>
  <c r="W67"/>
  <c r="V67"/>
  <c r="T67"/>
  <c r="S67"/>
  <c r="R67"/>
  <c r="Q67"/>
  <c r="M67"/>
  <c r="H67"/>
  <c r="X66"/>
  <c r="W66"/>
  <c r="V66"/>
  <c r="T66"/>
  <c r="S66"/>
  <c r="R66"/>
  <c r="Q66"/>
  <c r="M66"/>
  <c r="H66"/>
  <c r="X65"/>
  <c r="W65"/>
  <c r="V65"/>
  <c r="T65"/>
  <c r="S65"/>
  <c r="R65"/>
  <c r="Q65"/>
  <c r="M65"/>
  <c r="H65"/>
  <c r="X64"/>
  <c r="W64"/>
  <c r="V64"/>
  <c r="U64" s="1"/>
  <c r="T64"/>
  <c r="S64"/>
  <c r="R64"/>
  <c r="Q64"/>
  <c r="M64"/>
  <c r="G64"/>
  <c r="X63"/>
  <c r="W63"/>
  <c r="V63"/>
  <c r="T63"/>
  <c r="S63"/>
  <c r="R63"/>
  <c r="Q63"/>
  <c r="M63"/>
  <c r="H63" s="1"/>
  <c r="G63"/>
  <c r="X62"/>
  <c r="W62"/>
  <c r="V62"/>
  <c r="T62"/>
  <c r="S62"/>
  <c r="R62"/>
  <c r="Q62"/>
  <c r="M62"/>
  <c r="G62"/>
  <c r="X61"/>
  <c r="W61"/>
  <c r="V61"/>
  <c r="T61"/>
  <c r="S61"/>
  <c r="R61"/>
  <c r="Q61"/>
  <c r="M61"/>
  <c r="H61" s="1"/>
  <c r="G61"/>
  <c r="X60"/>
  <c r="W60"/>
  <c r="V60"/>
  <c r="U60" s="1"/>
  <c r="T60"/>
  <c r="S60"/>
  <c r="R60"/>
  <c r="Q60"/>
  <c r="M60"/>
  <c r="H60"/>
  <c r="W59"/>
  <c r="R59"/>
  <c r="M59"/>
  <c r="E59"/>
  <c r="X59" s="1"/>
  <c r="X58"/>
  <c r="W58"/>
  <c r="V58"/>
  <c r="T58"/>
  <c r="S58"/>
  <c r="R58"/>
  <c r="Q58"/>
  <c r="M58"/>
  <c r="H58"/>
  <c r="X57"/>
  <c r="W57"/>
  <c r="V57"/>
  <c r="T57"/>
  <c r="S57"/>
  <c r="R57"/>
  <c r="Q57"/>
  <c r="M57"/>
  <c r="H57"/>
  <c r="X56"/>
  <c r="W56"/>
  <c r="V56"/>
  <c r="U56" s="1"/>
  <c r="T56"/>
  <c r="S56"/>
  <c r="R56"/>
  <c r="Q56"/>
  <c r="M56"/>
  <c r="H56"/>
  <c r="X55"/>
  <c r="W55"/>
  <c r="V55"/>
  <c r="T55"/>
  <c r="S55"/>
  <c r="R55"/>
  <c r="Q55"/>
  <c r="M55"/>
  <c r="H55"/>
  <c r="X54"/>
  <c r="W54"/>
  <c r="V54"/>
  <c r="T54"/>
  <c r="S54"/>
  <c r="R54"/>
  <c r="Q54"/>
  <c r="M54"/>
  <c r="H54"/>
  <c r="X53"/>
  <c r="W53"/>
  <c r="V53"/>
  <c r="T53"/>
  <c r="S53"/>
  <c r="R53"/>
  <c r="Q53"/>
  <c r="M53"/>
  <c r="H53"/>
  <c r="X52"/>
  <c r="W52"/>
  <c r="V52"/>
  <c r="U52" s="1"/>
  <c r="T52"/>
  <c r="S52"/>
  <c r="R52"/>
  <c r="Q52"/>
  <c r="M52"/>
  <c r="H52"/>
  <c r="X51"/>
  <c r="W51"/>
  <c r="V51"/>
  <c r="T51"/>
  <c r="S51"/>
  <c r="R51"/>
  <c r="Q51"/>
  <c r="M51"/>
  <c r="U51" s="1"/>
  <c r="H51"/>
  <c r="X50"/>
  <c r="W50"/>
  <c r="V50"/>
  <c r="T50"/>
  <c r="S50"/>
  <c r="R50"/>
  <c r="Q50"/>
  <c r="M50"/>
  <c r="H50"/>
  <c r="X49"/>
  <c r="W49"/>
  <c r="V49"/>
  <c r="U49" s="1"/>
  <c r="T49"/>
  <c r="S49"/>
  <c r="R49"/>
  <c r="Q49"/>
  <c r="M49"/>
  <c r="H49"/>
  <c r="X48"/>
  <c r="W48"/>
  <c r="V48"/>
  <c r="T48"/>
  <c r="S48"/>
  <c r="R48"/>
  <c r="Q48"/>
  <c r="M48"/>
  <c r="H48"/>
  <c r="X47"/>
  <c r="W47"/>
  <c r="V47"/>
  <c r="T47"/>
  <c r="S47"/>
  <c r="R47"/>
  <c r="Q47"/>
  <c r="M47"/>
  <c r="H47"/>
  <c r="X46"/>
  <c r="W46"/>
  <c r="V46"/>
  <c r="T46"/>
  <c r="S46"/>
  <c r="R46"/>
  <c r="Q46"/>
  <c r="M46"/>
  <c r="H46"/>
  <c r="V45"/>
  <c r="U45" s="1"/>
  <c r="Q45"/>
  <c r="M45"/>
  <c r="E45"/>
  <c r="W45" s="1"/>
  <c r="W44"/>
  <c r="R44"/>
  <c r="M44"/>
  <c r="E44"/>
  <c r="X44" s="1"/>
  <c r="X43"/>
  <c r="W43"/>
  <c r="V43"/>
  <c r="T43"/>
  <c r="S43"/>
  <c r="R43"/>
  <c r="Q43"/>
  <c r="M43"/>
  <c r="H43"/>
  <c r="X42"/>
  <c r="W42"/>
  <c r="V42"/>
  <c r="T42"/>
  <c r="S42"/>
  <c r="R42"/>
  <c r="Q42"/>
  <c r="M42"/>
  <c r="H42"/>
  <c r="X41"/>
  <c r="W41"/>
  <c r="V41"/>
  <c r="U41" s="1"/>
  <c r="T41"/>
  <c r="S41"/>
  <c r="R41"/>
  <c r="Q41"/>
  <c r="M41"/>
  <c r="H41"/>
  <c r="X40"/>
  <c r="W40"/>
  <c r="V40"/>
  <c r="T40"/>
  <c r="S40"/>
  <c r="R40"/>
  <c r="Q40"/>
  <c r="M40"/>
  <c r="H40"/>
  <c r="X39"/>
  <c r="W39"/>
  <c r="V39"/>
  <c r="T39"/>
  <c r="S39"/>
  <c r="R39"/>
  <c r="Q39"/>
  <c r="M39"/>
  <c r="G39"/>
  <c r="X38"/>
  <c r="W38"/>
  <c r="V38"/>
  <c r="T38"/>
  <c r="S38"/>
  <c r="R38"/>
  <c r="Q38"/>
  <c r="M38"/>
  <c r="H38" s="1"/>
  <c r="G38"/>
  <c r="V37"/>
  <c r="U37" s="1"/>
  <c r="Q37"/>
  <c r="M37"/>
  <c r="E37"/>
  <c r="W37" s="1"/>
  <c r="X36"/>
  <c r="W36"/>
  <c r="V36"/>
  <c r="T36"/>
  <c r="S36"/>
  <c r="R36"/>
  <c r="Q36"/>
  <c r="M36"/>
  <c r="H36"/>
  <c r="X35"/>
  <c r="W35"/>
  <c r="V35"/>
  <c r="T35"/>
  <c r="S35"/>
  <c r="R35"/>
  <c r="Q35"/>
  <c r="M35"/>
  <c r="H35"/>
  <c r="X34"/>
  <c r="W34"/>
  <c r="V34"/>
  <c r="T34"/>
  <c r="S34"/>
  <c r="R34"/>
  <c r="Q34"/>
  <c r="M34"/>
  <c r="H34"/>
  <c r="X33"/>
  <c r="W33"/>
  <c r="V33"/>
  <c r="U33" s="1"/>
  <c r="T33"/>
  <c r="S33"/>
  <c r="R33"/>
  <c r="Q33"/>
  <c r="M33"/>
  <c r="H33"/>
  <c r="X32"/>
  <c r="W32"/>
  <c r="V32"/>
  <c r="T32"/>
  <c r="S32"/>
  <c r="R32"/>
  <c r="Q32"/>
  <c r="M32"/>
  <c r="H32"/>
  <c r="X31"/>
  <c r="W31"/>
  <c r="V31"/>
  <c r="T31"/>
  <c r="S31"/>
  <c r="R31"/>
  <c r="Q31"/>
  <c r="M31"/>
  <c r="H31"/>
  <c r="X30"/>
  <c r="W30"/>
  <c r="V30"/>
  <c r="T30"/>
  <c r="S30"/>
  <c r="R30"/>
  <c r="Q30"/>
  <c r="M30"/>
  <c r="H30"/>
  <c r="X29"/>
  <c r="W29"/>
  <c r="V29"/>
  <c r="U29" s="1"/>
  <c r="T29"/>
  <c r="S29"/>
  <c r="R29"/>
  <c r="Q29"/>
  <c r="M29"/>
  <c r="H29"/>
  <c r="X28"/>
  <c r="W28"/>
  <c r="V28"/>
  <c r="T28"/>
  <c r="S28"/>
  <c r="R28"/>
  <c r="Q28"/>
  <c r="M28"/>
  <c r="H28"/>
  <c r="X27"/>
  <c r="W27"/>
  <c r="V27"/>
  <c r="T27"/>
  <c r="S27"/>
  <c r="R27"/>
  <c r="Q27"/>
  <c r="M27"/>
  <c r="H27"/>
  <c r="X26"/>
  <c r="W26"/>
  <c r="V26"/>
  <c r="T26"/>
  <c r="S26"/>
  <c r="R26"/>
  <c r="Q26"/>
  <c r="M26"/>
  <c r="H26"/>
  <c r="X25"/>
  <c r="W25"/>
  <c r="V25"/>
  <c r="U25" s="1"/>
  <c r="T25"/>
  <c r="S25"/>
  <c r="R25"/>
  <c r="Q25"/>
  <c r="M25"/>
  <c r="H25"/>
  <c r="X24"/>
  <c r="W24"/>
  <c r="V24"/>
  <c r="T24"/>
  <c r="S24"/>
  <c r="R24"/>
  <c r="Q24"/>
  <c r="M24"/>
  <c r="H24"/>
  <c r="X23"/>
  <c r="W23"/>
  <c r="V23"/>
  <c r="T23"/>
  <c r="S23"/>
  <c r="R23"/>
  <c r="Q23"/>
  <c r="M23"/>
  <c r="H23"/>
  <c r="X22"/>
  <c r="W22"/>
  <c r="V22"/>
  <c r="T22"/>
  <c r="S22"/>
  <c r="R22"/>
  <c r="Q22"/>
  <c r="M22"/>
  <c r="H22"/>
  <c r="X21"/>
  <c r="W21"/>
  <c r="V21"/>
  <c r="U21" s="1"/>
  <c r="T21"/>
  <c r="S21"/>
  <c r="R21"/>
  <c r="Q21"/>
  <c r="M21"/>
  <c r="H21"/>
  <c r="X20"/>
  <c r="W20"/>
  <c r="V20"/>
  <c r="T20"/>
  <c r="S20"/>
  <c r="R20"/>
  <c r="Q20"/>
  <c r="M20"/>
  <c r="U20" s="1"/>
  <c r="H20"/>
  <c r="X19"/>
  <c r="W19"/>
  <c r="V19"/>
  <c r="T19"/>
  <c r="S19"/>
  <c r="R19"/>
  <c r="Q19"/>
  <c r="M19"/>
  <c r="H19"/>
  <c r="X18"/>
  <c r="W18"/>
  <c r="V18"/>
  <c r="U18" s="1"/>
  <c r="T18"/>
  <c r="S18"/>
  <c r="R18"/>
  <c r="Q18"/>
  <c r="M18"/>
  <c r="H18"/>
  <c r="X17"/>
  <c r="W17"/>
  <c r="V17"/>
  <c r="T17"/>
  <c r="S17"/>
  <c r="R17"/>
  <c r="Q17"/>
  <c r="M17"/>
  <c r="H17"/>
  <c r="X16"/>
  <c r="W16"/>
  <c r="V16"/>
  <c r="T16"/>
  <c r="S16"/>
  <c r="R16"/>
  <c r="Q16"/>
  <c r="M16"/>
  <c r="H16"/>
  <c r="X15"/>
  <c r="W15"/>
  <c r="V15"/>
  <c r="T15"/>
  <c r="S15"/>
  <c r="R15"/>
  <c r="Q15"/>
  <c r="M15"/>
  <c r="H15"/>
  <c r="X14"/>
  <c r="W14"/>
  <c r="V14"/>
  <c r="U14" s="1"/>
  <c r="T14"/>
  <c r="S14"/>
  <c r="R14"/>
  <c r="Q14"/>
  <c r="M14"/>
  <c r="H14"/>
  <c r="X13"/>
  <c r="W13"/>
  <c r="V13"/>
  <c r="T13"/>
  <c r="S13"/>
  <c r="R13"/>
  <c r="Q13"/>
  <c r="M13"/>
  <c r="H13"/>
  <c r="M12"/>
  <c r="E12"/>
  <c r="T12" s="1"/>
  <c r="X11"/>
  <c r="W11"/>
  <c r="V11"/>
  <c r="T11"/>
  <c r="S11"/>
  <c r="R11"/>
  <c r="Q11"/>
  <c r="M11"/>
  <c r="H11"/>
  <c r="X10"/>
  <c r="W10"/>
  <c r="V10"/>
  <c r="U10" s="1"/>
  <c r="T10"/>
  <c r="S10"/>
  <c r="R10"/>
  <c r="Q10"/>
  <c r="M10"/>
  <c r="H10"/>
  <c r="X9"/>
  <c r="W9"/>
  <c r="V9"/>
  <c r="T9"/>
  <c r="S9"/>
  <c r="R9"/>
  <c r="Q9"/>
  <c r="M9"/>
  <c r="H9"/>
  <c r="X8"/>
  <c r="W8"/>
  <c r="V8"/>
  <c r="T8"/>
  <c r="S8"/>
  <c r="R8"/>
  <c r="Q8"/>
  <c r="M8"/>
  <c r="G8"/>
  <c r="X103" i="17"/>
  <c r="W103"/>
  <c r="V103"/>
  <c r="T103"/>
  <c r="S103"/>
  <c r="R103"/>
  <c r="Q103"/>
  <c r="M103"/>
  <c r="H103"/>
  <c r="X102"/>
  <c r="W102"/>
  <c r="V102"/>
  <c r="U102" s="1"/>
  <c r="T102"/>
  <c r="S102"/>
  <c r="R102"/>
  <c r="Q102"/>
  <c r="M102"/>
  <c r="H102"/>
  <c r="X101"/>
  <c r="W101"/>
  <c r="V101"/>
  <c r="T101"/>
  <c r="S101"/>
  <c r="R101"/>
  <c r="Q101"/>
  <c r="M101"/>
  <c r="H101"/>
  <c r="X100"/>
  <c r="W100"/>
  <c r="V100"/>
  <c r="U100" s="1"/>
  <c r="T100"/>
  <c r="S100"/>
  <c r="R100"/>
  <c r="Q100"/>
  <c r="M100"/>
  <c r="H100"/>
  <c r="X99"/>
  <c r="W99"/>
  <c r="V99"/>
  <c r="T99"/>
  <c r="S99"/>
  <c r="R99"/>
  <c r="Q99"/>
  <c r="M99"/>
  <c r="H99"/>
  <c r="X98"/>
  <c r="W98"/>
  <c r="V98"/>
  <c r="T98"/>
  <c r="S98"/>
  <c r="R98"/>
  <c r="Q98"/>
  <c r="M98"/>
  <c r="U98" s="1"/>
  <c r="H98"/>
  <c r="X97"/>
  <c r="S97"/>
  <c r="M97"/>
  <c r="H97"/>
  <c r="G97"/>
  <c r="E97"/>
  <c r="T97" s="1"/>
  <c r="M96"/>
  <c r="E96"/>
  <c r="X96" s="1"/>
  <c r="X95"/>
  <c r="W95"/>
  <c r="V95"/>
  <c r="T95"/>
  <c r="S95"/>
  <c r="R95"/>
  <c r="Q95"/>
  <c r="M95"/>
  <c r="H95"/>
  <c r="X94"/>
  <c r="W94"/>
  <c r="V94"/>
  <c r="U94" s="1"/>
  <c r="T94"/>
  <c r="S94"/>
  <c r="R94"/>
  <c r="Q94"/>
  <c r="M94"/>
  <c r="H94"/>
  <c r="X93"/>
  <c r="W93"/>
  <c r="V93"/>
  <c r="T93"/>
  <c r="S93"/>
  <c r="R93"/>
  <c r="Q93"/>
  <c r="M93"/>
  <c r="H93"/>
  <c r="X92"/>
  <c r="W92"/>
  <c r="V92"/>
  <c r="T92"/>
  <c r="S92"/>
  <c r="R92"/>
  <c r="Q92"/>
  <c r="M92"/>
  <c r="H92"/>
  <c r="X91"/>
  <c r="W91"/>
  <c r="V91"/>
  <c r="T91"/>
  <c r="S91"/>
  <c r="R91"/>
  <c r="Q91"/>
  <c r="M91"/>
  <c r="H91"/>
  <c r="X90"/>
  <c r="W90"/>
  <c r="V90"/>
  <c r="T90"/>
  <c r="S90"/>
  <c r="R90"/>
  <c r="Q90"/>
  <c r="M90"/>
  <c r="U90" s="1"/>
  <c r="H90"/>
  <c r="X89"/>
  <c r="W89"/>
  <c r="V89"/>
  <c r="U89" s="1"/>
  <c r="T89"/>
  <c r="S89"/>
  <c r="R89"/>
  <c r="Q89"/>
  <c r="M89"/>
  <c r="H89"/>
  <c r="X88"/>
  <c r="W88"/>
  <c r="V88"/>
  <c r="T88"/>
  <c r="S88"/>
  <c r="R88"/>
  <c r="Q88"/>
  <c r="M88"/>
  <c r="H88"/>
  <c r="X87"/>
  <c r="W87"/>
  <c r="V87"/>
  <c r="U87" s="1"/>
  <c r="T87"/>
  <c r="S87"/>
  <c r="R87"/>
  <c r="Q87"/>
  <c r="M87"/>
  <c r="H87"/>
  <c r="X86"/>
  <c r="W86"/>
  <c r="V86"/>
  <c r="U93" l="1"/>
  <c r="Q96"/>
  <c r="V96"/>
  <c r="U96" s="1"/>
  <c r="R97"/>
  <c r="W97"/>
  <c r="U101"/>
  <c r="U9" i="18"/>
  <c r="R12"/>
  <c r="R196" s="1"/>
  <c r="R197" s="1"/>
  <c r="W12"/>
  <c r="U13"/>
  <c r="U17"/>
  <c r="U24"/>
  <c r="U28"/>
  <c r="U32"/>
  <c r="U36"/>
  <c r="H37"/>
  <c r="T37"/>
  <c r="U40"/>
  <c r="Q44"/>
  <c r="V44"/>
  <c r="U44" s="1"/>
  <c r="H45"/>
  <c r="T45"/>
  <c r="U48"/>
  <c r="U55"/>
  <c r="Q59"/>
  <c r="V59"/>
  <c r="U59" s="1"/>
  <c r="U63"/>
  <c r="H64"/>
  <c r="U67"/>
  <c r="U8"/>
  <c r="T68"/>
  <c r="V68"/>
  <c r="U68" s="1"/>
  <c r="W68"/>
  <c r="W196" s="1"/>
  <c r="W197" s="1"/>
  <c r="X68"/>
  <c r="S68"/>
  <c r="Q68"/>
  <c r="R68"/>
  <c r="W96" i="17"/>
  <c r="X12" i="18"/>
  <c r="U92" i="17"/>
  <c r="T96"/>
  <c r="Q97"/>
  <c r="V97"/>
  <c r="U97" s="1"/>
  <c r="Q12" i="18"/>
  <c r="Q196" s="1"/>
  <c r="Q197" s="1"/>
  <c r="M197" s="1"/>
  <c r="V12"/>
  <c r="U12" s="1"/>
  <c r="U16"/>
  <c r="U23"/>
  <c r="U27"/>
  <c r="U31"/>
  <c r="U35"/>
  <c r="S37"/>
  <c r="X37"/>
  <c r="X196" s="1"/>
  <c r="X197" s="1"/>
  <c r="U39"/>
  <c r="U43"/>
  <c r="H44"/>
  <c r="T44"/>
  <c r="T196" s="1"/>
  <c r="T197" s="1"/>
  <c r="S45"/>
  <c r="X45"/>
  <c r="U47"/>
  <c r="U54"/>
  <c r="U58"/>
  <c r="H59"/>
  <c r="T59"/>
  <c r="U62"/>
  <c r="U66"/>
  <c r="R96" i="17"/>
  <c r="S12" i="18"/>
  <c r="S196" s="1"/>
  <c r="S197" s="1"/>
  <c r="U88" i="17"/>
  <c r="U91"/>
  <c r="U95"/>
  <c r="H96"/>
  <c r="S96"/>
  <c r="U99"/>
  <c r="U103"/>
  <c r="H8" i="18"/>
  <c r="U11"/>
  <c r="H12"/>
  <c r="U15"/>
  <c r="U19"/>
  <c r="U22"/>
  <c r="U26"/>
  <c r="U30"/>
  <c r="U34"/>
  <c r="R37"/>
  <c r="U38"/>
  <c r="H39"/>
  <c r="U42"/>
  <c r="S44"/>
  <c r="R45"/>
  <c r="U46"/>
  <c r="U50"/>
  <c r="U53"/>
  <c r="U57"/>
  <c r="S59"/>
  <c r="U61"/>
  <c r="H62"/>
  <c r="U65"/>
  <c r="U86" i="17"/>
  <c r="T86"/>
  <c r="S86"/>
  <c r="R86"/>
  <c r="Q86"/>
  <c r="M86"/>
  <c r="H86"/>
  <c r="X85"/>
  <c r="W85"/>
  <c r="V85"/>
  <c r="T85"/>
  <c r="S85"/>
  <c r="R85"/>
  <c r="Q85"/>
  <c r="M85"/>
  <c r="H85"/>
  <c r="X84"/>
  <c r="W84"/>
  <c r="V84"/>
  <c r="U84" s="1"/>
  <c r="T84"/>
  <c r="S84"/>
  <c r="R84"/>
  <c r="Q84"/>
  <c r="M84"/>
  <c r="H84"/>
  <c r="X83"/>
  <c r="W83"/>
  <c r="V83"/>
  <c r="U83"/>
  <c r="T83"/>
  <c r="S83"/>
  <c r="R83"/>
  <c r="Q83"/>
  <c r="M83"/>
  <c r="H83"/>
  <c r="X82"/>
  <c r="W82"/>
  <c r="V82"/>
  <c r="T82"/>
  <c r="S82"/>
  <c r="R82"/>
  <c r="Q82"/>
  <c r="M82"/>
  <c r="H82"/>
  <c r="X81"/>
  <c r="W81"/>
  <c r="V81"/>
  <c r="T81"/>
  <c r="S81"/>
  <c r="R81"/>
  <c r="Q81"/>
  <c r="M81"/>
  <c r="H81"/>
  <c r="X80"/>
  <c r="W80"/>
  <c r="V80"/>
  <c r="T80"/>
  <c r="S80"/>
  <c r="R80"/>
  <c r="Q80"/>
  <c r="M80"/>
  <c r="H80"/>
  <c r="X79"/>
  <c r="W79"/>
  <c r="V79"/>
  <c r="U79" s="1"/>
  <c r="T79"/>
  <c r="S79"/>
  <c r="R79"/>
  <c r="Q79"/>
  <c r="M79"/>
  <c r="H79"/>
  <c r="X78"/>
  <c r="W78"/>
  <c r="V78"/>
  <c r="T78"/>
  <c r="S78"/>
  <c r="R78"/>
  <c r="Q78"/>
  <c r="M78"/>
  <c r="H78"/>
  <c r="X77"/>
  <c r="W77"/>
  <c r="V77"/>
  <c r="T77"/>
  <c r="S77"/>
  <c r="R77"/>
  <c r="Q77"/>
  <c r="M77"/>
  <c r="H77"/>
  <c r="X76"/>
  <c r="W76"/>
  <c r="V76"/>
  <c r="U76"/>
  <c r="T76"/>
  <c r="S76"/>
  <c r="R76"/>
  <c r="Q76"/>
  <c r="M76"/>
  <c r="H76"/>
  <c r="X75"/>
  <c r="W75"/>
  <c r="V75"/>
  <c r="T75"/>
  <c r="S75"/>
  <c r="R75"/>
  <c r="Q75"/>
  <c r="M75"/>
  <c r="H75"/>
  <c r="X74"/>
  <c r="W74"/>
  <c r="V74"/>
  <c r="T74"/>
  <c r="S74"/>
  <c r="R74"/>
  <c r="Q74"/>
  <c r="M74"/>
  <c r="H74"/>
  <c r="X73"/>
  <c r="W73"/>
  <c r="V73"/>
  <c r="T73"/>
  <c r="S73"/>
  <c r="R73"/>
  <c r="Q73"/>
  <c r="M73"/>
  <c r="H73"/>
  <c r="X72"/>
  <c r="W72"/>
  <c r="V72"/>
  <c r="U72" s="1"/>
  <c r="T72"/>
  <c r="S72"/>
  <c r="R72"/>
  <c r="Q72"/>
  <c r="M72"/>
  <c r="H72"/>
  <c r="X71"/>
  <c r="W71"/>
  <c r="V71"/>
  <c r="T71"/>
  <c r="S71"/>
  <c r="R71"/>
  <c r="Q71"/>
  <c r="M71"/>
  <c r="H71"/>
  <c r="X70"/>
  <c r="W70"/>
  <c r="V70"/>
  <c r="T70"/>
  <c r="S70"/>
  <c r="R70"/>
  <c r="Q70"/>
  <c r="M70"/>
  <c r="H70"/>
  <c r="X69"/>
  <c r="W69"/>
  <c r="V69"/>
  <c r="T69"/>
  <c r="S69"/>
  <c r="R69"/>
  <c r="Q69"/>
  <c r="M69"/>
  <c r="H69"/>
  <c r="X68"/>
  <c r="W68"/>
  <c r="V68"/>
  <c r="U68" s="1"/>
  <c r="T68"/>
  <c r="S68"/>
  <c r="R68"/>
  <c r="Q68"/>
  <c r="M68"/>
  <c r="H68"/>
  <c r="X67"/>
  <c r="W67"/>
  <c r="V67"/>
  <c r="T67"/>
  <c r="S67"/>
  <c r="R67"/>
  <c r="Q67"/>
  <c r="M67"/>
  <c r="H67"/>
  <c r="X66"/>
  <c r="W66"/>
  <c r="V66"/>
  <c r="T66"/>
  <c r="S66"/>
  <c r="R66"/>
  <c r="Q66"/>
  <c r="M66"/>
  <c r="H66"/>
  <c r="X65"/>
  <c r="W65"/>
  <c r="V65"/>
  <c r="T65"/>
  <c r="S65"/>
  <c r="R65"/>
  <c r="Q65"/>
  <c r="M65"/>
  <c r="H65"/>
  <c r="X64"/>
  <c r="W64"/>
  <c r="V64"/>
  <c r="U64" s="1"/>
  <c r="T64"/>
  <c r="S64"/>
  <c r="R64"/>
  <c r="Q64"/>
  <c r="M64"/>
  <c r="H64"/>
  <c r="X63"/>
  <c r="W63"/>
  <c r="V63"/>
  <c r="T63"/>
  <c r="S63"/>
  <c r="R63"/>
  <c r="Q63"/>
  <c r="M63"/>
  <c r="H63"/>
  <c r="X62"/>
  <c r="W62"/>
  <c r="V62"/>
  <c r="T62"/>
  <c r="S62"/>
  <c r="R62"/>
  <c r="Q62"/>
  <c r="M62"/>
  <c r="H62"/>
  <c r="X61"/>
  <c r="W61"/>
  <c r="V61"/>
  <c r="T61"/>
  <c r="S61"/>
  <c r="R61"/>
  <c r="Q61"/>
  <c r="M61"/>
  <c r="H61"/>
  <c r="X60"/>
  <c r="W60"/>
  <c r="V60"/>
  <c r="U60" s="1"/>
  <c r="T60"/>
  <c r="S60"/>
  <c r="R60"/>
  <c r="Q60"/>
  <c r="M60"/>
  <c r="H60"/>
  <c r="X59"/>
  <c r="W59"/>
  <c r="V59"/>
  <c r="T59"/>
  <c r="S59"/>
  <c r="R59"/>
  <c r="Q59"/>
  <c r="M59"/>
  <c r="H59"/>
  <c r="X58"/>
  <c r="W58"/>
  <c r="V58"/>
  <c r="T58"/>
  <c r="S58"/>
  <c r="R58"/>
  <c r="Q58"/>
  <c r="M58"/>
  <c r="H58"/>
  <c r="X57"/>
  <c r="W57"/>
  <c r="V57"/>
  <c r="T57"/>
  <c r="S57"/>
  <c r="R57"/>
  <c r="Q57"/>
  <c r="M57"/>
  <c r="H57"/>
  <c r="X56"/>
  <c r="W56"/>
  <c r="V56"/>
  <c r="T56"/>
  <c r="S56"/>
  <c r="R56"/>
  <c r="Q56"/>
  <c r="M56"/>
  <c r="U56" s="1"/>
  <c r="H56"/>
  <c r="X55"/>
  <c r="W55"/>
  <c r="V55"/>
  <c r="U55" s="1"/>
  <c r="T55"/>
  <c r="S55"/>
  <c r="R55"/>
  <c r="Q55"/>
  <c r="M55"/>
  <c r="H55"/>
  <c r="X54"/>
  <c r="W54"/>
  <c r="V54"/>
  <c r="T54"/>
  <c r="S54"/>
  <c r="R54"/>
  <c r="Q54"/>
  <c r="M54"/>
  <c r="G54"/>
  <c r="H54" s="1"/>
  <c r="X53"/>
  <c r="W53"/>
  <c r="V53"/>
  <c r="U53"/>
  <c r="T53"/>
  <c r="S53"/>
  <c r="R53"/>
  <c r="Q53"/>
  <c r="M53"/>
  <c r="H53"/>
  <c r="T52"/>
  <c r="M52"/>
  <c r="E52"/>
  <c r="V52" s="1"/>
  <c r="U52" s="1"/>
  <c r="X51"/>
  <c r="W51"/>
  <c r="V51"/>
  <c r="T51"/>
  <c r="S51"/>
  <c r="R51"/>
  <c r="Q51"/>
  <c r="M51"/>
  <c r="H51"/>
  <c r="X50"/>
  <c r="W50"/>
  <c r="V50"/>
  <c r="T50"/>
  <c r="S50"/>
  <c r="R50"/>
  <c r="Q50"/>
  <c r="M50"/>
  <c r="H50"/>
  <c r="X49"/>
  <c r="W49"/>
  <c r="V49"/>
  <c r="U49"/>
  <c r="T49"/>
  <c r="S49"/>
  <c r="R49"/>
  <c r="Q49"/>
  <c r="M49"/>
  <c r="H49"/>
  <c r="X48"/>
  <c r="W48"/>
  <c r="V48"/>
  <c r="T48"/>
  <c r="S48"/>
  <c r="R48"/>
  <c r="Q48"/>
  <c r="M48"/>
  <c r="H48"/>
  <c r="X47"/>
  <c r="W47"/>
  <c r="V47"/>
  <c r="T47"/>
  <c r="S47"/>
  <c r="R47"/>
  <c r="Q47"/>
  <c r="M47"/>
  <c r="H47"/>
  <c r="X46"/>
  <c r="W46"/>
  <c r="V46"/>
  <c r="T46"/>
  <c r="S46"/>
  <c r="R46"/>
  <c r="Q46"/>
  <c r="M46"/>
  <c r="H46"/>
  <c r="X45"/>
  <c r="W45"/>
  <c r="V45"/>
  <c r="U45" s="1"/>
  <c r="T45"/>
  <c r="S45"/>
  <c r="R45"/>
  <c r="Q45"/>
  <c r="M45"/>
  <c r="H45"/>
  <c r="X44"/>
  <c r="W44"/>
  <c r="V44"/>
  <c r="T44"/>
  <c r="S44"/>
  <c r="R44"/>
  <c r="Q44"/>
  <c r="M44"/>
  <c r="H44"/>
  <c r="X43"/>
  <c r="W43"/>
  <c r="V43"/>
  <c r="U43" s="1"/>
  <c r="T43"/>
  <c r="S43"/>
  <c r="R43"/>
  <c r="Q43"/>
  <c r="M43"/>
  <c r="H43"/>
  <c r="X42"/>
  <c r="W42"/>
  <c r="V42"/>
  <c r="T42"/>
  <c r="S42"/>
  <c r="R42"/>
  <c r="Q42"/>
  <c r="M42"/>
  <c r="H42"/>
  <c r="X41"/>
  <c r="W41"/>
  <c r="V41"/>
  <c r="U41" s="1"/>
  <c r="T41"/>
  <c r="S41"/>
  <c r="R41"/>
  <c r="Q41"/>
  <c r="M41"/>
  <c r="H41"/>
  <c r="X40"/>
  <c r="W40"/>
  <c r="V40"/>
  <c r="T40"/>
  <c r="S40"/>
  <c r="R40"/>
  <c r="Q40"/>
  <c r="M40"/>
  <c r="U40" s="1"/>
  <c r="H40"/>
  <c r="X39"/>
  <c r="W39"/>
  <c r="V39"/>
  <c r="T39"/>
  <c r="S39"/>
  <c r="R39"/>
  <c r="Q39"/>
  <c r="M39"/>
  <c r="H39"/>
  <c r="X38"/>
  <c r="W38"/>
  <c r="V38"/>
  <c r="U38" s="1"/>
  <c r="T38"/>
  <c r="S38"/>
  <c r="R38"/>
  <c r="Q38"/>
  <c r="M38"/>
  <c r="H38"/>
  <c r="X37"/>
  <c r="W37"/>
  <c r="V37"/>
  <c r="T37"/>
  <c r="S37"/>
  <c r="R37"/>
  <c r="Q37"/>
  <c r="M37"/>
  <c r="H37"/>
  <c r="X36"/>
  <c r="V36"/>
  <c r="T36"/>
  <c r="S36"/>
  <c r="Q36"/>
  <c r="M36"/>
  <c r="H36"/>
  <c r="E36"/>
  <c r="W36" s="1"/>
  <c r="X35"/>
  <c r="W35"/>
  <c r="V35"/>
  <c r="U35" s="1"/>
  <c r="T35"/>
  <c r="S35"/>
  <c r="R35"/>
  <c r="Q35"/>
  <c r="M35"/>
  <c r="H35"/>
  <c r="X34"/>
  <c r="W34"/>
  <c r="V34"/>
  <c r="T34"/>
  <c r="S34"/>
  <c r="R34"/>
  <c r="Q34"/>
  <c r="M34"/>
  <c r="H34"/>
  <c r="X33"/>
  <c r="W33"/>
  <c r="V33"/>
  <c r="T33"/>
  <c r="S33"/>
  <c r="R33"/>
  <c r="Q33"/>
  <c r="M33"/>
  <c r="H33"/>
  <c r="T32"/>
  <c r="M32"/>
  <c r="E32"/>
  <c r="V32" s="1"/>
  <c r="U32" s="1"/>
  <c r="X31"/>
  <c r="W31"/>
  <c r="T31"/>
  <c r="S31"/>
  <c r="Q31"/>
  <c r="M31"/>
  <c r="U31" s="1"/>
  <c r="H31"/>
  <c r="E31"/>
  <c r="V31" s="1"/>
  <c r="V30"/>
  <c r="U30" s="1"/>
  <c r="Q30"/>
  <c r="M30"/>
  <c r="E30"/>
  <c r="W30" s="1"/>
  <c r="X29"/>
  <c r="W29"/>
  <c r="V29"/>
  <c r="T29"/>
  <c r="S29"/>
  <c r="R29"/>
  <c r="Q29"/>
  <c r="M29"/>
  <c r="H29"/>
  <c r="X28"/>
  <c r="W28"/>
  <c r="V28"/>
  <c r="T28"/>
  <c r="S28"/>
  <c r="R28"/>
  <c r="Q28"/>
  <c r="M28"/>
  <c r="H28"/>
  <c r="X27"/>
  <c r="W27"/>
  <c r="V27"/>
  <c r="U27" s="1"/>
  <c r="T27"/>
  <c r="S27"/>
  <c r="R27"/>
  <c r="Q27"/>
  <c r="M27"/>
  <c r="H27"/>
  <c r="M26"/>
  <c r="E26"/>
  <c r="X26" s="1"/>
  <c r="T25"/>
  <c r="M25"/>
  <c r="E25"/>
  <c r="V25" s="1"/>
  <c r="U25" s="1"/>
  <c r="X24"/>
  <c r="W24"/>
  <c r="V24"/>
  <c r="T24"/>
  <c r="S24"/>
  <c r="R24"/>
  <c r="Q24"/>
  <c r="M24"/>
  <c r="H24"/>
  <c r="X23"/>
  <c r="W23"/>
  <c r="V23"/>
  <c r="T23"/>
  <c r="S23"/>
  <c r="R23"/>
  <c r="Q23"/>
  <c r="M23"/>
  <c r="H23"/>
  <c r="X22"/>
  <c r="W22"/>
  <c r="V22"/>
  <c r="T22"/>
  <c r="S22"/>
  <c r="R22"/>
  <c r="Q22"/>
  <c r="M22"/>
  <c r="H22"/>
  <c r="X21"/>
  <c r="W21"/>
  <c r="V21"/>
  <c r="T21"/>
  <c r="S21"/>
  <c r="R21"/>
  <c r="Q21"/>
  <c r="M21"/>
  <c r="U21" s="1"/>
  <c r="H21"/>
  <c r="X20"/>
  <c r="W20"/>
  <c r="V20"/>
  <c r="T20"/>
  <c r="S20"/>
  <c r="R20"/>
  <c r="Q20"/>
  <c r="M20"/>
  <c r="U20" s="1"/>
  <c r="H20"/>
  <c r="X19"/>
  <c r="W19"/>
  <c r="V19"/>
  <c r="T19"/>
  <c r="S19"/>
  <c r="R19"/>
  <c r="Q19"/>
  <c r="M19"/>
  <c r="U19" s="1"/>
  <c r="H19"/>
  <c r="X18"/>
  <c r="W18"/>
  <c r="V18"/>
  <c r="T18"/>
  <c r="S18"/>
  <c r="R18"/>
  <c r="Q18"/>
  <c r="M18"/>
  <c r="U18" s="1"/>
  <c r="H18"/>
  <c r="X17"/>
  <c r="W17"/>
  <c r="V17"/>
  <c r="U17" s="1"/>
  <c r="T17"/>
  <c r="S17"/>
  <c r="R17"/>
  <c r="Q17"/>
  <c r="M17"/>
  <c r="H17"/>
  <c r="X16"/>
  <c r="W16"/>
  <c r="V16"/>
  <c r="T16"/>
  <c r="S16"/>
  <c r="R16"/>
  <c r="Q16"/>
  <c r="M16"/>
  <c r="H16"/>
  <c r="X15"/>
  <c r="W15"/>
  <c r="V15"/>
  <c r="T15"/>
  <c r="S15"/>
  <c r="R15"/>
  <c r="Q15"/>
  <c r="M15"/>
  <c r="H15"/>
  <c r="X14"/>
  <c r="W14"/>
  <c r="V14"/>
  <c r="T14"/>
  <c r="S14"/>
  <c r="R14"/>
  <c r="Q14"/>
  <c r="M14"/>
  <c r="H14"/>
  <c r="X13"/>
  <c r="W13"/>
  <c r="V13"/>
  <c r="U13" s="1"/>
  <c r="T13"/>
  <c r="S13"/>
  <c r="R13"/>
  <c r="Q13"/>
  <c r="M13"/>
  <c r="H13"/>
  <c r="X12"/>
  <c r="W12"/>
  <c r="V12"/>
  <c r="T12"/>
  <c r="S12"/>
  <c r="R12"/>
  <c r="Q12"/>
  <c r="M12"/>
  <c r="H12"/>
  <c r="X11"/>
  <c r="W11"/>
  <c r="V11"/>
  <c r="T11"/>
  <c r="S11"/>
  <c r="R11"/>
  <c r="Q11"/>
  <c r="M11"/>
  <c r="H11"/>
  <c r="X10"/>
  <c r="W10"/>
  <c r="V10"/>
  <c r="T10"/>
  <c r="S10"/>
  <c r="R10"/>
  <c r="Q10"/>
  <c r="M10"/>
  <c r="H10"/>
  <c r="X9"/>
  <c r="W9"/>
  <c r="V9"/>
  <c r="U9" s="1"/>
  <c r="T9"/>
  <c r="S9"/>
  <c r="R9"/>
  <c r="Q9"/>
  <c r="M9"/>
  <c r="H9"/>
  <c r="X8"/>
  <c r="W8"/>
  <c r="V8"/>
  <c r="T8"/>
  <c r="S8"/>
  <c r="R8"/>
  <c r="Q8"/>
  <c r="M8"/>
  <c r="H8"/>
  <c r="X93" i="9"/>
  <c r="W93"/>
  <c r="V93"/>
  <c r="V197" i="18" l="1"/>
  <c r="U8" i="17"/>
  <c r="H196" i="18"/>
  <c r="H197" s="1"/>
  <c r="U196"/>
  <c r="U197" s="1"/>
  <c r="U12" i="17"/>
  <c r="U16"/>
  <c r="U24"/>
  <c r="H25"/>
  <c r="S25"/>
  <c r="X25"/>
  <c r="X104" s="1"/>
  <c r="X105" s="1"/>
  <c r="Q26"/>
  <c r="V26"/>
  <c r="U26" s="1"/>
  <c r="T30"/>
  <c r="R31"/>
  <c r="H32"/>
  <c r="S32"/>
  <c r="X32"/>
  <c r="U34"/>
  <c r="R36"/>
  <c r="U37"/>
  <c r="U44"/>
  <c r="U48"/>
  <c r="U51"/>
  <c r="H52"/>
  <c r="S52"/>
  <c r="X52"/>
  <c r="U59"/>
  <c r="U63"/>
  <c r="U67"/>
  <c r="U71"/>
  <c r="U75"/>
  <c r="U78"/>
  <c r="U82"/>
  <c r="U85"/>
  <c r="V196" i="18"/>
  <c r="R26" i="17"/>
  <c r="W26"/>
  <c r="M104"/>
  <c r="M105" s="1"/>
  <c r="T104"/>
  <c r="T105" s="1"/>
  <c r="U11"/>
  <c r="U15"/>
  <c r="U23"/>
  <c r="R25"/>
  <c r="R104" s="1"/>
  <c r="R105" s="1"/>
  <c r="W25"/>
  <c r="T26"/>
  <c r="U29"/>
  <c r="H30"/>
  <c r="S30"/>
  <c r="X30"/>
  <c r="R32"/>
  <c r="W32"/>
  <c r="U33"/>
  <c r="U36"/>
  <c r="U47"/>
  <c r="U50"/>
  <c r="R52"/>
  <c r="W52"/>
  <c r="U58"/>
  <c r="U62"/>
  <c r="U66"/>
  <c r="U70"/>
  <c r="U74"/>
  <c r="U77"/>
  <c r="U81"/>
  <c r="H104"/>
  <c r="H105" s="1"/>
  <c r="W104"/>
  <c r="W105" s="1"/>
  <c r="U10"/>
  <c r="U14"/>
  <c r="U22"/>
  <c r="Q25"/>
  <c r="Q104" s="1"/>
  <c r="Q105" s="1"/>
  <c r="H26"/>
  <c r="S26"/>
  <c r="S104" s="1"/>
  <c r="S105" s="1"/>
  <c r="U28"/>
  <c r="R30"/>
  <c r="Q32"/>
  <c r="U39"/>
  <c r="U42"/>
  <c r="U46"/>
  <c r="Q52"/>
  <c r="U54"/>
  <c r="U57"/>
  <c r="U61"/>
  <c r="U65"/>
  <c r="U69"/>
  <c r="U73"/>
  <c r="U80"/>
  <c r="U93" i="9"/>
  <c r="T93"/>
  <c r="S93"/>
  <c r="R93"/>
  <c r="Q93"/>
  <c r="M93"/>
  <c r="H93"/>
  <c r="X92"/>
  <c r="W92"/>
  <c r="V92"/>
  <c r="U92" s="1"/>
  <c r="T92"/>
  <c r="S92"/>
  <c r="R92"/>
  <c r="Q92"/>
  <c r="M92"/>
  <c r="H92"/>
  <c r="X91"/>
  <c r="W91"/>
  <c r="V91"/>
  <c r="T91"/>
  <c r="S91"/>
  <c r="R91"/>
  <c r="Q91"/>
  <c r="M91"/>
  <c r="U91" s="1"/>
  <c r="H91"/>
  <c r="X90"/>
  <c r="W90"/>
  <c r="V90"/>
  <c r="U90"/>
  <c r="T90"/>
  <c r="S90"/>
  <c r="R90"/>
  <c r="Q90"/>
  <c r="M90"/>
  <c r="H90"/>
  <c r="X89"/>
  <c r="W89"/>
  <c r="V89"/>
  <c r="T89"/>
  <c r="S89"/>
  <c r="R89"/>
  <c r="Q89"/>
  <c r="M89"/>
  <c r="H89"/>
  <c r="X88"/>
  <c r="W88"/>
  <c r="V88"/>
  <c r="U88"/>
  <c r="T88"/>
  <c r="S88"/>
  <c r="R88"/>
  <c r="Q88"/>
  <c r="M88"/>
  <c r="H88"/>
  <c r="X87"/>
  <c r="W87"/>
  <c r="V87"/>
  <c r="T87"/>
  <c r="S87"/>
  <c r="R87"/>
  <c r="Q87"/>
  <c r="M87"/>
  <c r="U87" s="1"/>
  <c r="H87"/>
  <c r="X86"/>
  <c r="W86"/>
  <c r="V86"/>
  <c r="U86"/>
  <c r="T86"/>
  <c r="S86"/>
  <c r="R86"/>
  <c r="Q86"/>
  <c r="M86"/>
  <c r="H86"/>
  <c r="M85"/>
  <c r="E85"/>
  <c r="X85" s="1"/>
  <c r="T84"/>
  <c r="M84"/>
  <c r="H84" s="1"/>
  <c r="E84"/>
  <c r="V84" s="1"/>
  <c r="U84" s="1"/>
  <c r="X83"/>
  <c r="W83"/>
  <c r="V83"/>
  <c r="U83" s="1"/>
  <c r="T83"/>
  <c r="S83"/>
  <c r="R83"/>
  <c r="Q83"/>
  <c r="M83"/>
  <c r="H83"/>
  <c r="X82"/>
  <c r="W82"/>
  <c r="V82"/>
  <c r="U82" s="1"/>
  <c r="T82"/>
  <c r="S82"/>
  <c r="R82"/>
  <c r="Q82"/>
  <c r="M82"/>
  <c r="H82"/>
  <c r="X81"/>
  <c r="W81"/>
  <c r="V81"/>
  <c r="T81"/>
  <c r="S81"/>
  <c r="R81"/>
  <c r="Q81"/>
  <c r="M81"/>
  <c r="H81"/>
  <c r="X80"/>
  <c r="W80"/>
  <c r="V80"/>
  <c r="T80"/>
  <c r="S80"/>
  <c r="R80"/>
  <c r="Q80"/>
  <c r="M80"/>
  <c r="H80"/>
  <c r="X79"/>
  <c r="W79"/>
  <c r="V79"/>
  <c r="U79" s="1"/>
  <c r="T79"/>
  <c r="S79"/>
  <c r="R79"/>
  <c r="Q79"/>
  <c r="M79"/>
  <c r="H79"/>
  <c r="X78"/>
  <c r="W78"/>
  <c r="V78"/>
  <c r="U78" s="1"/>
  <c r="T78"/>
  <c r="S78"/>
  <c r="R78"/>
  <c r="Q78"/>
  <c r="M78"/>
  <c r="H78"/>
  <c r="X77"/>
  <c r="W77"/>
  <c r="V77"/>
  <c r="T77"/>
  <c r="S77"/>
  <c r="R77"/>
  <c r="Q77"/>
  <c r="M77"/>
  <c r="H77"/>
  <c r="X76"/>
  <c r="W76"/>
  <c r="V76"/>
  <c r="T76"/>
  <c r="S76"/>
  <c r="R76"/>
  <c r="Q76"/>
  <c r="M76"/>
  <c r="H76"/>
  <c r="X75"/>
  <c r="W75"/>
  <c r="V75"/>
  <c r="U75" s="1"/>
  <c r="T75"/>
  <c r="S75"/>
  <c r="R75"/>
  <c r="Q75"/>
  <c r="M75"/>
  <c r="H75"/>
  <c r="W85" l="1"/>
  <c r="S84"/>
  <c r="X84"/>
  <c r="R85"/>
  <c r="V85"/>
  <c r="U104" i="17"/>
  <c r="U105" s="1"/>
  <c r="S85" i="9"/>
  <c r="U77"/>
  <c r="U81"/>
  <c r="R84"/>
  <c r="W84"/>
  <c r="Q85"/>
  <c r="U85"/>
  <c r="U89"/>
  <c r="V104" i="17"/>
  <c r="V105" s="1"/>
  <c r="U76" i="9"/>
  <c r="U80"/>
  <c r="Q84"/>
  <c r="H85"/>
  <c r="T85"/>
  <c r="Q74"/>
  <c r="M74"/>
  <c r="E74"/>
  <c r="X73"/>
  <c r="W73"/>
  <c r="V73"/>
  <c r="U73"/>
  <c r="T73"/>
  <c r="S73"/>
  <c r="R73"/>
  <c r="Q73"/>
  <c r="M73"/>
  <c r="H73"/>
  <c r="X72"/>
  <c r="W72"/>
  <c r="V72"/>
  <c r="T72"/>
  <c r="S72"/>
  <c r="R72"/>
  <c r="Q72"/>
  <c r="M72"/>
  <c r="H72"/>
  <c r="X71"/>
  <c r="W71"/>
  <c r="V71"/>
  <c r="U71" s="1"/>
  <c r="T71"/>
  <c r="S71"/>
  <c r="R71"/>
  <c r="Q71"/>
  <c r="M71"/>
  <c r="H71"/>
  <c r="X70"/>
  <c r="W70"/>
  <c r="V70"/>
  <c r="T70"/>
  <c r="S70"/>
  <c r="R70"/>
  <c r="Q70"/>
  <c r="M70"/>
  <c r="H70"/>
  <c r="X69"/>
  <c r="W69"/>
  <c r="V69"/>
  <c r="U69" s="1"/>
  <c r="T69"/>
  <c r="S69"/>
  <c r="R69"/>
  <c r="Q69"/>
  <c r="M69"/>
  <c r="H69"/>
  <c r="X68"/>
  <c r="W68"/>
  <c r="V68"/>
  <c r="T68"/>
  <c r="S68"/>
  <c r="R68"/>
  <c r="Q68"/>
  <c r="U70" l="1"/>
  <c r="H74"/>
  <c r="X74"/>
  <c r="T74"/>
  <c r="R74"/>
  <c r="U74"/>
  <c r="V74"/>
  <c r="W74"/>
  <c r="S74"/>
  <c r="U72"/>
  <c r="M68"/>
  <c r="U68" s="1"/>
  <c r="H68"/>
  <c r="X67"/>
  <c r="W67"/>
  <c r="V67"/>
  <c r="U67" s="1"/>
  <c r="T67"/>
  <c r="S67"/>
  <c r="R67"/>
  <c r="Q67"/>
  <c r="M67"/>
  <c r="H67"/>
  <c r="X66"/>
  <c r="W66"/>
  <c r="V66"/>
  <c r="T66"/>
  <c r="S66"/>
  <c r="R66"/>
  <c r="Q66"/>
  <c r="M66"/>
  <c r="H66"/>
  <c r="X65"/>
  <c r="W65"/>
  <c r="V65"/>
  <c r="U65" s="1"/>
  <c r="T65"/>
  <c r="S65"/>
  <c r="R65"/>
  <c r="Q65"/>
  <c r="M65"/>
  <c r="H65"/>
  <c r="X64"/>
  <c r="W64"/>
  <c r="V64"/>
  <c r="T64"/>
  <c r="S64"/>
  <c r="R64"/>
  <c r="Q64"/>
  <c r="M64"/>
  <c r="H64"/>
  <c r="X63"/>
  <c r="W63"/>
  <c r="V63"/>
  <c r="T63"/>
  <c r="S63"/>
  <c r="R63"/>
  <c r="Q63"/>
  <c r="M63"/>
  <c r="H63"/>
  <c r="X62"/>
  <c r="W62"/>
  <c r="V62"/>
  <c r="T62"/>
  <c r="S62"/>
  <c r="R62"/>
  <c r="Q62"/>
  <c r="M62"/>
  <c r="H62"/>
  <c r="X61"/>
  <c r="W61"/>
  <c r="V61"/>
  <c r="U61" s="1"/>
  <c r="T61"/>
  <c r="S61"/>
  <c r="R61"/>
  <c r="Q61"/>
  <c r="M61"/>
  <c r="H61"/>
  <c r="X60"/>
  <c r="W60"/>
  <c r="V60"/>
  <c r="T60"/>
  <c r="S60"/>
  <c r="R60"/>
  <c r="Q60"/>
  <c r="M60"/>
  <c r="H60"/>
  <c r="X59"/>
  <c r="W59"/>
  <c r="V59"/>
  <c r="T59"/>
  <c r="S59"/>
  <c r="R59"/>
  <c r="Q59"/>
  <c r="M59"/>
  <c r="H59"/>
  <c r="X58"/>
  <c r="W58"/>
  <c r="V58"/>
  <c r="T58"/>
  <c r="S58"/>
  <c r="R58"/>
  <c r="Q58"/>
  <c r="M58"/>
  <c r="H58"/>
  <c r="X57"/>
  <c r="W57"/>
  <c r="V57"/>
  <c r="U57" s="1"/>
  <c r="T57"/>
  <c r="S57"/>
  <c r="R57"/>
  <c r="Q57"/>
  <c r="M57"/>
  <c r="H57"/>
  <c r="X56"/>
  <c r="W56"/>
  <c r="V56"/>
  <c r="T56"/>
  <c r="S56"/>
  <c r="R56"/>
  <c r="Q56"/>
  <c r="M56"/>
  <c r="H56"/>
  <c r="X55"/>
  <c r="W55"/>
  <c r="V55"/>
  <c r="U55" s="1"/>
  <c r="T55"/>
  <c r="S55"/>
  <c r="R55"/>
  <c r="Q55"/>
  <c r="M55"/>
  <c r="H55"/>
  <c r="X54"/>
  <c r="W54"/>
  <c r="V54"/>
  <c r="T54"/>
  <c r="S54"/>
  <c r="R54"/>
  <c r="Q54"/>
  <c r="M54"/>
  <c r="H54"/>
  <c r="X53"/>
  <c r="W53"/>
  <c r="V53"/>
  <c r="U53" s="1"/>
  <c r="T53"/>
  <c r="S53"/>
  <c r="R53"/>
  <c r="Q53"/>
  <c r="M53"/>
  <c r="H53"/>
  <c r="X52"/>
  <c r="W52"/>
  <c r="V52"/>
  <c r="T52"/>
  <c r="S52"/>
  <c r="R52"/>
  <c r="Q52"/>
  <c r="M52"/>
  <c r="H52"/>
  <c r="X51"/>
  <c r="W51"/>
  <c r="V51"/>
  <c r="T51"/>
  <c r="S51"/>
  <c r="R51"/>
  <c r="Q51"/>
  <c r="M51"/>
  <c r="H51"/>
  <c r="X50"/>
  <c r="W50"/>
  <c r="V50"/>
  <c r="U52" l="1"/>
  <c r="U56"/>
  <c r="U60"/>
  <c r="U64"/>
  <c r="U51"/>
  <c r="U59"/>
  <c r="U63"/>
  <c r="U54"/>
  <c r="U58"/>
  <c r="U62"/>
  <c r="U66"/>
  <c r="T50"/>
  <c r="S50"/>
  <c r="R50"/>
  <c r="Q50"/>
  <c r="M50"/>
  <c r="U50" s="1"/>
  <c r="H50"/>
  <c r="X49"/>
  <c r="W49"/>
  <c r="V49"/>
  <c r="U49" s="1"/>
  <c r="T49"/>
  <c r="S49"/>
  <c r="R49"/>
  <c r="Q49"/>
  <c r="M49"/>
  <c r="H49"/>
  <c r="X48"/>
  <c r="W48"/>
  <c r="V48"/>
  <c r="T48"/>
  <c r="S48"/>
  <c r="R48"/>
  <c r="Q48"/>
  <c r="M48"/>
  <c r="H48"/>
  <c r="X47"/>
  <c r="W47"/>
  <c r="V47"/>
  <c r="U47" s="1"/>
  <c r="T47"/>
  <c r="S47"/>
  <c r="R47"/>
  <c r="Q47"/>
  <c r="M47"/>
  <c r="H47"/>
  <c r="X46"/>
  <c r="W46"/>
  <c r="V46"/>
  <c r="T46"/>
  <c r="S46"/>
  <c r="R46"/>
  <c r="Q46"/>
  <c r="M46"/>
  <c r="H46"/>
  <c r="X45"/>
  <c r="W45"/>
  <c r="V45"/>
  <c r="U45" s="1"/>
  <c r="T45"/>
  <c r="S45"/>
  <c r="R45"/>
  <c r="Q45"/>
  <c r="M45"/>
  <c r="H45"/>
  <c r="X44"/>
  <c r="W44"/>
  <c r="V44"/>
  <c r="T44"/>
  <c r="S44"/>
  <c r="R44"/>
  <c r="Q44"/>
  <c r="M44"/>
  <c r="H44"/>
  <c r="X43"/>
  <c r="W43"/>
  <c r="V43"/>
  <c r="U43" s="1"/>
  <c r="T43"/>
  <c r="S43"/>
  <c r="R43"/>
  <c r="Q43"/>
  <c r="M43"/>
  <c r="H43"/>
  <c r="X42"/>
  <c r="W42"/>
  <c r="V42"/>
  <c r="T42"/>
  <c r="S42"/>
  <c r="R42"/>
  <c r="Q42"/>
  <c r="M42"/>
  <c r="H42"/>
  <c r="X41"/>
  <c r="W41"/>
  <c r="V41"/>
  <c r="U41" s="1"/>
  <c r="T41"/>
  <c r="S41"/>
  <c r="R41"/>
  <c r="Q41"/>
  <c r="M41"/>
  <c r="H41"/>
  <c r="X40"/>
  <c r="W40"/>
  <c r="V40"/>
  <c r="T40"/>
  <c r="S40"/>
  <c r="R40"/>
  <c r="Q40"/>
  <c r="M40"/>
  <c r="H40"/>
  <c r="X39"/>
  <c r="W39"/>
  <c r="V39"/>
  <c r="U39" s="1"/>
  <c r="T39"/>
  <c r="S39"/>
  <c r="R39"/>
  <c r="Q39"/>
  <c r="M39"/>
  <c r="H39"/>
  <c r="X38"/>
  <c r="W38"/>
  <c r="V38"/>
  <c r="T38"/>
  <c r="S38"/>
  <c r="R38"/>
  <c r="Q38"/>
  <c r="M38"/>
  <c r="H38"/>
  <c r="X37"/>
  <c r="W37"/>
  <c r="V37"/>
  <c r="U37" s="1"/>
  <c r="T37"/>
  <c r="S37"/>
  <c r="R37"/>
  <c r="Q37"/>
  <c r="M37"/>
  <c r="H37"/>
  <c r="X36"/>
  <c r="W36"/>
  <c r="V36"/>
  <c r="U36" s="1"/>
  <c r="T36"/>
  <c r="S36"/>
  <c r="R36"/>
  <c r="Q36"/>
  <c r="M36"/>
  <c r="H36"/>
  <c r="X35"/>
  <c r="W35"/>
  <c r="V35"/>
  <c r="T35"/>
  <c r="S35"/>
  <c r="R35"/>
  <c r="Q35"/>
  <c r="M35"/>
  <c r="U35" s="1"/>
  <c r="H35"/>
  <c r="X34"/>
  <c r="W34"/>
  <c r="V34"/>
  <c r="T34"/>
  <c r="U40" l="1"/>
  <c r="U44"/>
  <c r="U48"/>
  <c r="U38"/>
  <c r="U42"/>
  <c r="U46"/>
  <c r="S34"/>
  <c r="R34"/>
  <c r="Q34"/>
  <c r="M34"/>
  <c r="U34" s="1"/>
  <c r="H34"/>
  <c r="X33"/>
  <c r="W33"/>
  <c r="V33"/>
  <c r="U33"/>
  <c r="T33"/>
  <c r="S33"/>
  <c r="R33"/>
  <c r="Q33"/>
  <c r="M33"/>
  <c r="H33"/>
  <c r="X32"/>
  <c r="W32"/>
  <c r="V32"/>
  <c r="U32"/>
  <c r="T32"/>
  <c r="S32"/>
  <c r="R32"/>
  <c r="Q32"/>
  <c r="M32"/>
  <c r="H32"/>
  <c r="X31"/>
  <c r="W31"/>
  <c r="V31"/>
  <c r="T31"/>
  <c r="S31"/>
  <c r="R31"/>
  <c r="Q31"/>
  <c r="M31" l="1"/>
  <c r="U31" s="1"/>
  <c r="H31"/>
  <c r="X30"/>
  <c r="W30"/>
  <c r="V30"/>
  <c r="T30"/>
  <c r="S30"/>
  <c r="R30"/>
  <c r="Q30"/>
  <c r="M30"/>
  <c r="U30" s="1"/>
  <c r="H30"/>
  <c r="X29"/>
  <c r="V29"/>
  <c r="T29"/>
  <c r="R29"/>
  <c r="Q29"/>
  <c r="M29"/>
  <c r="H29" s="1"/>
  <c r="E29"/>
  <c r="W29" s="1"/>
  <c r="X28"/>
  <c r="W28"/>
  <c r="V28"/>
  <c r="T28"/>
  <c r="S28"/>
  <c r="R28"/>
  <c r="Q28"/>
  <c r="M28"/>
  <c r="U28" s="1"/>
  <c r="H28"/>
  <c r="X27"/>
  <c r="W27"/>
  <c r="V27"/>
  <c r="T27"/>
  <c r="S27"/>
  <c r="R27"/>
  <c r="Q27"/>
  <c r="M27"/>
  <c r="U27" s="1"/>
  <c r="H27"/>
  <c r="X26"/>
  <c r="W26"/>
  <c r="V26"/>
  <c r="T26"/>
  <c r="S26"/>
  <c r="R26"/>
  <c r="Q26"/>
  <c r="M26"/>
  <c r="U26" s="1"/>
  <c r="H26"/>
  <c r="X25"/>
  <c r="W25"/>
  <c r="V25"/>
  <c r="T25"/>
  <c r="S25"/>
  <c r="R25"/>
  <c r="Q25"/>
  <c r="M25"/>
  <c r="U25" s="1"/>
  <c r="H25"/>
  <c r="X24"/>
  <c r="W24"/>
  <c r="V24"/>
  <c r="T24"/>
  <c r="S24"/>
  <c r="R24"/>
  <c r="Q24"/>
  <c r="M24"/>
  <c r="U24" s="1"/>
  <c r="H24"/>
  <c r="X23"/>
  <c r="W23"/>
  <c r="V23"/>
  <c r="T23"/>
  <c r="S23"/>
  <c r="R23"/>
  <c r="Q23"/>
  <c r="M23"/>
  <c r="U23" s="1"/>
  <c r="H23"/>
  <c r="X22"/>
  <c r="W22"/>
  <c r="V22"/>
  <c r="T22"/>
  <c r="S22"/>
  <c r="R22"/>
  <c r="Q22"/>
  <c r="M22"/>
  <c r="U22" s="1"/>
  <c r="H22"/>
  <c r="X21"/>
  <c r="W21"/>
  <c r="V21"/>
  <c r="T21"/>
  <c r="S21"/>
  <c r="R21"/>
  <c r="Q21"/>
  <c r="S29" l="1"/>
  <c r="U29"/>
  <c r="M21"/>
  <c r="U21" s="1"/>
  <c r="H21"/>
  <c r="X20"/>
  <c r="W20"/>
  <c r="V20"/>
  <c r="T20"/>
  <c r="S20"/>
  <c r="R20"/>
  <c r="Q20"/>
  <c r="M20"/>
  <c r="U20" s="1"/>
  <c r="H20"/>
  <c r="X19"/>
  <c r="W19"/>
  <c r="V19"/>
  <c r="T19"/>
  <c r="S19"/>
  <c r="R19"/>
  <c r="Q19"/>
  <c r="M19"/>
  <c r="U19" s="1"/>
  <c r="H19"/>
  <c r="X18"/>
  <c r="W18"/>
  <c r="V18"/>
  <c r="T18"/>
  <c r="S18"/>
  <c r="R18"/>
  <c r="Q18"/>
  <c r="M18" l="1"/>
  <c r="U18" s="1"/>
  <c r="H18"/>
  <c r="X17"/>
  <c r="W17"/>
  <c r="V17"/>
  <c r="T17"/>
  <c r="S17"/>
  <c r="R17"/>
  <c r="Q17"/>
  <c r="M17"/>
  <c r="U17" s="1"/>
  <c r="H17"/>
  <c r="X16"/>
  <c r="W16"/>
  <c r="V16"/>
  <c r="T16"/>
  <c r="S16"/>
  <c r="R16"/>
  <c r="Q16"/>
  <c r="M16"/>
  <c r="U16" s="1"/>
  <c r="H16"/>
  <c r="X15"/>
  <c r="W15"/>
  <c r="V15"/>
  <c r="T15"/>
  <c r="S15"/>
  <c r="R15"/>
  <c r="Q15"/>
  <c r="M15"/>
  <c r="U15" s="1"/>
  <c r="H15"/>
  <c r="X14"/>
  <c r="W14"/>
  <c r="V14"/>
  <c r="T14"/>
  <c r="S14"/>
  <c r="R14"/>
  <c r="Q14"/>
  <c r="M14"/>
  <c r="U14" s="1"/>
  <c r="H14"/>
  <c r="X13"/>
  <c r="W13"/>
  <c r="V13"/>
  <c r="T13"/>
  <c r="S13"/>
  <c r="R13"/>
  <c r="Q13"/>
  <c r="M13"/>
  <c r="U13" s="1"/>
  <c r="H13"/>
  <c r="X12"/>
  <c r="W12"/>
  <c r="V12"/>
  <c r="T12"/>
  <c r="S12"/>
  <c r="R12"/>
  <c r="Q12"/>
  <c r="M12"/>
  <c r="U12" s="1"/>
  <c r="H12"/>
  <c r="X11"/>
  <c r="W11"/>
  <c r="V11"/>
  <c r="U11" l="1"/>
  <c r="T11"/>
  <c r="S11"/>
  <c r="R11"/>
  <c r="Q11"/>
  <c r="M11"/>
  <c r="H11"/>
  <c r="X10"/>
  <c r="W10"/>
  <c r="V10" l="1"/>
  <c r="T10"/>
  <c r="S10"/>
  <c r="R10"/>
  <c r="Q10"/>
  <c r="M10"/>
  <c r="U10" s="1"/>
  <c r="H10"/>
  <c r="X9"/>
  <c r="W9"/>
  <c r="V9"/>
  <c r="U9" s="1"/>
  <c r="T9"/>
  <c r="S9"/>
  <c r="R9"/>
  <c r="Q9"/>
  <c r="M9"/>
  <c r="H9"/>
  <c r="X8"/>
  <c r="W8"/>
  <c r="W94" s="1"/>
  <c r="V8"/>
  <c r="T8"/>
  <c r="T94" s="1"/>
  <c r="S8"/>
  <c r="R8"/>
  <c r="R94" s="1"/>
  <c r="Q8"/>
  <c r="Q94" s="1"/>
  <c r="M8"/>
  <c r="M94" s="1"/>
  <c r="H8"/>
  <c r="H94" l="1"/>
  <c r="S94"/>
  <c r="X94"/>
  <c r="X95" s="1"/>
  <c r="W95" s="1"/>
  <c r="U8"/>
  <c r="U94" s="1"/>
  <c r="V94"/>
  <c r="X117" i="27"/>
  <c r="W117"/>
  <c r="V117"/>
  <c r="U117" s="1"/>
  <c r="T117"/>
  <c r="S117"/>
  <c r="R117"/>
  <c r="Q117"/>
  <c r="M117"/>
  <c r="H117"/>
  <c r="X116"/>
  <c r="W116"/>
  <c r="V116"/>
  <c r="U116" s="1"/>
  <c r="T116"/>
  <c r="S116"/>
  <c r="R116"/>
  <c r="Q116"/>
  <c r="M116"/>
  <c r="H116"/>
  <c r="X115"/>
  <c r="W115"/>
  <c r="V115"/>
  <c r="U115" s="1"/>
  <c r="T115"/>
  <c r="S115"/>
  <c r="R115"/>
  <c r="Q115"/>
  <c r="M115"/>
  <c r="H115"/>
  <c r="X114"/>
  <c r="W114"/>
  <c r="V114"/>
  <c r="T114"/>
  <c r="S114"/>
  <c r="R114"/>
  <c r="Q114"/>
  <c r="M114"/>
  <c r="H114"/>
  <c r="X113"/>
  <c r="W113"/>
  <c r="V113"/>
  <c r="U113" s="1"/>
  <c r="T113"/>
  <c r="S113"/>
  <c r="R113"/>
  <c r="Q113"/>
  <c r="M113"/>
  <c r="H113"/>
  <c r="X112"/>
  <c r="W112"/>
  <c r="V112"/>
  <c r="U112" s="1"/>
  <c r="T112"/>
  <c r="S112"/>
  <c r="R112"/>
  <c r="Q112"/>
  <c r="M112"/>
  <c r="H112"/>
  <c r="X111"/>
  <c r="W111"/>
  <c r="V111"/>
  <c r="T111"/>
  <c r="S111"/>
  <c r="R111"/>
  <c r="Q111"/>
  <c r="M111"/>
  <c r="H111"/>
  <c r="X110"/>
  <c r="W110"/>
  <c r="V110"/>
  <c r="T110"/>
  <c r="S110"/>
  <c r="R110"/>
  <c r="Q110"/>
  <c r="M110"/>
  <c r="H110"/>
  <c r="X109"/>
  <c r="W109"/>
  <c r="V109"/>
  <c r="U109" s="1"/>
  <c r="T109"/>
  <c r="S109"/>
  <c r="R109"/>
  <c r="Q109"/>
  <c r="M109"/>
  <c r="H109"/>
  <c r="X108"/>
  <c r="W108"/>
  <c r="V108"/>
  <c r="U108" s="1"/>
  <c r="T108"/>
  <c r="S108"/>
  <c r="R108"/>
  <c r="Q108"/>
  <c r="M108"/>
  <c r="H108"/>
  <c r="X107"/>
  <c r="W107"/>
  <c r="V107"/>
  <c r="T107"/>
  <c r="S107"/>
  <c r="R107"/>
  <c r="Q107"/>
  <c r="M107"/>
  <c r="H107"/>
  <c r="X106"/>
  <c r="W106"/>
  <c r="V106"/>
  <c r="T106"/>
  <c r="S106"/>
  <c r="R106"/>
  <c r="Q106"/>
  <c r="M106"/>
  <c r="H106"/>
  <c r="X105"/>
  <c r="W105"/>
  <c r="V105"/>
  <c r="U105"/>
  <c r="T105"/>
  <c r="S105"/>
  <c r="R105"/>
  <c r="Q105"/>
  <c r="M105"/>
  <c r="H105"/>
  <c r="X104"/>
  <c r="W104"/>
  <c r="V104"/>
  <c r="T104"/>
  <c r="S104"/>
  <c r="R104"/>
  <c r="Q104"/>
  <c r="M104"/>
  <c r="U104" s="1"/>
  <c r="H104"/>
  <c r="X103"/>
  <c r="W103"/>
  <c r="V103"/>
  <c r="U103" s="1"/>
  <c r="T103"/>
  <c r="S103"/>
  <c r="R103"/>
  <c r="Q103"/>
  <c r="M103"/>
  <c r="H103"/>
  <c r="X102"/>
  <c r="W102"/>
  <c r="V102"/>
  <c r="U102" s="1"/>
  <c r="T102"/>
  <c r="S102"/>
  <c r="R102"/>
  <c r="Q102"/>
  <c r="M102"/>
  <c r="H102"/>
  <c r="X101"/>
  <c r="W101"/>
  <c r="V101"/>
  <c r="T101"/>
  <c r="S101"/>
  <c r="R101"/>
  <c r="Q101"/>
  <c r="M101"/>
  <c r="H101"/>
  <c r="X100"/>
  <c r="W100"/>
  <c r="V100"/>
  <c r="T100"/>
  <c r="S100"/>
  <c r="R100"/>
  <c r="Q100"/>
  <c r="M100"/>
  <c r="H100"/>
  <c r="X99"/>
  <c r="W99"/>
  <c r="V99"/>
  <c r="U99" s="1"/>
  <c r="T99"/>
  <c r="S99"/>
  <c r="R99"/>
  <c r="Q99"/>
  <c r="M99"/>
  <c r="H99"/>
  <c r="X98"/>
  <c r="W98"/>
  <c r="V98"/>
  <c r="U98" s="1"/>
  <c r="T98"/>
  <c r="S98"/>
  <c r="R98"/>
  <c r="Q98"/>
  <c r="M98"/>
  <c r="H98"/>
  <c r="X97"/>
  <c r="W97"/>
  <c r="V97"/>
  <c r="T97"/>
  <c r="S97"/>
  <c r="R97"/>
  <c r="Q97"/>
  <c r="M97"/>
  <c r="H97"/>
  <c r="X96"/>
  <c r="W96"/>
  <c r="V96"/>
  <c r="T96"/>
  <c r="S96"/>
  <c r="R96"/>
  <c r="Q96"/>
  <c r="M96"/>
  <c r="H96"/>
  <c r="X95"/>
  <c r="W95"/>
  <c r="V95"/>
  <c r="U95" s="1"/>
  <c r="T95"/>
  <c r="S95"/>
  <c r="R95"/>
  <c r="Q95"/>
  <c r="M95"/>
  <c r="H95"/>
  <c r="X94"/>
  <c r="W94"/>
  <c r="V94"/>
  <c r="U94" s="1"/>
  <c r="T94"/>
  <c r="S94"/>
  <c r="R94"/>
  <c r="Q94"/>
  <c r="M94"/>
  <c r="H94"/>
  <c r="X93"/>
  <c r="W93"/>
  <c r="V93"/>
  <c r="T93"/>
  <c r="S93"/>
  <c r="R93"/>
  <c r="Q93"/>
  <c r="M93"/>
  <c r="H93"/>
  <c r="X92"/>
  <c r="W92"/>
  <c r="V92"/>
  <c r="T92"/>
  <c r="S92"/>
  <c r="R92"/>
  <c r="Q92"/>
  <c r="M92"/>
  <c r="H92"/>
  <c r="X91"/>
  <c r="W91"/>
  <c r="V91"/>
  <c r="U91" s="1"/>
  <c r="T91"/>
  <c r="S91"/>
  <c r="R91"/>
  <c r="Q91"/>
  <c r="M91"/>
  <c r="H91"/>
  <c r="X90"/>
  <c r="W90"/>
  <c r="V90"/>
  <c r="T90"/>
  <c r="S90"/>
  <c r="R90"/>
  <c r="Q90"/>
  <c r="M90"/>
  <c r="U90" s="1"/>
  <c r="H90"/>
  <c r="X89"/>
  <c r="W89"/>
  <c r="V89"/>
  <c r="T89"/>
  <c r="S89"/>
  <c r="R89"/>
  <c r="Q89"/>
  <c r="M89"/>
  <c r="X88"/>
  <c r="W88"/>
  <c r="V88"/>
  <c r="T88"/>
  <c r="S88"/>
  <c r="R88"/>
  <c r="Q88"/>
  <c r="M88"/>
  <c r="H88"/>
  <c r="X87"/>
  <c r="W87"/>
  <c r="V87"/>
  <c r="U87" s="1"/>
  <c r="T87"/>
  <c r="S87"/>
  <c r="R87"/>
  <c r="Q87"/>
  <c r="M87"/>
  <c r="H87"/>
  <c r="X86"/>
  <c r="W86"/>
  <c r="V86"/>
  <c r="U86" s="1"/>
  <c r="T86"/>
  <c r="S86"/>
  <c r="R86"/>
  <c r="Q86"/>
  <c r="M86"/>
  <c r="H86"/>
  <c r="X85"/>
  <c r="W85"/>
  <c r="V85"/>
  <c r="U85" s="1"/>
  <c r="T85"/>
  <c r="S85"/>
  <c r="R85"/>
  <c r="Q85"/>
  <c r="M85"/>
  <c r="H85"/>
  <c r="X84"/>
  <c r="W84"/>
  <c r="V84"/>
  <c r="T84"/>
  <c r="S84"/>
  <c r="R84"/>
  <c r="Q84"/>
  <c r="M84"/>
  <c r="H84"/>
  <c r="X83"/>
  <c r="W83"/>
  <c r="V83"/>
  <c r="U83" s="1"/>
  <c r="T83"/>
  <c r="S83"/>
  <c r="R83"/>
  <c r="Q83"/>
  <c r="M83"/>
  <c r="H83"/>
  <c r="X82"/>
  <c r="W82"/>
  <c r="V82"/>
  <c r="U82" s="1"/>
  <c r="T82"/>
  <c r="S82"/>
  <c r="R82"/>
  <c r="Q82"/>
  <c r="M82"/>
  <c r="H82"/>
  <c r="X81"/>
  <c r="W81"/>
  <c r="V81"/>
  <c r="U81" s="1"/>
  <c r="T81"/>
  <c r="S81"/>
  <c r="R81"/>
  <c r="Q81"/>
  <c r="M81"/>
  <c r="H81"/>
  <c r="X80"/>
  <c r="W80"/>
  <c r="V80"/>
  <c r="T80"/>
  <c r="S80"/>
  <c r="R80"/>
  <c r="Q80"/>
  <c r="M80"/>
  <c r="H80"/>
  <c r="X79"/>
  <c r="W79"/>
  <c r="V79"/>
  <c r="U79" s="1"/>
  <c r="T79"/>
  <c r="S79"/>
  <c r="R79"/>
  <c r="Q79"/>
  <c r="M79"/>
  <c r="H79"/>
  <c r="X78"/>
  <c r="W78"/>
  <c r="V78"/>
  <c r="U78" s="1"/>
  <c r="T78"/>
  <c r="S78"/>
  <c r="R78"/>
  <c r="Q78"/>
  <c r="M78"/>
  <c r="H78"/>
  <c r="X77"/>
  <c r="W77"/>
  <c r="V77"/>
  <c r="U77" s="1"/>
  <c r="T77"/>
  <c r="S77"/>
  <c r="R77"/>
  <c r="Q77"/>
  <c r="M77"/>
  <c r="H77"/>
  <c r="X76"/>
  <c r="W76"/>
  <c r="V76"/>
  <c r="T76"/>
  <c r="S76"/>
  <c r="R76"/>
  <c r="Q76"/>
  <c r="M76"/>
  <c r="H76"/>
  <c r="X75"/>
  <c r="W75"/>
  <c r="V75"/>
  <c r="U75" s="1"/>
  <c r="T75"/>
  <c r="S75"/>
  <c r="R75"/>
  <c r="Q75"/>
  <c r="M75"/>
  <c r="H75"/>
  <c r="X74"/>
  <c r="W74"/>
  <c r="V74"/>
  <c r="U74" s="1"/>
  <c r="T74"/>
  <c r="S74"/>
  <c r="R74"/>
  <c r="Q74"/>
  <c r="M74"/>
  <c r="H74"/>
  <c r="X73"/>
  <c r="W73"/>
  <c r="V73"/>
  <c r="U73" s="1"/>
  <c r="T73"/>
  <c r="S73"/>
  <c r="R73"/>
  <c r="Q73"/>
  <c r="M73"/>
  <c r="H73"/>
  <c r="X72"/>
  <c r="W72"/>
  <c r="V72"/>
  <c r="T72"/>
  <c r="S72"/>
  <c r="R72"/>
  <c r="Q72"/>
  <c r="M72"/>
  <c r="H72"/>
  <c r="X71"/>
  <c r="W71"/>
  <c r="V71"/>
  <c r="U71" s="1"/>
  <c r="T71"/>
  <c r="S71"/>
  <c r="R71"/>
  <c r="Q71"/>
  <c r="M71"/>
  <c r="H71"/>
  <c r="X70"/>
  <c r="W70"/>
  <c r="V70"/>
  <c r="U70" s="1"/>
  <c r="T70"/>
  <c r="S70"/>
  <c r="R70"/>
  <c r="Q70"/>
  <c r="M70"/>
  <c r="H70"/>
  <c r="X69"/>
  <c r="W69"/>
  <c r="V69"/>
  <c r="T69"/>
  <c r="S69"/>
  <c r="R69"/>
  <c r="Q69"/>
  <c r="M69"/>
  <c r="H69"/>
  <c r="X68"/>
  <c r="W68"/>
  <c r="V68"/>
  <c r="T68"/>
  <c r="S68"/>
  <c r="R68"/>
  <c r="Q68"/>
  <c r="M68"/>
  <c r="H68"/>
  <c r="X67"/>
  <c r="W67"/>
  <c r="V67"/>
  <c r="U67" s="1"/>
  <c r="T67"/>
  <c r="S67"/>
  <c r="R67"/>
  <c r="Q67"/>
  <c r="M67"/>
  <c r="H67"/>
  <c r="X66"/>
  <c r="W66"/>
  <c r="V66"/>
  <c r="U66" s="1"/>
  <c r="T66"/>
  <c r="S66"/>
  <c r="R66"/>
  <c r="Q66"/>
  <c r="M66"/>
  <c r="H66"/>
  <c r="X65"/>
  <c r="W65"/>
  <c r="V65"/>
  <c r="T65"/>
  <c r="S65"/>
  <c r="R65"/>
  <c r="Q65"/>
  <c r="M65"/>
  <c r="H65"/>
  <c r="X64"/>
  <c r="W64"/>
  <c r="V64"/>
  <c r="T64"/>
  <c r="S64"/>
  <c r="R64"/>
  <c r="Q64"/>
  <c r="M64"/>
  <c r="H64"/>
  <c r="M63"/>
  <c r="U65" l="1"/>
  <c r="U69"/>
  <c r="U93"/>
  <c r="U97"/>
  <c r="U101"/>
  <c r="U107"/>
  <c r="U111"/>
  <c r="U64"/>
  <c r="U68"/>
  <c r="U72"/>
  <c r="U76"/>
  <c r="U80"/>
  <c r="U84"/>
  <c r="U88"/>
  <c r="U89"/>
  <c r="U92"/>
  <c r="U96"/>
  <c r="U100"/>
  <c r="U106"/>
  <c r="U110"/>
  <c r="U114"/>
  <c r="V95" i="9"/>
  <c r="U95" s="1"/>
  <c r="T95" s="1"/>
  <c r="S95" s="1"/>
  <c r="R95" s="1"/>
  <c r="Q95" s="1"/>
  <c r="M95" s="1"/>
  <c r="H95" s="1"/>
  <c r="E63" i="27"/>
  <c r="X62"/>
  <c r="W62"/>
  <c r="V62"/>
  <c r="U62" s="1"/>
  <c r="T62"/>
  <c r="S62"/>
  <c r="R62"/>
  <c r="Q62"/>
  <c r="M62"/>
  <c r="H62"/>
  <c r="X61"/>
  <c r="W61"/>
  <c r="V61"/>
  <c r="U61" s="1"/>
  <c r="T61"/>
  <c r="S61"/>
  <c r="R61"/>
  <c r="Q61"/>
  <c r="M61"/>
  <c r="H61"/>
  <c r="X60"/>
  <c r="S60"/>
  <c r="M60"/>
  <c r="U60" s="1"/>
  <c r="T60" s="1"/>
  <c r="H60"/>
  <c r="E60"/>
  <c r="V60" s="1"/>
  <c r="X59"/>
  <c r="W59"/>
  <c r="V59"/>
  <c r="U59" s="1"/>
  <c r="T59"/>
  <c r="S59"/>
  <c r="R59"/>
  <c r="Q59"/>
  <c r="M59"/>
  <c r="H59"/>
  <c r="X58"/>
  <c r="W58"/>
  <c r="V58"/>
  <c r="U58" s="1"/>
  <c r="T58"/>
  <c r="S58"/>
  <c r="R58"/>
  <c r="Q58"/>
  <c r="M58"/>
  <c r="H58"/>
  <c r="X57"/>
  <c r="W57"/>
  <c r="V57"/>
  <c r="T57"/>
  <c r="S57"/>
  <c r="R57"/>
  <c r="Q57"/>
  <c r="M57"/>
  <c r="H57"/>
  <c r="X56"/>
  <c r="W56"/>
  <c r="V56"/>
  <c r="U56" s="1"/>
  <c r="T56"/>
  <c r="S56"/>
  <c r="R56"/>
  <c r="Q56"/>
  <c r="M56"/>
  <c r="H56"/>
  <c r="X55"/>
  <c r="W55"/>
  <c r="V55"/>
  <c r="U55" s="1"/>
  <c r="T55"/>
  <c r="S55"/>
  <c r="R55"/>
  <c r="Q55"/>
  <c r="M55"/>
  <c r="H55"/>
  <c r="X54"/>
  <c r="W54"/>
  <c r="V54"/>
  <c r="T54"/>
  <c r="S54"/>
  <c r="R54"/>
  <c r="Q54"/>
  <c r="M54"/>
  <c r="H54"/>
  <c r="X53"/>
  <c r="W53"/>
  <c r="V53"/>
  <c r="T53"/>
  <c r="S53"/>
  <c r="R53"/>
  <c r="Q53"/>
  <c r="M53"/>
  <c r="H53"/>
  <c r="V52"/>
  <c r="U52" s="1"/>
  <c r="T52"/>
  <c r="Q52"/>
  <c r="M52"/>
  <c r="E52"/>
  <c r="W52" s="1"/>
  <c r="X51"/>
  <c r="W51"/>
  <c r="V51"/>
  <c r="T51"/>
  <c r="S51"/>
  <c r="R51"/>
  <c r="Q51"/>
  <c r="M51"/>
  <c r="H51"/>
  <c r="X50"/>
  <c r="W50"/>
  <c r="V50"/>
  <c r="T50"/>
  <c r="S50"/>
  <c r="R50"/>
  <c r="Q50"/>
  <c r="M50"/>
  <c r="H50"/>
  <c r="X49"/>
  <c r="W49"/>
  <c r="V49"/>
  <c r="U49" s="1"/>
  <c r="T49"/>
  <c r="S49"/>
  <c r="R49"/>
  <c r="Q49"/>
  <c r="M49"/>
  <c r="H49"/>
  <c r="X48"/>
  <c r="W48"/>
  <c r="V48"/>
  <c r="U48" s="1"/>
  <c r="T48"/>
  <c r="S48"/>
  <c r="R48"/>
  <c r="Q48"/>
  <c r="M48"/>
  <c r="H48"/>
  <c r="X47"/>
  <c r="W47"/>
  <c r="V47"/>
  <c r="T47"/>
  <c r="S47"/>
  <c r="R47"/>
  <c r="Q47"/>
  <c r="M47"/>
  <c r="H47"/>
  <c r="X46"/>
  <c r="W46"/>
  <c r="V46"/>
  <c r="T46"/>
  <c r="S46"/>
  <c r="R46"/>
  <c r="Q46"/>
  <c r="M46"/>
  <c r="H46"/>
  <c r="V45"/>
  <c r="Q45"/>
  <c r="M45"/>
  <c r="U45" s="1"/>
  <c r="T45" s="1"/>
  <c r="E45"/>
  <c r="W45" s="1"/>
  <c r="X44"/>
  <c r="W44"/>
  <c r="V44"/>
  <c r="T44"/>
  <c r="S44"/>
  <c r="R44"/>
  <c r="Q44"/>
  <c r="M44"/>
  <c r="H44"/>
  <c r="X43"/>
  <c r="W43"/>
  <c r="V43"/>
  <c r="T43"/>
  <c r="S43"/>
  <c r="R43"/>
  <c r="Q43"/>
  <c r="M43"/>
  <c r="H43"/>
  <c r="X42"/>
  <c r="W42"/>
  <c r="V42"/>
  <c r="U42" s="1"/>
  <c r="T42"/>
  <c r="S42"/>
  <c r="R42"/>
  <c r="Q42"/>
  <c r="M42"/>
  <c r="H42"/>
  <c r="X41"/>
  <c r="W41"/>
  <c r="V41"/>
  <c r="U41" s="1"/>
  <c r="T41"/>
  <c r="S41"/>
  <c r="R41"/>
  <c r="Q41"/>
  <c r="M41"/>
  <c r="H41"/>
  <c r="X40"/>
  <c r="W40"/>
  <c r="V40"/>
  <c r="T40"/>
  <c r="S40"/>
  <c r="R40"/>
  <c r="Q40"/>
  <c r="M40"/>
  <c r="H40"/>
  <c r="X39"/>
  <c r="W39"/>
  <c r="V39"/>
  <c r="T39"/>
  <c r="S39"/>
  <c r="R39"/>
  <c r="Q39"/>
  <c r="M39"/>
  <c r="H39"/>
  <c r="X38"/>
  <c r="W38"/>
  <c r="V38"/>
  <c r="U38" s="1"/>
  <c r="T38"/>
  <c r="S38"/>
  <c r="R38"/>
  <c r="Q38"/>
  <c r="M38"/>
  <c r="H38"/>
  <c r="X37"/>
  <c r="W37"/>
  <c r="V37"/>
  <c r="U37" s="1"/>
  <c r="T37"/>
  <c r="S37"/>
  <c r="R37"/>
  <c r="Q37"/>
  <c r="M37"/>
  <c r="H37"/>
  <c r="X36"/>
  <c r="W36"/>
  <c r="V36"/>
  <c r="T36"/>
  <c r="S36"/>
  <c r="R36"/>
  <c r="Q36"/>
  <c r="M36"/>
  <c r="H36"/>
  <c r="X35"/>
  <c r="W35"/>
  <c r="V35"/>
  <c r="T35"/>
  <c r="S35"/>
  <c r="R35"/>
  <c r="Q35"/>
  <c r="M35"/>
  <c r="H35"/>
  <c r="X34"/>
  <c r="W34"/>
  <c r="V34"/>
  <c r="U34" s="1"/>
  <c r="T34"/>
  <c r="S34"/>
  <c r="R34"/>
  <c r="Q34"/>
  <c r="M34"/>
  <c r="H34"/>
  <c r="X33"/>
  <c r="W33"/>
  <c r="V33"/>
  <c r="U33" s="1"/>
  <c r="T33"/>
  <c r="S33"/>
  <c r="R33"/>
  <c r="Q33"/>
  <c r="M33"/>
  <c r="H33"/>
  <c r="X32"/>
  <c r="W32"/>
  <c r="V32"/>
  <c r="U32" s="1"/>
  <c r="T32"/>
  <c r="S32"/>
  <c r="R32"/>
  <c r="Q32"/>
  <c r="M32"/>
  <c r="H32"/>
  <c r="X31"/>
  <c r="W31"/>
  <c r="V31"/>
  <c r="T31"/>
  <c r="S31"/>
  <c r="R31"/>
  <c r="Q31"/>
  <c r="M31"/>
  <c r="H31"/>
  <c r="X30"/>
  <c r="W30"/>
  <c r="V30"/>
  <c r="U30" s="1"/>
  <c r="T30"/>
  <c r="S30"/>
  <c r="R30"/>
  <c r="Q30"/>
  <c r="M30"/>
  <c r="H30"/>
  <c r="X29"/>
  <c r="W29"/>
  <c r="V29"/>
  <c r="U29" s="1"/>
  <c r="T29"/>
  <c r="S29"/>
  <c r="R29"/>
  <c r="Q29"/>
  <c r="M29"/>
  <c r="H29"/>
  <c r="X28"/>
  <c r="W28"/>
  <c r="V28"/>
  <c r="U28" s="1"/>
  <c r="T28"/>
  <c r="S28"/>
  <c r="R28"/>
  <c r="Q28"/>
  <c r="M28"/>
  <c r="H28"/>
  <c r="X27"/>
  <c r="W27"/>
  <c r="V27"/>
  <c r="T27"/>
  <c r="S27"/>
  <c r="R27"/>
  <c r="Q27"/>
  <c r="M27"/>
  <c r="H27"/>
  <c r="X26"/>
  <c r="W26"/>
  <c r="V26"/>
  <c r="U26" s="1"/>
  <c r="T26"/>
  <c r="S26"/>
  <c r="R26"/>
  <c r="Q26"/>
  <c r="M26"/>
  <c r="H26"/>
  <c r="X25"/>
  <c r="W25"/>
  <c r="V25"/>
  <c r="U25" s="1"/>
  <c r="T25"/>
  <c r="S25"/>
  <c r="R25"/>
  <c r="Q25"/>
  <c r="M25"/>
  <c r="H25"/>
  <c r="X24"/>
  <c r="W24"/>
  <c r="V24"/>
  <c r="U24" s="1"/>
  <c r="T24"/>
  <c r="S24"/>
  <c r="R24"/>
  <c r="Q24"/>
  <c r="M24"/>
  <c r="H24"/>
  <c r="X23"/>
  <c r="W23"/>
  <c r="V23"/>
  <c r="T23"/>
  <c r="S23"/>
  <c r="R23"/>
  <c r="Q23"/>
  <c r="M23"/>
  <c r="H23"/>
  <c r="X22"/>
  <c r="W22"/>
  <c r="V22"/>
  <c r="U22" s="1"/>
  <c r="T22"/>
  <c r="S22"/>
  <c r="R22"/>
  <c r="Q22"/>
  <c r="M22"/>
  <c r="H22"/>
  <c r="X21"/>
  <c r="W21"/>
  <c r="V21"/>
  <c r="U21" s="1"/>
  <c r="T21"/>
  <c r="S21"/>
  <c r="R21"/>
  <c r="Q21"/>
  <c r="M21"/>
  <c r="H21"/>
  <c r="X20"/>
  <c r="W20"/>
  <c r="V20"/>
  <c r="T20"/>
  <c r="S20"/>
  <c r="R20"/>
  <c r="Q20"/>
  <c r="M20"/>
  <c r="H20"/>
  <c r="X19"/>
  <c r="W19"/>
  <c r="V19"/>
  <c r="T19"/>
  <c r="S19"/>
  <c r="R19"/>
  <c r="Q19"/>
  <c r="M19"/>
  <c r="H19"/>
  <c r="X18"/>
  <c r="W18"/>
  <c r="V18"/>
  <c r="T18"/>
  <c r="S18"/>
  <c r="R18"/>
  <c r="Q18"/>
  <c r="W63" l="1"/>
  <c r="R63"/>
  <c r="X63"/>
  <c r="S63"/>
  <c r="H63"/>
  <c r="T63"/>
  <c r="V63"/>
  <c r="U63" s="1"/>
  <c r="Q63"/>
  <c r="U20"/>
  <c r="U36"/>
  <c r="U40"/>
  <c r="U44"/>
  <c r="H45"/>
  <c r="S45"/>
  <c r="X45"/>
  <c r="U47"/>
  <c r="U51"/>
  <c r="H52"/>
  <c r="S52"/>
  <c r="X52"/>
  <c r="U54"/>
  <c r="R60"/>
  <c r="W60"/>
  <c r="U19"/>
  <c r="U23"/>
  <c r="U27"/>
  <c r="U31"/>
  <c r="U35"/>
  <c r="U39"/>
  <c r="U43"/>
  <c r="R45"/>
  <c r="U46"/>
  <c r="U50"/>
  <c r="R52"/>
  <c r="U53"/>
  <c r="U57"/>
  <c r="Q60"/>
  <c r="M18"/>
  <c r="U18" s="1"/>
  <c r="H18"/>
  <c r="X17"/>
  <c r="W17"/>
  <c r="V17"/>
  <c r="T17"/>
  <c r="S17"/>
  <c r="R17"/>
  <c r="Q17"/>
  <c r="M17"/>
  <c r="H17"/>
  <c r="X16"/>
  <c r="S16"/>
  <c r="Q16"/>
  <c r="M16"/>
  <c r="H16"/>
  <c r="E16"/>
  <c r="T16" s="1"/>
  <c r="X15"/>
  <c r="U15"/>
  <c r="T15"/>
  <c r="S15"/>
  <c r="Q15"/>
  <c r="M15"/>
  <c r="H15"/>
  <c r="E15"/>
  <c r="W15" s="1"/>
  <c r="V15" s="1"/>
  <c r="X14"/>
  <c r="W14"/>
  <c r="V14"/>
  <c r="U14" s="1"/>
  <c r="T14"/>
  <c r="S14"/>
  <c r="R14"/>
  <c r="Q14"/>
  <c r="M14"/>
  <c r="H14"/>
  <c r="X13"/>
  <c r="W13"/>
  <c r="V13"/>
  <c r="T13"/>
  <c r="S13"/>
  <c r="R13"/>
  <c r="Q13"/>
  <c r="M13"/>
  <c r="H13"/>
  <c r="X12"/>
  <c r="W12"/>
  <c r="V12"/>
  <c r="U12" s="1"/>
  <c r="T12"/>
  <c r="S12"/>
  <c r="R12"/>
  <c r="Q12"/>
  <c r="M12"/>
  <c r="H12"/>
  <c r="X11"/>
  <c r="W11"/>
  <c r="V11"/>
  <c r="T11"/>
  <c r="S11"/>
  <c r="R11"/>
  <c r="Q11"/>
  <c r="M11"/>
  <c r="H11"/>
  <c r="X10"/>
  <c r="W10"/>
  <c r="V10"/>
  <c r="U10" s="1"/>
  <c r="T10"/>
  <c r="S10"/>
  <c r="R10"/>
  <c r="Q10"/>
  <c r="M10"/>
  <c r="H10"/>
  <c r="X9"/>
  <c r="W9"/>
  <c r="V9"/>
  <c r="T9"/>
  <c r="S9"/>
  <c r="R9"/>
  <c r="Q9"/>
  <c r="M9"/>
  <c r="H9"/>
  <c r="X8"/>
  <c r="W8"/>
  <c r="V8"/>
  <c r="T8"/>
  <c r="S8"/>
  <c r="R8"/>
  <c r="Q8"/>
  <c r="M8"/>
  <c r="U8" s="1"/>
  <c r="H8"/>
  <c r="X90" i="26"/>
  <c r="W90"/>
  <c r="V90"/>
  <c r="U90" s="1"/>
  <c r="T90"/>
  <c r="S90"/>
  <c r="R90"/>
  <c r="Q90"/>
  <c r="M90"/>
  <c r="X89"/>
  <c r="W89"/>
  <c r="V89"/>
  <c r="U89" s="1"/>
  <c r="T89"/>
  <c r="S89"/>
  <c r="R89"/>
  <c r="Q89"/>
  <c r="M89"/>
  <c r="H89"/>
  <c r="X88"/>
  <c r="W88"/>
  <c r="V88"/>
  <c r="U88" s="1"/>
  <c r="T88"/>
  <c r="S88"/>
  <c r="R88"/>
  <c r="Q88"/>
  <c r="M88"/>
  <c r="H88"/>
  <c r="X87"/>
  <c r="W87"/>
  <c r="V87"/>
  <c r="U87" s="1"/>
  <c r="T87"/>
  <c r="S87"/>
  <c r="R87"/>
  <c r="Q87"/>
  <c r="M87"/>
  <c r="H87"/>
  <c r="X86"/>
  <c r="W86"/>
  <c r="V86"/>
  <c r="T86"/>
  <c r="S86"/>
  <c r="R86"/>
  <c r="Q86"/>
  <c r="M86"/>
  <c r="H86"/>
  <c r="X85"/>
  <c r="W85"/>
  <c r="V85"/>
  <c r="U85" s="1"/>
  <c r="T85"/>
  <c r="S85"/>
  <c r="R85"/>
  <c r="Q85"/>
  <c r="M85"/>
  <c r="H85"/>
  <c r="X84"/>
  <c r="W84"/>
  <c r="V84"/>
  <c r="U84" s="1"/>
  <c r="T84"/>
  <c r="S84"/>
  <c r="R84"/>
  <c r="Q84"/>
  <c r="M84"/>
  <c r="H84"/>
  <c r="X83"/>
  <c r="W83"/>
  <c r="V83"/>
  <c r="U83" s="1"/>
  <c r="T83"/>
  <c r="S83"/>
  <c r="R83"/>
  <c r="Q83"/>
  <c r="M83"/>
  <c r="H83"/>
  <c r="X82"/>
  <c r="W82"/>
  <c r="V82"/>
  <c r="T82"/>
  <c r="S82"/>
  <c r="R82"/>
  <c r="Q82"/>
  <c r="M82"/>
  <c r="H82"/>
  <c r="X81"/>
  <c r="W81"/>
  <c r="V81"/>
  <c r="U81" s="1"/>
  <c r="T81"/>
  <c r="S81"/>
  <c r="R81"/>
  <c r="Q81"/>
  <c r="M81"/>
  <c r="H81"/>
  <c r="X80"/>
  <c r="W80"/>
  <c r="V80"/>
  <c r="U80" s="1"/>
  <c r="T80"/>
  <c r="S80"/>
  <c r="R80"/>
  <c r="Q80"/>
  <c r="M80"/>
  <c r="H80"/>
  <c r="X79"/>
  <c r="W79"/>
  <c r="V79"/>
  <c r="U79" s="1"/>
  <c r="T79"/>
  <c r="S79"/>
  <c r="R79"/>
  <c r="Q79"/>
  <c r="M79"/>
  <c r="H79"/>
  <c r="X78"/>
  <c r="W78"/>
  <c r="V78"/>
  <c r="T78"/>
  <c r="S78"/>
  <c r="R78"/>
  <c r="Q78"/>
  <c r="M78"/>
  <c r="H78"/>
  <c r="X77"/>
  <c r="W77"/>
  <c r="V77"/>
  <c r="U77" s="1"/>
  <c r="T77"/>
  <c r="S77"/>
  <c r="R77"/>
  <c r="Q77"/>
  <c r="M77"/>
  <c r="H77"/>
  <c r="X76"/>
  <c r="W76"/>
  <c r="V76"/>
  <c r="U76" s="1"/>
  <c r="T76"/>
  <c r="S76"/>
  <c r="R76"/>
  <c r="Q76"/>
  <c r="M76"/>
  <c r="H76"/>
  <c r="X75"/>
  <c r="W75"/>
  <c r="V75"/>
  <c r="U75" s="1"/>
  <c r="T75"/>
  <c r="S75"/>
  <c r="R75"/>
  <c r="Q75"/>
  <c r="M75"/>
  <c r="H75"/>
  <c r="X74"/>
  <c r="W74"/>
  <c r="V74"/>
  <c r="T74"/>
  <c r="S74"/>
  <c r="R74"/>
  <c r="Q74"/>
  <c r="M74"/>
  <c r="H74"/>
  <c r="X73"/>
  <c r="W73"/>
  <c r="V73"/>
  <c r="U73" s="1"/>
  <c r="T73"/>
  <c r="S73"/>
  <c r="R73"/>
  <c r="Q73"/>
  <c r="M73"/>
  <c r="H73"/>
  <c r="X72"/>
  <c r="W72"/>
  <c r="V72"/>
  <c r="U72" s="1"/>
  <c r="T72"/>
  <c r="S72"/>
  <c r="R72"/>
  <c r="Q72"/>
  <c r="M72"/>
  <c r="H72"/>
  <c r="X71"/>
  <c r="W71"/>
  <c r="V71"/>
  <c r="U71" s="1"/>
  <c r="T71"/>
  <c r="S71"/>
  <c r="R71"/>
  <c r="Q71"/>
  <c r="M71"/>
  <c r="H71"/>
  <c r="X70"/>
  <c r="W70"/>
  <c r="V70"/>
  <c r="T70"/>
  <c r="S70"/>
  <c r="R70"/>
  <c r="Q70"/>
  <c r="M70"/>
  <c r="H70"/>
  <c r="X69"/>
  <c r="W69"/>
  <c r="V69"/>
  <c r="U69" s="1"/>
  <c r="T69"/>
  <c r="S69"/>
  <c r="R69"/>
  <c r="Q69"/>
  <c r="M69"/>
  <c r="H69"/>
  <c r="X68"/>
  <c r="W68"/>
  <c r="V68"/>
  <c r="U68" s="1"/>
  <c r="T68"/>
  <c r="S68"/>
  <c r="R68"/>
  <c r="Q68"/>
  <c r="M68"/>
  <c r="H68"/>
  <c r="X67"/>
  <c r="W67"/>
  <c r="V67"/>
  <c r="T67"/>
  <c r="S67"/>
  <c r="R67"/>
  <c r="Q67"/>
  <c r="M67"/>
  <c r="H67"/>
  <c r="X66"/>
  <c r="W66"/>
  <c r="V66"/>
  <c r="T66"/>
  <c r="S66"/>
  <c r="R66"/>
  <c r="Q66"/>
  <c r="M66"/>
  <c r="H66"/>
  <c r="X65"/>
  <c r="W65"/>
  <c r="V65"/>
  <c r="U65" s="1"/>
  <c r="T65"/>
  <c r="S65"/>
  <c r="R65"/>
  <c r="Q65"/>
  <c r="M65"/>
  <c r="H65"/>
  <c r="X64"/>
  <c r="W64"/>
  <c r="V64"/>
  <c r="U64" s="1"/>
  <c r="T64"/>
  <c r="S64"/>
  <c r="R64"/>
  <c r="Q64"/>
  <c r="M64"/>
  <c r="H64"/>
  <c r="X63"/>
  <c r="W63"/>
  <c r="V63"/>
  <c r="T63"/>
  <c r="S63"/>
  <c r="R63"/>
  <c r="Q63"/>
  <c r="M63"/>
  <c r="H63"/>
  <c r="X62"/>
  <c r="W62"/>
  <c r="V62"/>
  <c r="T62"/>
  <c r="S62"/>
  <c r="R62"/>
  <c r="Q62"/>
  <c r="M62"/>
  <c r="H62"/>
  <c r="X61"/>
  <c r="W61"/>
  <c r="V61"/>
  <c r="U61" s="1"/>
  <c r="T61"/>
  <c r="S61"/>
  <c r="R61"/>
  <c r="Q61"/>
  <c r="M61"/>
  <c r="H61"/>
  <c r="X60"/>
  <c r="W60"/>
  <c r="V60"/>
  <c r="U60" s="1"/>
  <c r="T60"/>
  <c r="S60"/>
  <c r="R60"/>
  <c r="Q60"/>
  <c r="M60"/>
  <c r="H60"/>
  <c r="X59"/>
  <c r="W59"/>
  <c r="V59"/>
  <c r="U59" s="1"/>
  <c r="T59"/>
  <c r="S59"/>
  <c r="R59"/>
  <c r="Q59"/>
  <c r="M59"/>
  <c r="H59"/>
  <c r="X58"/>
  <c r="W58"/>
  <c r="V58"/>
  <c r="T58"/>
  <c r="S58"/>
  <c r="R58"/>
  <c r="Q58"/>
  <c r="M58"/>
  <c r="H58"/>
  <c r="X57"/>
  <c r="W57"/>
  <c r="V57"/>
  <c r="U57" s="1"/>
  <c r="T57"/>
  <c r="S57"/>
  <c r="R57"/>
  <c r="Q57"/>
  <c r="M57"/>
  <c r="H57"/>
  <c r="X56"/>
  <c r="W56"/>
  <c r="V56"/>
  <c r="U56" s="1"/>
  <c r="T56"/>
  <c r="S56"/>
  <c r="R56"/>
  <c r="Q56"/>
  <c r="M56"/>
  <c r="H56"/>
  <c r="X55"/>
  <c r="W55"/>
  <c r="V55"/>
  <c r="U55" s="1"/>
  <c r="T55"/>
  <c r="S55"/>
  <c r="R55"/>
  <c r="Q55"/>
  <c r="M55"/>
  <c r="H55"/>
  <c r="X54"/>
  <c r="W54"/>
  <c r="V54"/>
  <c r="T54"/>
  <c r="S54"/>
  <c r="R54"/>
  <c r="Q54"/>
  <c r="M54"/>
  <c r="H54"/>
  <c r="X53"/>
  <c r="W53"/>
  <c r="V53"/>
  <c r="U53" s="1"/>
  <c r="T53"/>
  <c r="S53"/>
  <c r="R53"/>
  <c r="Q53"/>
  <c r="M53"/>
  <c r="H53"/>
  <c r="X52"/>
  <c r="W52"/>
  <c r="V52"/>
  <c r="U52" s="1"/>
  <c r="T52"/>
  <c r="S52"/>
  <c r="R52"/>
  <c r="Q52"/>
  <c r="M52"/>
  <c r="H52"/>
  <c r="X51"/>
  <c r="W51"/>
  <c r="V51"/>
  <c r="T51"/>
  <c r="S51"/>
  <c r="R51"/>
  <c r="Q51"/>
  <c r="M51"/>
  <c r="H51"/>
  <c r="X50"/>
  <c r="W50"/>
  <c r="V50"/>
  <c r="T50"/>
  <c r="S50"/>
  <c r="R50"/>
  <c r="Q50"/>
  <c r="M50"/>
  <c r="H50"/>
  <c r="X49"/>
  <c r="W49"/>
  <c r="V49"/>
  <c r="U49" s="1"/>
  <c r="T49"/>
  <c r="S49"/>
  <c r="R49"/>
  <c r="Q49"/>
  <c r="M49"/>
  <c r="H49"/>
  <c r="X48"/>
  <c r="W48"/>
  <c r="V48"/>
  <c r="T48"/>
  <c r="S48"/>
  <c r="R48"/>
  <c r="Q48"/>
  <c r="M48"/>
  <c r="U48" s="1"/>
  <c r="H48"/>
  <c r="X47"/>
  <c r="W47"/>
  <c r="V47"/>
  <c r="T47"/>
  <c r="S47"/>
  <c r="R47"/>
  <c r="Q47"/>
  <c r="M47"/>
  <c r="H47"/>
  <c r="X46"/>
  <c r="W46"/>
  <c r="V46"/>
  <c r="U46"/>
  <c r="T46"/>
  <c r="S46"/>
  <c r="R46"/>
  <c r="Q46"/>
  <c r="M46"/>
  <c r="H46"/>
  <c r="X45"/>
  <c r="W45"/>
  <c r="V45"/>
  <c r="T45"/>
  <c r="S45"/>
  <c r="R45"/>
  <c r="Q45"/>
  <c r="M45"/>
  <c r="H45"/>
  <c r="X44"/>
  <c r="W44"/>
  <c r="V44"/>
  <c r="T44"/>
  <c r="S44"/>
  <c r="R44"/>
  <c r="Q44"/>
  <c r="M44"/>
  <c r="H44"/>
  <c r="X43"/>
  <c r="W43"/>
  <c r="V43"/>
  <c r="U43" s="1"/>
  <c r="T43"/>
  <c r="S43"/>
  <c r="R43"/>
  <c r="Q43"/>
  <c r="M43"/>
  <c r="H43"/>
  <c r="X42"/>
  <c r="W42"/>
  <c r="V42"/>
  <c r="U42" s="1"/>
  <c r="T42"/>
  <c r="S42"/>
  <c r="R42"/>
  <c r="Q42"/>
  <c r="M42"/>
  <c r="H42"/>
  <c r="X41"/>
  <c r="W41"/>
  <c r="V41"/>
  <c r="T41"/>
  <c r="S41"/>
  <c r="R41"/>
  <c r="Q41"/>
  <c r="M41"/>
  <c r="H41"/>
  <c r="X40"/>
  <c r="W40"/>
  <c r="V40"/>
  <c r="T40"/>
  <c r="S40"/>
  <c r="R40"/>
  <c r="Q40"/>
  <c r="M40"/>
  <c r="H40"/>
  <c r="X39"/>
  <c r="W39"/>
  <c r="V39"/>
  <c r="U39" s="1"/>
  <c r="T39"/>
  <c r="S39"/>
  <c r="R39"/>
  <c r="Q39"/>
  <c r="M39"/>
  <c r="H39"/>
  <c r="X38"/>
  <c r="W38"/>
  <c r="V38"/>
  <c r="U38" s="1"/>
  <c r="T38"/>
  <c r="S38"/>
  <c r="R38"/>
  <c r="Q38"/>
  <c r="M38"/>
  <c r="H38"/>
  <c r="X37"/>
  <c r="W37"/>
  <c r="V37"/>
  <c r="T37"/>
  <c r="S37"/>
  <c r="R37"/>
  <c r="Q37"/>
  <c r="M37"/>
  <c r="H37"/>
  <c r="X36"/>
  <c r="W36"/>
  <c r="V36"/>
  <c r="T36"/>
  <c r="S36"/>
  <c r="R36"/>
  <c r="Q36"/>
  <c r="M36"/>
  <c r="H36"/>
  <c r="X35"/>
  <c r="W35"/>
  <c r="V35"/>
  <c r="U35" s="1"/>
  <c r="T35"/>
  <c r="S35"/>
  <c r="R35"/>
  <c r="Q35"/>
  <c r="M35"/>
  <c r="H35"/>
  <c r="X34"/>
  <c r="W34"/>
  <c r="V34"/>
  <c r="U34" s="1"/>
  <c r="T34"/>
  <c r="S34"/>
  <c r="R34"/>
  <c r="Q34"/>
  <c r="M34"/>
  <c r="H34"/>
  <c r="X33"/>
  <c r="W33"/>
  <c r="V33"/>
  <c r="T33"/>
  <c r="S33"/>
  <c r="R33"/>
  <c r="Q33"/>
  <c r="M33"/>
  <c r="U33" s="1"/>
  <c r="H33"/>
  <c r="X32"/>
  <c r="W32"/>
  <c r="V32"/>
  <c r="U32" s="1"/>
  <c r="T32"/>
  <c r="S32"/>
  <c r="R32"/>
  <c r="Q32"/>
  <c r="M32"/>
  <c r="H32"/>
  <c r="X31"/>
  <c r="W31"/>
  <c r="V31"/>
  <c r="U31" s="1"/>
  <c r="T31"/>
  <c r="S31"/>
  <c r="R31"/>
  <c r="Q31"/>
  <c r="M31"/>
  <c r="H31"/>
  <c r="X30"/>
  <c r="W30"/>
  <c r="V30"/>
  <c r="T30"/>
  <c r="S30"/>
  <c r="R30"/>
  <c r="Q30"/>
  <c r="M30"/>
  <c r="H30"/>
  <c r="X29"/>
  <c r="W29"/>
  <c r="V29"/>
  <c r="U29"/>
  <c r="T29"/>
  <c r="S29"/>
  <c r="R29"/>
  <c r="Q29"/>
  <c r="M29"/>
  <c r="H29"/>
  <c r="X28"/>
  <c r="W28"/>
  <c r="V28"/>
  <c r="T28"/>
  <c r="S28"/>
  <c r="R28"/>
  <c r="Q28"/>
  <c r="M28"/>
  <c r="U28" s="1"/>
  <c r="H28"/>
  <c r="X27"/>
  <c r="W27"/>
  <c r="V27"/>
  <c r="U27"/>
  <c r="T27"/>
  <c r="S27"/>
  <c r="R27"/>
  <c r="Q27"/>
  <c r="M27"/>
  <c r="H27"/>
  <c r="X26"/>
  <c r="W26"/>
  <c r="V26"/>
  <c r="U26" s="1"/>
  <c r="T26"/>
  <c r="S26"/>
  <c r="R26"/>
  <c r="Q26"/>
  <c r="M26"/>
  <c r="H26"/>
  <c r="X25"/>
  <c r="W25"/>
  <c r="V25"/>
  <c r="T25"/>
  <c r="S25"/>
  <c r="R25"/>
  <c r="Q25"/>
  <c r="M25"/>
  <c r="H25"/>
  <c r="X24"/>
  <c r="W24"/>
  <c r="V24"/>
  <c r="T24"/>
  <c r="S24"/>
  <c r="R24"/>
  <c r="Q24"/>
  <c r="M24"/>
  <c r="H24"/>
  <c r="X23"/>
  <c r="W23"/>
  <c r="V23"/>
  <c r="U23" s="1"/>
  <c r="T23"/>
  <c r="S23"/>
  <c r="R23"/>
  <c r="Q23"/>
  <c r="M23"/>
  <c r="H23"/>
  <c r="X22"/>
  <c r="W22"/>
  <c r="V22"/>
  <c r="T22"/>
  <c r="S22"/>
  <c r="R22"/>
  <c r="Q22"/>
  <c r="M22"/>
  <c r="U22" s="1"/>
  <c r="H22"/>
  <c r="X21"/>
  <c r="W21"/>
  <c r="V21"/>
  <c r="U21"/>
  <c r="T21"/>
  <c r="S21"/>
  <c r="R21"/>
  <c r="Q21"/>
  <c r="M21"/>
  <c r="H21"/>
  <c r="X20"/>
  <c r="W20"/>
  <c r="V20"/>
  <c r="U20" s="1"/>
  <c r="T20"/>
  <c r="S20"/>
  <c r="R20"/>
  <c r="Q20"/>
  <c r="M20"/>
  <c r="H20"/>
  <c r="X19"/>
  <c r="W19"/>
  <c r="V19"/>
  <c r="T19"/>
  <c r="S19"/>
  <c r="R19"/>
  <c r="Q19"/>
  <c r="M19"/>
  <c r="U19" s="1"/>
  <c r="H19"/>
  <c r="X18"/>
  <c r="W18"/>
  <c r="V18"/>
  <c r="U18"/>
  <c r="T18"/>
  <c r="S18"/>
  <c r="R18"/>
  <c r="Q18"/>
  <c r="M18"/>
  <c r="H18"/>
  <c r="X17"/>
  <c r="W17"/>
  <c r="V17"/>
  <c r="T17"/>
  <c r="S17"/>
  <c r="R17"/>
  <c r="Q17"/>
  <c r="M17"/>
  <c r="U17" s="1"/>
  <c r="H17"/>
  <c r="X16"/>
  <c r="W16"/>
  <c r="V16"/>
  <c r="U16"/>
  <c r="T16"/>
  <c r="S16"/>
  <c r="R16"/>
  <c r="Q16"/>
  <c r="M16"/>
  <c r="H16"/>
  <c r="X15"/>
  <c r="W15"/>
  <c r="V15"/>
  <c r="T15"/>
  <c r="S15"/>
  <c r="R15"/>
  <c r="Q15"/>
  <c r="M15"/>
  <c r="U15" s="1"/>
  <c r="H15"/>
  <c r="X14"/>
  <c r="W14"/>
  <c r="V14"/>
  <c r="U14"/>
  <c r="T14"/>
  <c r="S14"/>
  <c r="R14"/>
  <c r="Q14"/>
  <c r="M14"/>
  <c r="H14"/>
  <c r="X13"/>
  <c r="W13"/>
  <c r="V13"/>
  <c r="T13"/>
  <c r="S13"/>
  <c r="R13"/>
  <c r="Q13"/>
  <c r="M13"/>
  <c r="U13" s="1"/>
  <c r="H13"/>
  <c r="X12"/>
  <c r="W12"/>
  <c r="V12"/>
  <c r="U12" s="1"/>
  <c r="T12"/>
  <c r="S12"/>
  <c r="R12"/>
  <c r="Q12"/>
  <c r="M12"/>
  <c r="H12"/>
  <c r="X11"/>
  <c r="W11"/>
  <c r="V11"/>
  <c r="U11" s="1"/>
  <c r="T11"/>
  <c r="S11"/>
  <c r="R11"/>
  <c r="Q11"/>
  <c r="M11"/>
  <c r="H11"/>
  <c r="X10"/>
  <c r="W10"/>
  <c r="V10"/>
  <c r="T10"/>
  <c r="S10"/>
  <c r="R10"/>
  <c r="Q10"/>
  <c r="M10"/>
  <c r="H10"/>
  <c r="X9"/>
  <c r="W9"/>
  <c r="V9"/>
  <c r="T9"/>
  <c r="S9"/>
  <c r="R9"/>
  <c r="Q9"/>
  <c r="M9"/>
  <c r="H9"/>
  <c r="X8"/>
  <c r="X91" s="1"/>
  <c r="W8"/>
  <c r="W91" s="1"/>
  <c r="V8"/>
  <c r="U8" s="1"/>
  <c r="T8"/>
  <c r="T91" s="1"/>
  <c r="S8"/>
  <c r="S91" s="1"/>
  <c r="R8"/>
  <c r="R91" s="1"/>
  <c r="Q8"/>
  <c r="Q91" s="1"/>
  <c r="M8"/>
  <c r="H8"/>
  <c r="H91" s="1"/>
  <c r="H92" s="1"/>
  <c r="X160" i="25"/>
  <c r="W160"/>
  <c r="V160"/>
  <c r="T160"/>
  <c r="S160"/>
  <c r="R160"/>
  <c r="Q160"/>
  <c r="M160"/>
  <c r="H160"/>
  <c r="X159"/>
  <c r="W159"/>
  <c r="V159"/>
  <c r="U159" s="1"/>
  <c r="T159"/>
  <c r="S159"/>
  <c r="R159"/>
  <c r="Q159"/>
  <c r="M159"/>
  <c r="H159"/>
  <c r="X158"/>
  <c r="W158"/>
  <c r="V158"/>
  <c r="T158"/>
  <c r="S158"/>
  <c r="R158"/>
  <c r="Q158"/>
  <c r="Q118" i="27" l="1"/>
  <c r="U11"/>
  <c r="R16"/>
  <c r="W16"/>
  <c r="U17"/>
  <c r="U10" i="26"/>
  <c r="U25"/>
  <c r="U30"/>
  <c r="U37"/>
  <c r="U41"/>
  <c r="U45"/>
  <c r="U51"/>
  <c r="U63"/>
  <c r="U67"/>
  <c r="X118" i="27"/>
  <c r="X119" s="1"/>
  <c r="V16"/>
  <c r="U16" s="1"/>
  <c r="X92" i="26"/>
  <c r="W92" s="1"/>
  <c r="H118" i="27"/>
  <c r="U160" i="25"/>
  <c r="U9" i="26"/>
  <c r="U91" s="1"/>
  <c r="U24"/>
  <c r="U36"/>
  <c r="U40"/>
  <c r="U44"/>
  <c r="U47"/>
  <c r="U50"/>
  <c r="U54"/>
  <c r="U58"/>
  <c r="U62"/>
  <c r="U66"/>
  <c r="U70"/>
  <c r="U74"/>
  <c r="U78"/>
  <c r="U82"/>
  <c r="U86"/>
  <c r="V91"/>
  <c r="W118" i="27"/>
  <c r="U9"/>
  <c r="U118" s="1"/>
  <c r="T118" s="1"/>
  <c r="S118" s="1"/>
  <c r="U13"/>
  <c r="R15"/>
  <c r="R118" s="1"/>
  <c r="M158" i="25"/>
  <c r="U158" s="1"/>
  <c r="H158"/>
  <c r="M157"/>
  <c r="E157"/>
  <c r="X157" s="1"/>
  <c r="X156"/>
  <c r="W156"/>
  <c r="V156"/>
  <c r="T156"/>
  <c r="S156"/>
  <c r="R156"/>
  <c r="Q156"/>
  <c r="M156"/>
  <c r="H156"/>
  <c r="X155"/>
  <c r="W155"/>
  <c r="V155"/>
  <c r="T155"/>
  <c r="S155"/>
  <c r="R155"/>
  <c r="Q155"/>
  <c r="M155"/>
  <c r="H155"/>
  <c r="X154"/>
  <c r="W154"/>
  <c r="V154"/>
  <c r="U154" s="1"/>
  <c r="T154"/>
  <c r="S154"/>
  <c r="R154"/>
  <c r="Q154"/>
  <c r="M154"/>
  <c r="G154"/>
  <c r="H154" s="1"/>
  <c r="X153"/>
  <c r="W153"/>
  <c r="V153"/>
  <c r="T153"/>
  <c r="S153"/>
  <c r="R153"/>
  <c r="Q153"/>
  <c r="M153"/>
  <c r="H153"/>
  <c r="X152"/>
  <c r="W152"/>
  <c r="V152"/>
  <c r="T152"/>
  <c r="S152"/>
  <c r="R152"/>
  <c r="Q152"/>
  <c r="M152"/>
  <c r="H152"/>
  <c r="X151"/>
  <c r="W151"/>
  <c r="V151"/>
  <c r="U151"/>
  <c r="T151"/>
  <c r="S151"/>
  <c r="R151"/>
  <c r="Q151"/>
  <c r="M151"/>
  <c r="H151"/>
  <c r="X150"/>
  <c r="W150"/>
  <c r="V150"/>
  <c r="T150"/>
  <c r="S150"/>
  <c r="R150"/>
  <c r="Q150"/>
  <c r="M150"/>
  <c r="U150" s="1"/>
  <c r="H150"/>
  <c r="X149"/>
  <c r="W149"/>
  <c r="V149"/>
  <c r="U149"/>
  <c r="T149"/>
  <c r="S149"/>
  <c r="R149"/>
  <c r="Q149"/>
  <c r="M149"/>
  <c r="H149"/>
  <c r="X148"/>
  <c r="W148"/>
  <c r="V148"/>
  <c r="T148"/>
  <c r="S148"/>
  <c r="R148"/>
  <c r="Q148"/>
  <c r="M148"/>
  <c r="U148" s="1"/>
  <c r="H148"/>
  <c r="X147"/>
  <c r="W147"/>
  <c r="V147"/>
  <c r="T147"/>
  <c r="S147"/>
  <c r="R147"/>
  <c r="Q147"/>
  <c r="M147"/>
  <c r="U147" s="1"/>
  <c r="H147"/>
  <c r="X146"/>
  <c r="T146"/>
  <c r="Q146"/>
  <c r="M146"/>
  <c r="H146" s="1"/>
  <c r="E146"/>
  <c r="V146" s="1"/>
  <c r="X145"/>
  <c r="W145"/>
  <c r="V145"/>
  <c r="T145"/>
  <c r="S145"/>
  <c r="R145"/>
  <c r="Q145"/>
  <c r="M145"/>
  <c r="U145" s="1"/>
  <c r="H145"/>
  <c r="X144"/>
  <c r="T144"/>
  <c r="S144"/>
  <c r="M144"/>
  <c r="H144"/>
  <c r="E144"/>
  <c r="V144" s="1"/>
  <c r="U144" s="1"/>
  <c r="X143"/>
  <c r="W143"/>
  <c r="V143"/>
  <c r="U143" s="1"/>
  <c r="T143"/>
  <c r="S143"/>
  <c r="R143"/>
  <c r="Q143"/>
  <c r="M143"/>
  <c r="H143"/>
  <c r="X142"/>
  <c r="W142"/>
  <c r="V142"/>
  <c r="T142"/>
  <c r="S142"/>
  <c r="R142"/>
  <c r="Q142"/>
  <c r="M142"/>
  <c r="H142"/>
  <c r="X141"/>
  <c r="W141"/>
  <c r="V141"/>
  <c r="T141"/>
  <c r="S141"/>
  <c r="R141"/>
  <c r="Q141"/>
  <c r="M141"/>
  <c r="H141"/>
  <c r="X140"/>
  <c r="W140"/>
  <c r="V140"/>
  <c r="T140"/>
  <c r="S140"/>
  <c r="R140"/>
  <c r="Q140"/>
  <c r="M140"/>
  <c r="H140"/>
  <c r="M139"/>
  <c r="E139"/>
  <c r="X139" s="1"/>
  <c r="X138"/>
  <c r="W138"/>
  <c r="V138"/>
  <c r="T138"/>
  <c r="S138"/>
  <c r="R138"/>
  <c r="Q138"/>
  <c r="M138"/>
  <c r="U138" s="1"/>
  <c r="H138"/>
  <c r="X137"/>
  <c r="W137"/>
  <c r="V137"/>
  <c r="U137" s="1"/>
  <c r="T137"/>
  <c r="S137"/>
  <c r="R137"/>
  <c r="Q137"/>
  <c r="M137"/>
  <c r="H137"/>
  <c r="X136"/>
  <c r="W136"/>
  <c r="V136"/>
  <c r="T136"/>
  <c r="S136"/>
  <c r="R136"/>
  <c r="Q136"/>
  <c r="M136"/>
  <c r="H136"/>
  <c r="X135"/>
  <c r="W135"/>
  <c r="V135"/>
  <c r="T135"/>
  <c r="S135"/>
  <c r="R135"/>
  <c r="Q135"/>
  <c r="M135"/>
  <c r="U135" s="1"/>
  <c r="H135"/>
  <c r="X134"/>
  <c r="W134"/>
  <c r="V134"/>
  <c r="U134" s="1"/>
  <c r="T134"/>
  <c r="S134"/>
  <c r="R134"/>
  <c r="Q134"/>
  <c r="M134"/>
  <c r="H134"/>
  <c r="X133"/>
  <c r="W133"/>
  <c r="V133"/>
  <c r="T133"/>
  <c r="S133"/>
  <c r="R133"/>
  <c r="Q133"/>
  <c r="M133"/>
  <c r="U133" s="1"/>
  <c r="H133"/>
  <c r="X132"/>
  <c r="W132"/>
  <c r="V132"/>
  <c r="T132"/>
  <c r="S132"/>
  <c r="R132"/>
  <c r="Q132"/>
  <c r="M132"/>
  <c r="H132"/>
  <c r="X131"/>
  <c r="W131"/>
  <c r="V131"/>
  <c r="T131"/>
  <c r="S131"/>
  <c r="R131"/>
  <c r="Q131"/>
  <c r="M131"/>
  <c r="U131" s="1"/>
  <c r="H131"/>
  <c r="X130"/>
  <c r="W130"/>
  <c r="V130"/>
  <c r="T130"/>
  <c r="S130"/>
  <c r="R130"/>
  <c r="Q130"/>
  <c r="M130"/>
  <c r="U130" s="1"/>
  <c r="H130"/>
  <c r="X129"/>
  <c r="W129"/>
  <c r="V129"/>
  <c r="T129"/>
  <c r="S129"/>
  <c r="R129"/>
  <c r="Q129"/>
  <c r="M129"/>
  <c r="U129" s="1"/>
  <c r="H129"/>
  <c r="X128"/>
  <c r="W128"/>
  <c r="V128"/>
  <c r="T128"/>
  <c r="S128"/>
  <c r="R128"/>
  <c r="Q128"/>
  <c r="M128"/>
  <c r="H128"/>
  <c r="M127"/>
  <c r="E127"/>
  <c r="W127" s="1"/>
  <c r="X126"/>
  <c r="W126"/>
  <c r="V126"/>
  <c r="T126"/>
  <c r="S126"/>
  <c r="R126"/>
  <c r="Q126"/>
  <c r="M126"/>
  <c r="U126" s="1"/>
  <c r="H126"/>
  <c r="X125"/>
  <c r="W125"/>
  <c r="V125"/>
  <c r="T125"/>
  <c r="S125"/>
  <c r="R125"/>
  <c r="Q125"/>
  <c r="M125"/>
  <c r="U125" s="1"/>
  <c r="H125"/>
  <c r="X124"/>
  <c r="W124"/>
  <c r="V124"/>
  <c r="T124"/>
  <c r="S124"/>
  <c r="R124"/>
  <c r="Q124"/>
  <c r="M124"/>
  <c r="U124" s="1"/>
  <c r="H124"/>
  <c r="M123"/>
  <c r="E123"/>
  <c r="X123" s="1"/>
  <c r="X122"/>
  <c r="T122"/>
  <c r="Q122"/>
  <c r="M122"/>
  <c r="U122" s="1"/>
  <c r="E122"/>
  <c r="V122" s="1"/>
  <c r="X121"/>
  <c r="W121"/>
  <c r="V121"/>
  <c r="T121"/>
  <c r="S121"/>
  <c r="R121"/>
  <c r="Q121"/>
  <c r="M121"/>
  <c r="U121" s="1"/>
  <c r="H121"/>
  <c r="X120"/>
  <c r="W120"/>
  <c r="V120"/>
  <c r="U120"/>
  <c r="T120"/>
  <c r="S120"/>
  <c r="R120"/>
  <c r="Q120"/>
  <c r="M120"/>
  <c r="H120"/>
  <c r="X119"/>
  <c r="W119"/>
  <c r="V119"/>
  <c r="T119"/>
  <c r="S119"/>
  <c r="R119"/>
  <c r="Q119"/>
  <c r="M119"/>
  <c r="U119" s="1"/>
  <c r="H119"/>
  <c r="X118"/>
  <c r="W118"/>
  <c r="V118"/>
  <c r="U118"/>
  <c r="T118"/>
  <c r="S118"/>
  <c r="R118"/>
  <c r="Q118"/>
  <c r="M118"/>
  <c r="H118"/>
  <c r="X117"/>
  <c r="W117"/>
  <c r="V117"/>
  <c r="T117"/>
  <c r="S117"/>
  <c r="R117"/>
  <c r="Q117"/>
  <c r="M117"/>
  <c r="U117" s="1"/>
  <c r="H117"/>
  <c r="X116"/>
  <c r="W116"/>
  <c r="V116"/>
  <c r="T116"/>
  <c r="S116"/>
  <c r="R116"/>
  <c r="Q116"/>
  <c r="M116"/>
  <c r="H116"/>
  <c r="M115"/>
  <c r="E115"/>
  <c r="X115" s="1"/>
  <c r="V114"/>
  <c r="T114"/>
  <c r="Q114"/>
  <c r="M114"/>
  <c r="E114"/>
  <c r="W114" s="1"/>
  <c r="X113"/>
  <c r="W113"/>
  <c r="V113"/>
  <c r="T113"/>
  <c r="S113"/>
  <c r="R113"/>
  <c r="Q113"/>
  <c r="M113"/>
  <c r="H113"/>
  <c r="X112"/>
  <c r="W112"/>
  <c r="V112"/>
  <c r="T112"/>
  <c r="S112"/>
  <c r="R112"/>
  <c r="Q112"/>
  <c r="M112"/>
  <c r="H112"/>
  <c r="X111"/>
  <c r="W111"/>
  <c r="V111"/>
  <c r="T111"/>
  <c r="S111"/>
  <c r="R111"/>
  <c r="Q111"/>
  <c r="M111"/>
  <c r="H111"/>
  <c r="X110"/>
  <c r="W110"/>
  <c r="V110"/>
  <c r="U110" s="1"/>
  <c r="T110"/>
  <c r="S110"/>
  <c r="R110"/>
  <c r="Q110"/>
  <c r="M110"/>
  <c r="H110"/>
  <c r="X109"/>
  <c r="W109"/>
  <c r="V109"/>
  <c r="T109"/>
  <c r="S109"/>
  <c r="R109"/>
  <c r="Q109"/>
  <c r="M109"/>
  <c r="H109"/>
  <c r="X108"/>
  <c r="W108"/>
  <c r="V108"/>
  <c r="T108"/>
  <c r="S108"/>
  <c r="R108"/>
  <c r="Q108"/>
  <c r="M108"/>
  <c r="H108"/>
  <c r="X107"/>
  <c r="W107"/>
  <c r="V107"/>
  <c r="T107"/>
  <c r="S107"/>
  <c r="R107"/>
  <c r="Q107"/>
  <c r="M107"/>
  <c r="H107"/>
  <c r="M106"/>
  <c r="E106"/>
  <c r="X106" s="1"/>
  <c r="X105"/>
  <c r="T105"/>
  <c r="Q105"/>
  <c r="M105"/>
  <c r="U105" s="1"/>
  <c r="E105"/>
  <c r="V105" s="1"/>
  <c r="M104"/>
  <c r="E104"/>
  <c r="T104" s="1"/>
  <c r="X103"/>
  <c r="W103"/>
  <c r="V103"/>
  <c r="T103"/>
  <c r="S103"/>
  <c r="R103"/>
  <c r="Q103"/>
  <c r="M103"/>
  <c r="H103"/>
  <c r="X102"/>
  <c r="W102"/>
  <c r="V102"/>
  <c r="U102" s="1"/>
  <c r="T102"/>
  <c r="S102"/>
  <c r="R102"/>
  <c r="Q102"/>
  <c r="M102"/>
  <c r="H102"/>
  <c r="X101"/>
  <c r="W101"/>
  <c r="V101"/>
  <c r="T101"/>
  <c r="S101"/>
  <c r="R101"/>
  <c r="Q101"/>
  <c r="M101"/>
  <c r="H101"/>
  <c r="X100"/>
  <c r="W100"/>
  <c r="V100"/>
  <c r="T100"/>
  <c r="S100"/>
  <c r="R100"/>
  <c r="Q100"/>
  <c r="M100"/>
  <c r="U100" s="1"/>
  <c r="H100"/>
  <c r="X99"/>
  <c r="W99"/>
  <c r="V99"/>
  <c r="T99"/>
  <c r="S99"/>
  <c r="R99"/>
  <c r="Q99"/>
  <c r="M99"/>
  <c r="U99" s="1"/>
  <c r="H99"/>
  <c r="X98"/>
  <c r="W98"/>
  <c r="V98"/>
  <c r="T98"/>
  <c r="S98"/>
  <c r="R98"/>
  <c r="Q98"/>
  <c r="M98"/>
  <c r="U98" s="1"/>
  <c r="H98"/>
  <c r="X97"/>
  <c r="W97"/>
  <c r="V97"/>
  <c r="T97"/>
  <c r="S97"/>
  <c r="R97"/>
  <c r="Q97"/>
  <c r="M97"/>
  <c r="U97" s="1"/>
  <c r="H97"/>
  <c r="X96"/>
  <c r="W96"/>
  <c r="V96"/>
  <c r="T96"/>
  <c r="S96"/>
  <c r="R96"/>
  <c r="Q96"/>
  <c r="M96"/>
  <c r="U96" s="1"/>
  <c r="H96"/>
  <c r="X95"/>
  <c r="W95"/>
  <c r="V95"/>
  <c r="T95"/>
  <c r="S95"/>
  <c r="R95"/>
  <c r="Q95"/>
  <c r="M95"/>
  <c r="U95" s="1"/>
  <c r="H95"/>
  <c r="X94"/>
  <c r="W94"/>
  <c r="V94"/>
  <c r="T94"/>
  <c r="S94"/>
  <c r="R94"/>
  <c r="Q94"/>
  <c r="M94"/>
  <c r="U94" s="1"/>
  <c r="H94"/>
  <c r="X93"/>
  <c r="W93"/>
  <c r="V93"/>
  <c r="U93" s="1"/>
  <c r="T93"/>
  <c r="S93"/>
  <c r="R93"/>
  <c r="Q93"/>
  <c r="M93"/>
  <c r="H93"/>
  <c r="X92"/>
  <c r="W92"/>
  <c r="V92"/>
  <c r="U92" s="1"/>
  <c r="T92"/>
  <c r="S92"/>
  <c r="R92"/>
  <c r="Q92"/>
  <c r="M92"/>
  <c r="H92"/>
  <c r="X91"/>
  <c r="W91"/>
  <c r="V91"/>
  <c r="T91"/>
  <c r="S91"/>
  <c r="R91"/>
  <c r="Q91"/>
  <c r="M91"/>
  <c r="H91"/>
  <c r="X90"/>
  <c r="W90"/>
  <c r="V90"/>
  <c r="T90"/>
  <c r="S90"/>
  <c r="R90"/>
  <c r="Q90"/>
  <c r="M90"/>
  <c r="H90"/>
  <c r="X89"/>
  <c r="W89"/>
  <c r="V89"/>
  <c r="U89" s="1"/>
  <c r="T89"/>
  <c r="S89"/>
  <c r="R89"/>
  <c r="Q89"/>
  <c r="M89"/>
  <c r="H89"/>
  <c r="X88"/>
  <c r="W88"/>
  <c r="V88"/>
  <c r="T88"/>
  <c r="S88"/>
  <c r="R88"/>
  <c r="Q88"/>
  <c r="M88"/>
  <c r="H88"/>
  <c r="X87"/>
  <c r="W87"/>
  <c r="V87"/>
  <c r="T87"/>
  <c r="S87"/>
  <c r="R87"/>
  <c r="Q87"/>
  <c r="M87"/>
  <c r="H87"/>
  <c r="X86"/>
  <c r="W86"/>
  <c r="V86"/>
  <c r="T86"/>
  <c r="S86"/>
  <c r="R86"/>
  <c r="Q86"/>
  <c r="M86"/>
  <c r="H86"/>
  <c r="X85"/>
  <c r="W85"/>
  <c r="V85"/>
  <c r="U85" s="1"/>
  <c r="T85"/>
  <c r="S85"/>
  <c r="R85"/>
  <c r="Q85"/>
  <c r="M85"/>
  <c r="H85"/>
  <c r="X84"/>
  <c r="W84"/>
  <c r="V84"/>
  <c r="U84" s="1"/>
  <c r="T84"/>
  <c r="S84"/>
  <c r="R84"/>
  <c r="Q84"/>
  <c r="M84"/>
  <c r="H84"/>
  <c r="X83"/>
  <c r="W83"/>
  <c r="V83"/>
  <c r="T83"/>
  <c r="S83"/>
  <c r="R83"/>
  <c r="Q83"/>
  <c r="M83"/>
  <c r="H83"/>
  <c r="X82"/>
  <c r="W82"/>
  <c r="V82"/>
  <c r="T82"/>
  <c r="S82"/>
  <c r="R82"/>
  <c r="Q82"/>
  <c r="M82"/>
  <c r="H82"/>
  <c r="X81"/>
  <c r="W81"/>
  <c r="V81"/>
  <c r="U81" s="1"/>
  <c r="T81"/>
  <c r="S81"/>
  <c r="R81"/>
  <c r="Q81"/>
  <c r="M81"/>
  <c r="H81"/>
  <c r="X80"/>
  <c r="W80"/>
  <c r="V80"/>
  <c r="U80" s="1"/>
  <c r="T80"/>
  <c r="S80"/>
  <c r="R80"/>
  <c r="Q80"/>
  <c r="M80"/>
  <c r="H80"/>
  <c r="X79"/>
  <c r="W79"/>
  <c r="V79"/>
  <c r="T79"/>
  <c r="S79"/>
  <c r="R79"/>
  <c r="Q79"/>
  <c r="M79"/>
  <c r="H79"/>
  <c r="X78"/>
  <c r="W78"/>
  <c r="V78"/>
  <c r="U78"/>
  <c r="T78"/>
  <c r="S78"/>
  <c r="R78"/>
  <c r="Q78"/>
  <c r="M78"/>
  <c r="H78"/>
  <c r="X77"/>
  <c r="W77"/>
  <c r="V77"/>
  <c r="U77" s="1"/>
  <c r="T77"/>
  <c r="S77"/>
  <c r="R77"/>
  <c r="Q77"/>
  <c r="M77"/>
  <c r="H77"/>
  <c r="X76"/>
  <c r="W76"/>
  <c r="V76"/>
  <c r="T76"/>
  <c r="S76"/>
  <c r="R76"/>
  <c r="Q76"/>
  <c r="M76"/>
  <c r="H76"/>
  <c r="X75"/>
  <c r="W75"/>
  <c r="V75"/>
  <c r="U75" s="1"/>
  <c r="T75"/>
  <c r="S75"/>
  <c r="R75"/>
  <c r="Q75"/>
  <c r="M75"/>
  <c r="H75"/>
  <c r="X74"/>
  <c r="W74"/>
  <c r="V74"/>
  <c r="U74" s="1"/>
  <c r="T74"/>
  <c r="S74"/>
  <c r="R74"/>
  <c r="Q74"/>
  <c r="M74"/>
  <c r="H74"/>
  <c r="X73"/>
  <c r="W73"/>
  <c r="V73"/>
  <c r="T73"/>
  <c r="S73"/>
  <c r="R73"/>
  <c r="Q73"/>
  <c r="M73"/>
  <c r="H73"/>
  <c r="X72"/>
  <c r="W72"/>
  <c r="V72"/>
  <c r="T72"/>
  <c r="S72"/>
  <c r="R72"/>
  <c r="Q72"/>
  <c r="M72"/>
  <c r="H72"/>
  <c r="X71"/>
  <c r="W71"/>
  <c r="V71"/>
  <c r="T71"/>
  <c r="S71"/>
  <c r="R71"/>
  <c r="Q71"/>
  <c r="M71"/>
  <c r="H71"/>
  <c r="X70"/>
  <c r="W70"/>
  <c r="V70"/>
  <c r="U70" s="1"/>
  <c r="T70"/>
  <c r="S70"/>
  <c r="R70"/>
  <c r="Q70"/>
  <c r="M70"/>
  <c r="H70"/>
  <c r="X69"/>
  <c r="W69"/>
  <c r="V69"/>
  <c r="T69"/>
  <c r="S69"/>
  <c r="R69"/>
  <c r="Q69"/>
  <c r="M69"/>
  <c r="H69"/>
  <c r="X68"/>
  <c r="W68"/>
  <c r="V68"/>
  <c r="T68"/>
  <c r="S68"/>
  <c r="R68"/>
  <c r="Q68"/>
  <c r="M68"/>
  <c r="H68"/>
  <c r="X67"/>
  <c r="W67"/>
  <c r="V67"/>
  <c r="T67"/>
  <c r="S67"/>
  <c r="R67"/>
  <c r="Q67"/>
  <c r="M67"/>
  <c r="H67"/>
  <c r="M66"/>
  <c r="E66"/>
  <c r="X65" s="1"/>
  <c r="W65"/>
  <c r="T65"/>
  <c r="S65"/>
  <c r="M65"/>
  <c r="H65"/>
  <c r="E65"/>
  <c r="U65" s="1"/>
  <c r="M64"/>
  <c r="E64"/>
  <c r="X64" s="1"/>
  <c r="X63"/>
  <c r="W63"/>
  <c r="V63"/>
  <c r="T63"/>
  <c r="S63"/>
  <c r="R63"/>
  <c r="Q63"/>
  <c r="M63"/>
  <c r="U63" s="1"/>
  <c r="H63"/>
  <c r="X62"/>
  <c r="W62"/>
  <c r="V62"/>
  <c r="U62" s="1"/>
  <c r="T62"/>
  <c r="S62"/>
  <c r="R62"/>
  <c r="Q62"/>
  <c r="M62"/>
  <c r="H62"/>
  <c r="X61"/>
  <c r="W61"/>
  <c r="V61"/>
  <c r="T61"/>
  <c r="S61"/>
  <c r="R61"/>
  <c r="Q61"/>
  <c r="M61"/>
  <c r="U61" s="1"/>
  <c r="H61"/>
  <c r="G61"/>
  <c r="X60"/>
  <c r="W60"/>
  <c r="V60"/>
  <c r="T60"/>
  <c r="S60"/>
  <c r="R60"/>
  <c r="Q60"/>
  <c r="M60"/>
  <c r="U60" s="1"/>
  <c r="H60"/>
  <c r="G60"/>
  <c r="X59"/>
  <c r="W59"/>
  <c r="V59"/>
  <c r="U59"/>
  <c r="T59"/>
  <c r="S59"/>
  <c r="R59"/>
  <c r="Q59"/>
  <c r="M59"/>
  <c r="H59" s="1"/>
  <c r="G59"/>
  <c r="X58"/>
  <c r="W58"/>
  <c r="V58"/>
  <c r="U58" s="1"/>
  <c r="T58"/>
  <c r="S58"/>
  <c r="R58"/>
  <c r="Q58"/>
  <c r="M58"/>
  <c r="G58"/>
  <c r="H58" s="1"/>
  <c r="X57"/>
  <c r="W57"/>
  <c r="V57"/>
  <c r="T57"/>
  <c r="S57"/>
  <c r="R57"/>
  <c r="Q57"/>
  <c r="M57"/>
  <c r="H57"/>
  <c r="X56"/>
  <c r="W56"/>
  <c r="V56"/>
  <c r="U56" s="1"/>
  <c r="T56"/>
  <c r="S56"/>
  <c r="R56"/>
  <c r="Q56"/>
  <c r="M56"/>
  <c r="H56"/>
  <c r="X55"/>
  <c r="W55"/>
  <c r="V55"/>
  <c r="U55" s="1"/>
  <c r="T55"/>
  <c r="S55"/>
  <c r="R55"/>
  <c r="Q55"/>
  <c r="M55"/>
  <c r="H55"/>
  <c r="X54"/>
  <c r="W54"/>
  <c r="V54"/>
  <c r="T54"/>
  <c r="S54"/>
  <c r="R54"/>
  <c r="Q54"/>
  <c r="M54"/>
  <c r="H54"/>
  <c r="X53"/>
  <c r="W53"/>
  <c r="V53"/>
  <c r="T53"/>
  <c r="S53"/>
  <c r="R53"/>
  <c r="Q53"/>
  <c r="M53"/>
  <c r="H53"/>
  <c r="X52"/>
  <c r="W52"/>
  <c r="V52"/>
  <c r="U52" s="1"/>
  <c r="T52"/>
  <c r="S52"/>
  <c r="R52"/>
  <c r="Q52"/>
  <c r="M52"/>
  <c r="H52"/>
  <c r="X51"/>
  <c r="W51"/>
  <c r="V51"/>
  <c r="U51" s="1"/>
  <c r="T51"/>
  <c r="S51"/>
  <c r="R51"/>
  <c r="Q51"/>
  <c r="M51"/>
  <c r="H51"/>
  <c r="X50"/>
  <c r="W50"/>
  <c r="V50"/>
  <c r="T50"/>
  <c r="S50"/>
  <c r="R50"/>
  <c r="Q50"/>
  <c r="M50"/>
  <c r="H50"/>
  <c r="X49"/>
  <c r="W49"/>
  <c r="V49"/>
  <c r="U49" s="1"/>
  <c r="T49"/>
  <c r="S49"/>
  <c r="R49"/>
  <c r="Q49"/>
  <c r="M49"/>
  <c r="H49"/>
  <c r="X48"/>
  <c r="W48"/>
  <c r="V48"/>
  <c r="U48" s="1"/>
  <c r="T48"/>
  <c r="S48"/>
  <c r="R48"/>
  <c r="Q48"/>
  <c r="M48"/>
  <c r="H48"/>
  <c r="X47"/>
  <c r="W47"/>
  <c r="V47"/>
  <c r="T47"/>
  <c r="S47"/>
  <c r="R47"/>
  <c r="Q47"/>
  <c r="M47"/>
  <c r="H47"/>
  <c r="X46"/>
  <c r="W46"/>
  <c r="V46"/>
  <c r="T46"/>
  <c r="S46"/>
  <c r="R46"/>
  <c r="Q46"/>
  <c r="M46"/>
  <c r="H46"/>
  <c r="X45"/>
  <c r="W45"/>
  <c r="V45"/>
  <c r="T45"/>
  <c r="S45"/>
  <c r="R45"/>
  <c r="Q45"/>
  <c r="M45"/>
  <c r="H45"/>
  <c r="X44"/>
  <c r="W44"/>
  <c r="V44"/>
  <c r="U44" s="1"/>
  <c r="T44"/>
  <c r="S44"/>
  <c r="R44"/>
  <c r="Q44"/>
  <c r="M44"/>
  <c r="H44"/>
  <c r="X43"/>
  <c r="W43"/>
  <c r="V43"/>
  <c r="T43"/>
  <c r="S43"/>
  <c r="R43"/>
  <c r="Q43"/>
  <c r="M43"/>
  <c r="H43"/>
  <c r="X42"/>
  <c r="W42"/>
  <c r="V42"/>
  <c r="T42"/>
  <c r="S42"/>
  <c r="R42"/>
  <c r="Q42"/>
  <c r="M42"/>
  <c r="H42"/>
  <c r="X41"/>
  <c r="W41"/>
  <c r="V41"/>
  <c r="T41"/>
  <c r="S41"/>
  <c r="R41"/>
  <c r="Q41"/>
  <c r="M41"/>
  <c r="H41"/>
  <c r="X40"/>
  <c r="W40"/>
  <c r="V40"/>
  <c r="U40" s="1"/>
  <c r="T40"/>
  <c r="S40"/>
  <c r="R40"/>
  <c r="Q40"/>
  <c r="M40"/>
  <c r="H40"/>
  <c r="X39"/>
  <c r="W39"/>
  <c r="V39"/>
  <c r="T39"/>
  <c r="S39"/>
  <c r="R39"/>
  <c r="Q39"/>
  <c r="M39"/>
  <c r="U39" s="1"/>
  <c r="H39"/>
  <c r="X38"/>
  <c r="W38"/>
  <c r="V38"/>
  <c r="T38"/>
  <c r="S38"/>
  <c r="R38"/>
  <c r="Q38"/>
  <c r="M38"/>
  <c r="H38"/>
  <c r="X37"/>
  <c r="W37"/>
  <c r="V37"/>
  <c r="U37" s="1"/>
  <c r="T37"/>
  <c r="S37"/>
  <c r="R37"/>
  <c r="Q37"/>
  <c r="M37"/>
  <c r="H37"/>
  <c r="X36"/>
  <c r="W36"/>
  <c r="V36"/>
  <c r="T36"/>
  <c r="S36"/>
  <c r="R36"/>
  <c r="Q36"/>
  <c r="M36"/>
  <c r="U36" s="1"/>
  <c r="H36"/>
  <c r="X35"/>
  <c r="W35"/>
  <c r="V35"/>
  <c r="T35"/>
  <c r="S35"/>
  <c r="R35"/>
  <c r="Q35"/>
  <c r="M35"/>
  <c r="H35"/>
  <c r="X34"/>
  <c r="W34"/>
  <c r="V34"/>
  <c r="U34" s="1"/>
  <c r="T34"/>
  <c r="S34"/>
  <c r="R34"/>
  <c r="Q34"/>
  <c r="M34"/>
  <c r="H34"/>
  <c r="X33"/>
  <c r="W33"/>
  <c r="V33"/>
  <c r="T33"/>
  <c r="S33"/>
  <c r="R33"/>
  <c r="Q33"/>
  <c r="M33"/>
  <c r="H33"/>
  <c r="X32"/>
  <c r="W32"/>
  <c r="V32"/>
  <c r="T32"/>
  <c r="S32"/>
  <c r="R32"/>
  <c r="Q32"/>
  <c r="M32"/>
  <c r="H32"/>
  <c r="X31"/>
  <c r="W31"/>
  <c r="V31"/>
  <c r="T31"/>
  <c r="S31"/>
  <c r="R31"/>
  <c r="Q31"/>
  <c r="M31"/>
  <c r="H31"/>
  <c r="X30"/>
  <c r="W30"/>
  <c r="V30"/>
  <c r="T30"/>
  <c r="S30"/>
  <c r="R30"/>
  <c r="Q30"/>
  <c r="M30"/>
  <c r="U30" s="1"/>
  <c r="H30"/>
  <c r="X29"/>
  <c r="W29"/>
  <c r="V29"/>
  <c r="T29"/>
  <c r="S29"/>
  <c r="R29"/>
  <c r="Q29"/>
  <c r="M29"/>
  <c r="H29"/>
  <c r="X28"/>
  <c r="W28"/>
  <c r="V28"/>
  <c r="T28"/>
  <c r="S28"/>
  <c r="R28"/>
  <c r="Q28"/>
  <c r="M28"/>
  <c r="H28"/>
  <c r="X27"/>
  <c r="W27"/>
  <c r="V27"/>
  <c r="U27" s="1"/>
  <c r="T27"/>
  <c r="S27"/>
  <c r="R27"/>
  <c r="Q27"/>
  <c r="M27"/>
  <c r="H27"/>
  <c r="X26"/>
  <c r="W26"/>
  <c r="V26"/>
  <c r="T26"/>
  <c r="S26"/>
  <c r="R26"/>
  <c r="Q26"/>
  <c r="M26"/>
  <c r="H26"/>
  <c r="X25"/>
  <c r="W25"/>
  <c r="V25"/>
  <c r="T25"/>
  <c r="S25"/>
  <c r="R25"/>
  <c r="Q25"/>
  <c r="M25"/>
  <c r="H25"/>
  <c r="V24"/>
  <c r="T24"/>
  <c r="Q24"/>
  <c r="M24"/>
  <c r="H24"/>
  <c r="E24"/>
  <c r="W24" s="1"/>
  <c r="X23"/>
  <c r="W23"/>
  <c r="V23"/>
  <c r="U23" s="1"/>
  <c r="T23"/>
  <c r="S23"/>
  <c r="R23"/>
  <c r="Q23"/>
  <c r="M23"/>
  <c r="H23"/>
  <c r="X22"/>
  <c r="T22"/>
  <c r="S22"/>
  <c r="M22"/>
  <c r="H22"/>
  <c r="E22"/>
  <c r="V22" s="1"/>
  <c r="U22" s="1"/>
  <c r="X21"/>
  <c r="W21"/>
  <c r="V21"/>
  <c r="U21" s="1"/>
  <c r="T21"/>
  <c r="S21"/>
  <c r="R21"/>
  <c r="Q21"/>
  <c r="M21"/>
  <c r="H21"/>
  <c r="X20"/>
  <c r="W20"/>
  <c r="V20"/>
  <c r="U20" s="1"/>
  <c r="T20"/>
  <c r="S20"/>
  <c r="R20"/>
  <c r="Q20"/>
  <c r="M20"/>
  <c r="H20"/>
  <c r="X19"/>
  <c r="W19"/>
  <c r="V19"/>
  <c r="T19"/>
  <c r="S19"/>
  <c r="R19"/>
  <c r="Q19"/>
  <c r="M19"/>
  <c r="H19"/>
  <c r="V18"/>
  <c r="U18"/>
  <c r="R18"/>
  <c r="Q18"/>
  <c r="M18"/>
  <c r="H18" s="1"/>
  <c r="E18"/>
  <c r="W18" s="1"/>
  <c r="X17"/>
  <c r="W17"/>
  <c r="V17"/>
  <c r="U17" s="1"/>
  <c r="T17"/>
  <c r="S17"/>
  <c r="R17"/>
  <c r="Q17"/>
  <c r="M17"/>
  <c r="H17"/>
  <c r="X16"/>
  <c r="W16"/>
  <c r="V16"/>
  <c r="T16"/>
  <c r="S16"/>
  <c r="R16"/>
  <c r="Q16"/>
  <c r="M16"/>
  <c r="H16"/>
  <c r="X15"/>
  <c r="W15"/>
  <c r="V15"/>
  <c r="U15"/>
  <c r="T15"/>
  <c r="S15"/>
  <c r="R15"/>
  <c r="Q15"/>
  <c r="M15"/>
  <c r="H15"/>
  <c r="X14"/>
  <c r="W14"/>
  <c r="V14"/>
  <c r="T14"/>
  <c r="S14"/>
  <c r="R14"/>
  <c r="Q14"/>
  <c r="M14"/>
  <c r="H14"/>
  <c r="X13"/>
  <c r="T13"/>
  <c r="S13"/>
  <c r="M13"/>
  <c r="H13"/>
  <c r="E13"/>
  <c r="V13" s="1"/>
  <c r="U13" s="1"/>
  <c r="M12"/>
  <c r="E12"/>
  <c r="X12" s="1"/>
  <c r="X11"/>
  <c r="T11"/>
  <c r="S11"/>
  <c r="M11"/>
  <c r="H11"/>
  <c r="E11"/>
  <c r="V10"/>
  <c r="U10" s="1"/>
  <c r="T10"/>
  <c r="Q10"/>
  <c r="M10"/>
  <c r="H10"/>
  <c r="E10"/>
  <c r="W10" s="1"/>
  <c r="X9"/>
  <c r="S9"/>
  <c r="R9"/>
  <c r="M9"/>
  <c r="H9"/>
  <c r="E9"/>
  <c r="T9" s="1"/>
  <c r="V8"/>
  <c r="T8"/>
  <c r="Q8"/>
  <c r="M8"/>
  <c r="E8"/>
  <c r="W8" s="1"/>
  <c r="U8" l="1"/>
  <c r="R12"/>
  <c r="U24"/>
  <c r="U28"/>
  <c r="U31"/>
  <c r="U35"/>
  <c r="U38"/>
  <c r="U41"/>
  <c r="U45"/>
  <c r="U53"/>
  <c r="U57"/>
  <c r="R64"/>
  <c r="W64"/>
  <c r="R66"/>
  <c r="W66"/>
  <c r="U67"/>
  <c r="U71"/>
  <c r="U82"/>
  <c r="U86"/>
  <c r="U90"/>
  <c r="U103"/>
  <c r="H104"/>
  <c r="S104"/>
  <c r="X104"/>
  <c r="S106"/>
  <c r="W106"/>
  <c r="U107"/>
  <c r="U111"/>
  <c r="U114"/>
  <c r="H115"/>
  <c r="S115"/>
  <c r="W115"/>
  <c r="U116"/>
  <c r="R123"/>
  <c r="W123"/>
  <c r="R127"/>
  <c r="V127"/>
  <c r="U132"/>
  <c r="R139"/>
  <c r="W139"/>
  <c r="U140"/>
  <c r="U146"/>
  <c r="U152"/>
  <c r="U155"/>
  <c r="R157"/>
  <c r="W157"/>
  <c r="W12"/>
  <c r="Q64"/>
  <c r="V64"/>
  <c r="U64" s="1"/>
  <c r="Q66"/>
  <c r="V66"/>
  <c r="U66" s="1"/>
  <c r="R104"/>
  <c r="W104"/>
  <c r="R106"/>
  <c r="V106"/>
  <c r="R115"/>
  <c r="V115"/>
  <c r="Q123"/>
  <c r="V123"/>
  <c r="Q127"/>
  <c r="U127"/>
  <c r="Q139"/>
  <c r="V139"/>
  <c r="U139" s="1"/>
  <c r="Q157"/>
  <c r="V157"/>
  <c r="U157" s="1"/>
  <c r="V92" i="26"/>
  <c r="U92" s="1"/>
  <c r="T92" s="1"/>
  <c r="S92" s="1"/>
  <c r="R92" s="1"/>
  <c r="Q92" s="1"/>
  <c r="V12" i="25"/>
  <c r="U12" s="1"/>
  <c r="H8"/>
  <c r="S8"/>
  <c r="X8"/>
  <c r="Q9"/>
  <c r="V9"/>
  <c r="U9" s="1"/>
  <c r="S10"/>
  <c r="X10"/>
  <c r="R11"/>
  <c r="W11"/>
  <c r="T12"/>
  <c r="T161" s="1"/>
  <c r="R13"/>
  <c r="W13"/>
  <c r="U14"/>
  <c r="T18"/>
  <c r="X18"/>
  <c r="R22"/>
  <c r="W22"/>
  <c r="S24"/>
  <c r="X24"/>
  <c r="U26"/>
  <c r="U33"/>
  <c r="U43"/>
  <c r="U47"/>
  <c r="T64"/>
  <c r="R65"/>
  <c r="V65"/>
  <c r="T66"/>
  <c r="U69"/>
  <c r="U73"/>
  <c r="U88"/>
  <c r="U101"/>
  <c r="Q104"/>
  <c r="V104"/>
  <c r="U104" s="1"/>
  <c r="H105"/>
  <c r="S105"/>
  <c r="W105"/>
  <c r="Q106"/>
  <c r="U106"/>
  <c r="U109"/>
  <c r="U113"/>
  <c r="H114"/>
  <c r="S114"/>
  <c r="X114"/>
  <c r="Q115"/>
  <c r="U115"/>
  <c r="H122"/>
  <c r="S122"/>
  <c r="W122"/>
  <c r="U123"/>
  <c r="T123" s="1"/>
  <c r="T127"/>
  <c r="X127"/>
  <c r="U136"/>
  <c r="T139"/>
  <c r="U142"/>
  <c r="R144"/>
  <c r="W144"/>
  <c r="S146"/>
  <c r="W146"/>
  <c r="T157"/>
  <c r="W9"/>
  <c r="W161" s="1"/>
  <c r="Q12"/>
  <c r="R8"/>
  <c r="R10"/>
  <c r="Q11"/>
  <c r="Q161" s="1"/>
  <c r="V11"/>
  <c r="U11" s="1"/>
  <c r="H12"/>
  <c r="S12"/>
  <c r="Q13"/>
  <c r="U16"/>
  <c r="S18"/>
  <c r="U19"/>
  <c r="Q22"/>
  <c r="R24"/>
  <c r="U25"/>
  <c r="U29"/>
  <c r="U32"/>
  <c r="U42"/>
  <c r="U46"/>
  <c r="U50"/>
  <c r="U54"/>
  <c r="H64"/>
  <c r="S64"/>
  <c r="Q65"/>
  <c r="H66"/>
  <c r="S66"/>
  <c r="X66"/>
  <c r="U68"/>
  <c r="U72"/>
  <c r="U76"/>
  <c r="U79"/>
  <c r="U83"/>
  <c r="U87"/>
  <c r="U91"/>
  <c r="R105"/>
  <c r="H106"/>
  <c r="T106"/>
  <c r="U108"/>
  <c r="U112"/>
  <c r="R114"/>
  <c r="T115"/>
  <c r="R122"/>
  <c r="H123"/>
  <c r="S123"/>
  <c r="H127"/>
  <c r="S127"/>
  <c r="U128"/>
  <c r="H139"/>
  <c r="S139"/>
  <c r="U141"/>
  <c r="Q144"/>
  <c r="R146"/>
  <c r="U153"/>
  <c r="U156"/>
  <c r="H157"/>
  <c r="S157"/>
  <c r="W119" i="27"/>
  <c r="V119" s="1"/>
  <c r="U119" s="1"/>
  <c r="T119" s="1"/>
  <c r="S119" s="1"/>
  <c r="R119" s="1"/>
  <c r="Q119" s="1"/>
  <c r="H119" s="1"/>
  <c r="V118"/>
  <c r="X151" i="24"/>
  <c r="W151"/>
  <c r="V151"/>
  <c r="T151"/>
  <c r="S151"/>
  <c r="R151"/>
  <c r="Q151"/>
  <c r="M151"/>
  <c r="H151"/>
  <c r="X150"/>
  <c r="W150"/>
  <c r="V150"/>
  <c r="U150" s="1"/>
  <c r="T150"/>
  <c r="S150"/>
  <c r="R150"/>
  <c r="Q150"/>
  <c r="M150"/>
  <c r="H150"/>
  <c r="X149"/>
  <c r="W149"/>
  <c r="V149"/>
  <c r="U149"/>
  <c r="T149"/>
  <c r="S149"/>
  <c r="R149"/>
  <c r="Q149"/>
  <c r="M149"/>
  <c r="H149"/>
  <c r="X148"/>
  <c r="W148"/>
  <c r="V148"/>
  <c r="U148"/>
  <c r="T148"/>
  <c r="S148"/>
  <c r="R148"/>
  <c r="Q148"/>
  <c r="M148"/>
  <c r="H148"/>
  <c r="X147"/>
  <c r="W147"/>
  <c r="V147"/>
  <c r="U147"/>
  <c r="T147"/>
  <c r="S147"/>
  <c r="R147"/>
  <c r="Q147"/>
  <c r="M147"/>
  <c r="H147"/>
  <c r="X146"/>
  <c r="W146"/>
  <c r="V146"/>
  <c r="U146" s="1"/>
  <c r="T146"/>
  <c r="S146"/>
  <c r="R146"/>
  <c r="Q146"/>
  <c r="M146"/>
  <c r="H146"/>
  <c r="X145"/>
  <c r="W145"/>
  <c r="V145"/>
  <c r="U145" s="1"/>
  <c r="T145"/>
  <c r="S145"/>
  <c r="R145"/>
  <c r="Q145"/>
  <c r="M145"/>
  <c r="H145"/>
  <c r="X144"/>
  <c r="W144"/>
  <c r="V144"/>
  <c r="T144"/>
  <c r="S144"/>
  <c r="R144"/>
  <c r="Q144"/>
  <c r="M144"/>
  <c r="H144"/>
  <c r="X143"/>
  <c r="W143"/>
  <c r="V143"/>
  <c r="U143" s="1"/>
  <c r="T143"/>
  <c r="S143"/>
  <c r="R143"/>
  <c r="Q143"/>
  <c r="M143"/>
  <c r="H143"/>
  <c r="X142"/>
  <c r="W142"/>
  <c r="V142"/>
  <c r="U142" s="1"/>
  <c r="T142"/>
  <c r="S142"/>
  <c r="R142"/>
  <c r="Q142"/>
  <c r="M142"/>
  <c r="H142"/>
  <c r="X141"/>
  <c r="W141"/>
  <c r="V141"/>
  <c r="U141" s="1"/>
  <c r="T141"/>
  <c r="S141"/>
  <c r="R141"/>
  <c r="Q141"/>
  <c r="M141"/>
  <c r="H141"/>
  <c r="R161" i="25" l="1"/>
  <c r="S161"/>
  <c r="U151" i="24"/>
  <c r="X161" i="25"/>
  <c r="X162" s="1"/>
  <c r="W162" s="1"/>
  <c r="U161"/>
  <c r="V161"/>
  <c r="U144" i="24"/>
  <c r="H161" i="25"/>
  <c r="H162" s="1"/>
  <c r="M140" i="24"/>
  <c r="E140"/>
  <c r="U140" s="1"/>
  <c r="X139"/>
  <c r="W139"/>
  <c r="V139"/>
  <c r="T139"/>
  <c r="S139"/>
  <c r="R139"/>
  <c r="Q139"/>
  <c r="M139"/>
  <c r="H139"/>
  <c r="X138"/>
  <c r="W138"/>
  <c r="V138"/>
  <c r="T138"/>
  <c r="S138"/>
  <c r="R138"/>
  <c r="Q138"/>
  <c r="M138"/>
  <c r="U138" s="1"/>
  <c r="H138"/>
  <c r="X137"/>
  <c r="W137"/>
  <c r="V137"/>
  <c r="U137" s="1"/>
  <c r="T137"/>
  <c r="S137"/>
  <c r="R137"/>
  <c r="Q137"/>
  <c r="M137"/>
  <c r="H137"/>
  <c r="X136"/>
  <c r="W136"/>
  <c r="V136"/>
  <c r="T136"/>
  <c r="S136"/>
  <c r="R136"/>
  <c r="Q136"/>
  <c r="M136"/>
  <c r="H136"/>
  <c r="X135"/>
  <c r="W135"/>
  <c r="V135"/>
  <c r="T135"/>
  <c r="S135"/>
  <c r="R135"/>
  <c r="Q135"/>
  <c r="M135"/>
  <c r="U135" s="1"/>
  <c r="H135"/>
  <c r="X134"/>
  <c r="W134"/>
  <c r="V134"/>
  <c r="T134"/>
  <c r="S134"/>
  <c r="R134"/>
  <c r="Q134"/>
  <c r="M134"/>
  <c r="U134" s="1"/>
  <c r="H134"/>
  <c r="X133"/>
  <c r="W133"/>
  <c r="V133"/>
  <c r="U133" s="1"/>
  <c r="T133"/>
  <c r="S133"/>
  <c r="R133"/>
  <c r="Q133"/>
  <c r="M133"/>
  <c r="H133"/>
  <c r="X132"/>
  <c r="W132"/>
  <c r="V132"/>
  <c r="T132"/>
  <c r="S132"/>
  <c r="R132"/>
  <c r="Q132"/>
  <c r="M132"/>
  <c r="H132"/>
  <c r="X131"/>
  <c r="W131"/>
  <c r="V131"/>
  <c r="U131" s="1"/>
  <c r="T131"/>
  <c r="S131"/>
  <c r="R131"/>
  <c r="Q131"/>
  <c r="M131"/>
  <c r="H131"/>
  <c r="X130"/>
  <c r="W130"/>
  <c r="V130"/>
  <c r="U130" s="1"/>
  <c r="T130"/>
  <c r="S130"/>
  <c r="R130"/>
  <c r="Q130"/>
  <c r="M130"/>
  <c r="H130"/>
  <c r="X129"/>
  <c r="W129"/>
  <c r="V129"/>
  <c r="T129"/>
  <c r="S129"/>
  <c r="R129"/>
  <c r="Q129"/>
  <c r="M129"/>
  <c r="U129" s="1"/>
  <c r="H129"/>
  <c r="X128"/>
  <c r="W128"/>
  <c r="V128"/>
  <c r="U128" s="1"/>
  <c r="T128"/>
  <c r="S128"/>
  <c r="R128"/>
  <c r="Q128"/>
  <c r="M128"/>
  <c r="H128"/>
  <c r="X127"/>
  <c r="W127"/>
  <c r="V127"/>
  <c r="U127" s="1"/>
  <c r="T127"/>
  <c r="S127"/>
  <c r="R127"/>
  <c r="Q127"/>
  <c r="M127"/>
  <c r="H127"/>
  <c r="X126"/>
  <c r="W126"/>
  <c r="V126"/>
  <c r="T126"/>
  <c r="S126"/>
  <c r="R126"/>
  <c r="Q126"/>
  <c r="M126"/>
  <c r="U126" s="1"/>
  <c r="H126"/>
  <c r="X125"/>
  <c r="W125"/>
  <c r="V125"/>
  <c r="T125"/>
  <c r="S125"/>
  <c r="R125"/>
  <c r="Q125"/>
  <c r="M125"/>
  <c r="U125" s="1"/>
  <c r="H125"/>
  <c r="X124"/>
  <c r="W124"/>
  <c r="V124"/>
  <c r="T124"/>
  <c r="S124"/>
  <c r="R124"/>
  <c r="Q124"/>
  <c r="M124"/>
  <c r="U124" s="1"/>
  <c r="H124"/>
  <c r="X123"/>
  <c r="W123"/>
  <c r="V123"/>
  <c r="T123"/>
  <c r="S123"/>
  <c r="R123"/>
  <c r="Q123"/>
  <c r="M123"/>
  <c r="U123" s="1"/>
  <c r="H123"/>
  <c r="X122"/>
  <c r="W122"/>
  <c r="V122"/>
  <c r="T122"/>
  <c r="S122"/>
  <c r="R122"/>
  <c r="Q122"/>
  <c r="M122"/>
  <c r="U122" s="1"/>
  <c r="H122"/>
  <c r="X121"/>
  <c r="W121"/>
  <c r="V121"/>
  <c r="U121" s="1"/>
  <c r="T121"/>
  <c r="S121"/>
  <c r="R121"/>
  <c r="Q121"/>
  <c r="M121"/>
  <c r="H121"/>
  <c r="X120"/>
  <c r="W120"/>
  <c r="V120"/>
  <c r="T120"/>
  <c r="S120"/>
  <c r="R120"/>
  <c r="Q120"/>
  <c r="M120"/>
  <c r="H120"/>
  <c r="X119"/>
  <c r="W119"/>
  <c r="V119"/>
  <c r="T119"/>
  <c r="S119"/>
  <c r="R119"/>
  <c r="Q119"/>
  <c r="M119"/>
  <c r="U119" s="1"/>
  <c r="H119"/>
  <c r="X118"/>
  <c r="W118"/>
  <c r="V118"/>
  <c r="T118"/>
  <c r="S118"/>
  <c r="R118"/>
  <c r="Q118"/>
  <c r="M118"/>
  <c r="U118" s="1"/>
  <c r="H118"/>
  <c r="X117"/>
  <c r="W117"/>
  <c r="V117"/>
  <c r="T117"/>
  <c r="S117"/>
  <c r="R117"/>
  <c r="Q117"/>
  <c r="M117"/>
  <c r="U117" s="1"/>
  <c r="H117"/>
  <c r="X116"/>
  <c r="W116"/>
  <c r="V116"/>
  <c r="U116" s="1"/>
  <c r="T116"/>
  <c r="S116"/>
  <c r="R116"/>
  <c r="Q116"/>
  <c r="M116"/>
  <c r="H116"/>
  <c r="X115"/>
  <c r="W115"/>
  <c r="V115"/>
  <c r="U115" s="1"/>
  <c r="T115"/>
  <c r="S115"/>
  <c r="R115"/>
  <c r="Q115"/>
  <c r="M115"/>
  <c r="H115"/>
  <c r="M114"/>
  <c r="E114"/>
  <c r="X114" s="1"/>
  <c r="X113"/>
  <c r="W113"/>
  <c r="V113"/>
  <c r="T113"/>
  <c r="S113"/>
  <c r="R113"/>
  <c r="Q113"/>
  <c r="M113"/>
  <c r="H113"/>
  <c r="X112"/>
  <c r="W112"/>
  <c r="V112"/>
  <c r="U112"/>
  <c r="T112"/>
  <c r="S112"/>
  <c r="R112"/>
  <c r="Q112"/>
  <c r="M112"/>
  <c r="H112"/>
  <c r="X111"/>
  <c r="W111"/>
  <c r="V111"/>
  <c r="T111"/>
  <c r="S111"/>
  <c r="R111"/>
  <c r="Q111"/>
  <c r="M111"/>
  <c r="U111" s="1"/>
  <c r="H111"/>
  <c r="X110"/>
  <c r="W110"/>
  <c r="V110"/>
  <c r="U110"/>
  <c r="T110"/>
  <c r="S110"/>
  <c r="R110"/>
  <c r="Q110"/>
  <c r="M110"/>
  <c r="H110"/>
  <c r="X109"/>
  <c r="W109"/>
  <c r="V109"/>
  <c r="T109"/>
  <c r="S109"/>
  <c r="R109"/>
  <c r="Q109"/>
  <c r="M109"/>
  <c r="H109"/>
  <c r="X108"/>
  <c r="V108"/>
  <c r="S108"/>
  <c r="Q108"/>
  <c r="M108"/>
  <c r="U108" s="1"/>
  <c r="T108" s="1"/>
  <c r="H108"/>
  <c r="E108"/>
  <c r="W108" s="1"/>
  <c r="X107"/>
  <c r="W107"/>
  <c r="V107"/>
  <c r="U107" s="1"/>
  <c r="T107"/>
  <c r="S107"/>
  <c r="R107"/>
  <c r="Q107"/>
  <c r="M107"/>
  <c r="H107"/>
  <c r="X106"/>
  <c r="W106"/>
  <c r="V106"/>
  <c r="T106"/>
  <c r="S106"/>
  <c r="R106"/>
  <c r="Q106"/>
  <c r="M106"/>
  <c r="H106"/>
  <c r="X105"/>
  <c r="W105"/>
  <c r="V105"/>
  <c r="U105"/>
  <c r="T105"/>
  <c r="S105"/>
  <c r="R105"/>
  <c r="Q105"/>
  <c r="M105"/>
  <c r="H105"/>
  <c r="X104"/>
  <c r="W104"/>
  <c r="V104"/>
  <c r="T104"/>
  <c r="S104"/>
  <c r="R104"/>
  <c r="Q104"/>
  <c r="M104"/>
  <c r="U104" s="1"/>
  <c r="H104"/>
  <c r="X103"/>
  <c r="W103"/>
  <c r="V103"/>
  <c r="T103"/>
  <c r="S103"/>
  <c r="R103"/>
  <c r="Q103"/>
  <c r="R114" l="1"/>
  <c r="W114"/>
  <c r="U120"/>
  <c r="U136"/>
  <c r="U139"/>
  <c r="H140"/>
  <c r="T140"/>
  <c r="X140"/>
  <c r="Q114"/>
  <c r="V114"/>
  <c r="S140"/>
  <c r="R140" s="1"/>
  <c r="W140"/>
  <c r="U106"/>
  <c r="R108"/>
  <c r="U109"/>
  <c r="U114"/>
  <c r="T114" s="1"/>
  <c r="U132"/>
  <c r="Q140"/>
  <c r="V140"/>
  <c r="U113"/>
  <c r="H114"/>
  <c r="S114"/>
  <c r="V162" i="25"/>
  <c r="U162" s="1"/>
  <c r="T162" s="1"/>
  <c r="S162" s="1"/>
  <c r="R162" s="1"/>
  <c r="Q162" s="1"/>
  <c r="M103" i="24"/>
  <c r="U103" s="1"/>
  <c r="H103"/>
  <c r="X102"/>
  <c r="W102"/>
  <c r="V102"/>
  <c r="T102"/>
  <c r="S102"/>
  <c r="R102"/>
  <c r="Q102"/>
  <c r="M102"/>
  <c r="H102"/>
  <c r="X101"/>
  <c r="W101"/>
  <c r="V101"/>
  <c r="T101"/>
  <c r="S101"/>
  <c r="R101"/>
  <c r="Q101"/>
  <c r="M101"/>
  <c r="H101"/>
  <c r="X100"/>
  <c r="V100"/>
  <c r="U100"/>
  <c r="T100"/>
  <c r="R100"/>
  <c r="Q100"/>
  <c r="M100"/>
  <c r="H100" s="1"/>
  <c r="E100"/>
  <c r="W100" s="1"/>
  <c r="X99"/>
  <c r="W99"/>
  <c r="V99"/>
  <c r="U99" s="1"/>
  <c r="T99"/>
  <c r="S99"/>
  <c r="R99"/>
  <c r="Q99"/>
  <c r="M99"/>
  <c r="H99"/>
  <c r="S100" l="1"/>
  <c r="U101"/>
  <c r="U102"/>
  <c r="X98"/>
  <c r="W98"/>
  <c r="V98"/>
  <c r="U98"/>
  <c r="T98"/>
  <c r="S98"/>
  <c r="R98"/>
  <c r="Q98"/>
  <c r="M98"/>
  <c r="H98"/>
  <c r="S97"/>
  <c r="M97"/>
  <c r="H97"/>
  <c r="E97"/>
  <c r="V97" s="1"/>
  <c r="M96"/>
  <c r="E96"/>
  <c r="U96" s="1"/>
  <c r="X95"/>
  <c r="T95"/>
  <c r="Q95"/>
  <c r="M95"/>
  <c r="U95" s="1"/>
  <c r="E95"/>
  <c r="V95" s="1"/>
  <c r="M94"/>
  <c r="E94"/>
  <c r="W94" s="1"/>
  <c r="X93"/>
  <c r="W93"/>
  <c r="V93"/>
  <c r="T93"/>
  <c r="S93"/>
  <c r="R93"/>
  <c r="Q93"/>
  <c r="M93"/>
  <c r="H93"/>
  <c r="M92"/>
  <c r="E92"/>
  <c r="V92" s="1"/>
  <c r="X91"/>
  <c r="W91"/>
  <c r="V91"/>
  <c r="T91"/>
  <c r="S91"/>
  <c r="R91"/>
  <c r="Q91"/>
  <c r="M91"/>
  <c r="G91"/>
  <c r="H91" s="1"/>
  <c r="X90"/>
  <c r="W90"/>
  <c r="V90"/>
  <c r="T90"/>
  <c r="S90"/>
  <c r="R90"/>
  <c r="Q90"/>
  <c r="M90"/>
  <c r="H90"/>
  <c r="X89"/>
  <c r="T89"/>
  <c r="S89"/>
  <c r="Q89"/>
  <c r="M89"/>
  <c r="U89" s="1"/>
  <c r="H89"/>
  <c r="E89"/>
  <c r="V89" s="1"/>
  <c r="X88"/>
  <c r="W88"/>
  <c r="V88"/>
  <c r="T88"/>
  <c r="S88"/>
  <c r="R88"/>
  <c r="Q88"/>
  <c r="M88"/>
  <c r="U88" s="1"/>
  <c r="H88"/>
  <c r="X87"/>
  <c r="W87"/>
  <c r="V87"/>
  <c r="U87"/>
  <c r="T87"/>
  <c r="S87"/>
  <c r="R87"/>
  <c r="Q87"/>
  <c r="M87"/>
  <c r="H87"/>
  <c r="X86"/>
  <c r="W86"/>
  <c r="V86"/>
  <c r="T86"/>
  <c r="S86"/>
  <c r="R86"/>
  <c r="Q86"/>
  <c r="M86"/>
  <c r="U86" s="1"/>
  <c r="H86"/>
  <c r="X85"/>
  <c r="W85"/>
  <c r="V85"/>
  <c r="U85"/>
  <c r="T85"/>
  <c r="S85"/>
  <c r="R85"/>
  <c r="Q85"/>
  <c r="M85"/>
  <c r="H85"/>
  <c r="X84"/>
  <c r="W84"/>
  <c r="V84"/>
  <c r="T84"/>
  <c r="S84"/>
  <c r="R84"/>
  <c r="Q84"/>
  <c r="M84"/>
  <c r="U84" s="1"/>
  <c r="H84"/>
  <c r="X83"/>
  <c r="W83"/>
  <c r="V83"/>
  <c r="T83"/>
  <c r="S83"/>
  <c r="R83"/>
  <c r="Q83"/>
  <c r="M83"/>
  <c r="H83"/>
  <c r="X82"/>
  <c r="W82"/>
  <c r="V82"/>
  <c r="T82"/>
  <c r="S82"/>
  <c r="R82"/>
  <c r="Q82"/>
  <c r="M82"/>
  <c r="U82" s="1"/>
  <c r="H82"/>
  <c r="X81"/>
  <c r="T81"/>
  <c r="Q81"/>
  <c r="M81"/>
  <c r="U81" s="1"/>
  <c r="E81"/>
  <c r="V81" s="1"/>
  <c r="X80"/>
  <c r="W80"/>
  <c r="V80"/>
  <c r="T80"/>
  <c r="S80"/>
  <c r="R80"/>
  <c r="Q80"/>
  <c r="M80"/>
  <c r="U80" s="1"/>
  <c r="H80"/>
  <c r="X79"/>
  <c r="W79"/>
  <c r="V79"/>
  <c r="U79"/>
  <c r="T79"/>
  <c r="S79"/>
  <c r="R79"/>
  <c r="Q79"/>
  <c r="M79"/>
  <c r="H79"/>
  <c r="X78"/>
  <c r="W78"/>
  <c r="V78"/>
  <c r="T78"/>
  <c r="S78"/>
  <c r="R78"/>
  <c r="Q78"/>
  <c r="M78"/>
  <c r="U78" s="1"/>
  <c r="H78"/>
  <c r="X77"/>
  <c r="W77"/>
  <c r="V77"/>
  <c r="U77"/>
  <c r="T77"/>
  <c r="S77"/>
  <c r="R77"/>
  <c r="Q77"/>
  <c r="M77"/>
  <c r="H77"/>
  <c r="X76"/>
  <c r="W76"/>
  <c r="V76"/>
  <c r="T76"/>
  <c r="S76"/>
  <c r="R76"/>
  <c r="Q76"/>
  <c r="M76"/>
  <c r="U76" s="1"/>
  <c r="H76"/>
  <c r="X75"/>
  <c r="W75"/>
  <c r="V75"/>
  <c r="U75"/>
  <c r="T75"/>
  <c r="S75"/>
  <c r="R75"/>
  <c r="Q75"/>
  <c r="M75"/>
  <c r="H75"/>
  <c r="X74"/>
  <c r="W74"/>
  <c r="V74"/>
  <c r="T74"/>
  <c r="S74"/>
  <c r="R74"/>
  <c r="Q74"/>
  <c r="M74"/>
  <c r="U74" s="1"/>
  <c r="H74"/>
  <c r="X73"/>
  <c r="W73"/>
  <c r="V73"/>
  <c r="U73"/>
  <c r="T73"/>
  <c r="S73"/>
  <c r="R73"/>
  <c r="Q73"/>
  <c r="M73"/>
  <c r="H73"/>
  <c r="X72"/>
  <c r="W72"/>
  <c r="V72"/>
  <c r="T72"/>
  <c r="S72"/>
  <c r="R72"/>
  <c r="Q72"/>
  <c r="M72"/>
  <c r="U72" s="1"/>
  <c r="H72"/>
  <c r="X71"/>
  <c r="W71"/>
  <c r="V71"/>
  <c r="U71"/>
  <c r="T71"/>
  <c r="S71"/>
  <c r="R71"/>
  <c r="Q71"/>
  <c r="M71"/>
  <c r="H71"/>
  <c r="X70"/>
  <c r="W70"/>
  <c r="V70"/>
  <c r="T70"/>
  <c r="S70"/>
  <c r="R70"/>
  <c r="Q70"/>
  <c r="M70"/>
  <c r="H70"/>
  <c r="X69"/>
  <c r="W69"/>
  <c r="V69"/>
  <c r="T69"/>
  <c r="S69"/>
  <c r="R69"/>
  <c r="Q69"/>
  <c r="M69"/>
  <c r="H69"/>
  <c r="X68"/>
  <c r="W68"/>
  <c r="V68"/>
  <c r="U68"/>
  <c r="T68"/>
  <c r="S68"/>
  <c r="R68"/>
  <c r="Q68"/>
  <c r="M68"/>
  <c r="H68"/>
  <c r="X67"/>
  <c r="W67"/>
  <c r="V67"/>
  <c r="T67"/>
  <c r="S67"/>
  <c r="R67"/>
  <c r="Q67"/>
  <c r="M67"/>
  <c r="H67"/>
  <c r="X66"/>
  <c r="T66"/>
  <c r="S66"/>
  <c r="M66"/>
  <c r="H66"/>
  <c r="E66"/>
  <c r="V66" s="1"/>
  <c r="U66" s="1"/>
  <c r="M65"/>
  <c r="E65"/>
  <c r="V65" s="1"/>
  <c r="U65" s="1"/>
  <c r="X64"/>
  <c r="T64"/>
  <c r="S64"/>
  <c r="M64"/>
  <c r="H64"/>
  <c r="E64"/>
  <c r="V64" s="1"/>
  <c r="U64" s="1"/>
  <c r="M63"/>
  <c r="E63"/>
  <c r="V63" s="1"/>
  <c r="U63" s="1"/>
  <c r="X62"/>
  <c r="V62"/>
  <c r="T62"/>
  <c r="S62"/>
  <c r="Q62"/>
  <c r="M62"/>
  <c r="H62"/>
  <c r="E62"/>
  <c r="W62" s="1"/>
  <c r="M61"/>
  <c r="E61"/>
  <c r="V61" s="1"/>
  <c r="U61" s="1"/>
  <c r="X60"/>
  <c r="T60"/>
  <c r="S60"/>
  <c r="M60"/>
  <c r="H60"/>
  <c r="E60"/>
  <c r="V60" s="1"/>
  <c r="U60" s="1"/>
  <c r="M59"/>
  <c r="E59"/>
  <c r="V59" s="1"/>
  <c r="U59" s="1"/>
  <c r="X58"/>
  <c r="W58"/>
  <c r="V58"/>
  <c r="T58"/>
  <c r="S58"/>
  <c r="R58"/>
  <c r="Q58"/>
  <c r="M58"/>
  <c r="H58"/>
  <c r="X57"/>
  <c r="W57"/>
  <c r="V57"/>
  <c r="T57"/>
  <c r="S57"/>
  <c r="R57"/>
  <c r="Q57"/>
  <c r="M57"/>
  <c r="H57"/>
  <c r="X56"/>
  <c r="W56"/>
  <c r="V56"/>
  <c r="U56" s="1"/>
  <c r="T56"/>
  <c r="S56"/>
  <c r="R56"/>
  <c r="Q56"/>
  <c r="M56"/>
  <c r="H56"/>
  <c r="X55"/>
  <c r="W55"/>
  <c r="V55"/>
  <c r="T55"/>
  <c r="S55"/>
  <c r="R55"/>
  <c r="Q55"/>
  <c r="M55"/>
  <c r="H55"/>
  <c r="X54"/>
  <c r="W54"/>
  <c r="V54"/>
  <c r="T54"/>
  <c r="S54"/>
  <c r="R54"/>
  <c r="Q54"/>
  <c r="M54"/>
  <c r="H54"/>
  <c r="X53"/>
  <c r="W53"/>
  <c r="V53"/>
  <c r="T53"/>
  <c r="S53"/>
  <c r="R53"/>
  <c r="Q53"/>
  <c r="M53"/>
  <c r="H53"/>
  <c r="X52"/>
  <c r="W52"/>
  <c r="V52"/>
  <c r="U52" s="1"/>
  <c r="T52"/>
  <c r="S52"/>
  <c r="R52"/>
  <c r="Q52"/>
  <c r="M52"/>
  <c r="H52"/>
  <c r="X51"/>
  <c r="W51"/>
  <c r="V51"/>
  <c r="T51"/>
  <c r="S51"/>
  <c r="R51"/>
  <c r="Q51"/>
  <c r="M51"/>
  <c r="H51"/>
  <c r="X50"/>
  <c r="W50"/>
  <c r="V50"/>
  <c r="T50"/>
  <c r="S50"/>
  <c r="R50"/>
  <c r="Q50"/>
  <c r="M50"/>
  <c r="H50"/>
  <c r="X49"/>
  <c r="W49"/>
  <c r="V49"/>
  <c r="T49"/>
  <c r="S49"/>
  <c r="R49"/>
  <c r="Q49"/>
  <c r="M49"/>
  <c r="H49"/>
  <c r="X48"/>
  <c r="W48"/>
  <c r="V48"/>
  <c r="U48" s="1"/>
  <c r="T48"/>
  <c r="S48"/>
  <c r="R48"/>
  <c r="Q48"/>
  <c r="M48"/>
  <c r="H48"/>
  <c r="X47"/>
  <c r="W47"/>
  <c r="V47"/>
  <c r="T47"/>
  <c r="S47"/>
  <c r="R47"/>
  <c r="Q47"/>
  <c r="M47"/>
  <c r="H47"/>
  <c r="X46"/>
  <c r="W46"/>
  <c r="V46"/>
  <c r="T46"/>
  <c r="S46"/>
  <c r="R46"/>
  <c r="Q46"/>
  <c r="M46"/>
  <c r="H46"/>
  <c r="X45"/>
  <c r="W45"/>
  <c r="V45"/>
  <c r="U45"/>
  <c r="T45"/>
  <c r="S45"/>
  <c r="R45"/>
  <c r="Q45"/>
  <c r="M45"/>
  <c r="H45"/>
  <c r="X44"/>
  <c r="W44"/>
  <c r="V44"/>
  <c r="T44"/>
  <c r="S44"/>
  <c r="R44"/>
  <c r="Q44"/>
  <c r="M44"/>
  <c r="H44"/>
  <c r="X43"/>
  <c r="W43"/>
  <c r="V43"/>
  <c r="T43"/>
  <c r="S43"/>
  <c r="R43"/>
  <c r="Q43"/>
  <c r="M43"/>
  <c r="H43"/>
  <c r="X42"/>
  <c r="W42"/>
  <c r="V42"/>
  <c r="U42"/>
  <c r="T42"/>
  <c r="S42"/>
  <c r="R42"/>
  <c r="Q42"/>
  <c r="M42"/>
  <c r="H42"/>
  <c r="X41"/>
  <c r="W41"/>
  <c r="V41"/>
  <c r="T41"/>
  <c r="S41"/>
  <c r="R41"/>
  <c r="Q41"/>
  <c r="M41"/>
  <c r="H41"/>
  <c r="X40"/>
  <c r="W40"/>
  <c r="V40"/>
  <c r="U40"/>
  <c r="T40"/>
  <c r="S40"/>
  <c r="R40"/>
  <c r="Q40"/>
  <c r="M40"/>
  <c r="H40"/>
  <c r="X39"/>
  <c r="W39"/>
  <c r="V39"/>
  <c r="U39" s="1"/>
  <c r="T39"/>
  <c r="S39"/>
  <c r="R39"/>
  <c r="Q39"/>
  <c r="M39"/>
  <c r="H39"/>
  <c r="X38"/>
  <c r="W38"/>
  <c r="V38"/>
  <c r="T38"/>
  <c r="S38"/>
  <c r="R38"/>
  <c r="Q38"/>
  <c r="M38"/>
  <c r="H38"/>
  <c r="X37"/>
  <c r="W37"/>
  <c r="V37"/>
  <c r="T37"/>
  <c r="S37"/>
  <c r="R37"/>
  <c r="Q37"/>
  <c r="M37"/>
  <c r="H37"/>
  <c r="X36"/>
  <c r="W36"/>
  <c r="V36"/>
  <c r="U36" s="1"/>
  <c r="T36"/>
  <c r="S36"/>
  <c r="R36"/>
  <c r="Q36"/>
  <c r="M36"/>
  <c r="H36"/>
  <c r="X35"/>
  <c r="W35"/>
  <c r="V35"/>
  <c r="U35" s="1"/>
  <c r="T35"/>
  <c r="S35"/>
  <c r="R35"/>
  <c r="Q35"/>
  <c r="M35"/>
  <c r="H35"/>
  <c r="X34"/>
  <c r="W34"/>
  <c r="V34"/>
  <c r="T34"/>
  <c r="S34"/>
  <c r="R34"/>
  <c r="Q34"/>
  <c r="M34"/>
  <c r="H34"/>
  <c r="X33"/>
  <c r="W33"/>
  <c r="V33"/>
  <c r="T33"/>
  <c r="S33"/>
  <c r="R33"/>
  <c r="Q33"/>
  <c r="M33"/>
  <c r="H33"/>
  <c r="X32"/>
  <c r="W32"/>
  <c r="V32"/>
  <c r="U32" s="1"/>
  <c r="T32"/>
  <c r="S32"/>
  <c r="R32"/>
  <c r="Q32"/>
  <c r="M32"/>
  <c r="H32"/>
  <c r="X31"/>
  <c r="W31"/>
  <c r="V31"/>
  <c r="U31" s="1"/>
  <c r="T31"/>
  <c r="S31"/>
  <c r="R31"/>
  <c r="Q31"/>
  <c r="M31"/>
  <c r="H31"/>
  <c r="X30"/>
  <c r="W30"/>
  <c r="V30"/>
  <c r="T30"/>
  <c r="S30"/>
  <c r="R30"/>
  <c r="Q30"/>
  <c r="M30"/>
  <c r="H30"/>
  <c r="X29"/>
  <c r="W29"/>
  <c r="V29"/>
  <c r="T29"/>
  <c r="S29"/>
  <c r="R29"/>
  <c r="Q29"/>
  <c r="U30" l="1"/>
  <c r="U34"/>
  <c r="U38"/>
  <c r="U41"/>
  <c r="U44"/>
  <c r="U47"/>
  <c r="U51"/>
  <c r="U55"/>
  <c r="T59"/>
  <c r="R60"/>
  <c r="W60"/>
  <c r="T61"/>
  <c r="R62"/>
  <c r="T63"/>
  <c r="R64"/>
  <c r="W64"/>
  <c r="T65"/>
  <c r="R66"/>
  <c r="W66"/>
  <c r="U67"/>
  <c r="U70"/>
  <c r="H81"/>
  <c r="S81"/>
  <c r="W81"/>
  <c r="W89"/>
  <c r="U90"/>
  <c r="Q92"/>
  <c r="U92"/>
  <c r="Q94"/>
  <c r="V94"/>
  <c r="U94" s="1"/>
  <c r="H95"/>
  <c r="S95"/>
  <c r="W95"/>
  <c r="T96"/>
  <c r="X96"/>
  <c r="Q97"/>
  <c r="U97"/>
  <c r="U33"/>
  <c r="U37"/>
  <c r="U43"/>
  <c r="U46"/>
  <c r="U50"/>
  <c r="U54"/>
  <c r="U58"/>
  <c r="H59"/>
  <c r="S59"/>
  <c r="X59"/>
  <c r="Q60"/>
  <c r="H61"/>
  <c r="S61"/>
  <c r="X61"/>
  <c r="U62"/>
  <c r="H63"/>
  <c r="S63"/>
  <c r="X63"/>
  <c r="Q64"/>
  <c r="H65"/>
  <c r="S65"/>
  <c r="X65"/>
  <c r="Q66"/>
  <c r="U69"/>
  <c r="R81"/>
  <c r="R89"/>
  <c r="T92"/>
  <c r="X92"/>
  <c r="T94"/>
  <c r="R95"/>
  <c r="H96"/>
  <c r="S96"/>
  <c r="W96"/>
  <c r="T97"/>
  <c r="X97"/>
  <c r="U49"/>
  <c r="U53"/>
  <c r="U57"/>
  <c r="R59"/>
  <c r="W59"/>
  <c r="R61"/>
  <c r="W61"/>
  <c r="R63"/>
  <c r="W63"/>
  <c r="R65"/>
  <c r="W65"/>
  <c r="U83"/>
  <c r="U91"/>
  <c r="H92"/>
  <c r="S92"/>
  <c r="W92"/>
  <c r="U93"/>
  <c r="H94"/>
  <c r="S94"/>
  <c r="X94"/>
  <c r="R96"/>
  <c r="V96"/>
  <c r="W97"/>
  <c r="Q59"/>
  <c r="Q61"/>
  <c r="Q63"/>
  <c r="Q65"/>
  <c r="R92"/>
  <c r="R94"/>
  <c r="Q96"/>
  <c r="R97"/>
  <c r="M29"/>
  <c r="U29" s="1"/>
  <c r="H29"/>
  <c r="X28"/>
  <c r="W28"/>
  <c r="V28"/>
  <c r="T28"/>
  <c r="S28"/>
  <c r="R28"/>
  <c r="Q28"/>
  <c r="M28"/>
  <c r="H28"/>
  <c r="X27"/>
  <c r="W27"/>
  <c r="V27"/>
  <c r="T27"/>
  <c r="S27"/>
  <c r="R27"/>
  <c r="Q27"/>
  <c r="M27"/>
  <c r="H27"/>
  <c r="X26"/>
  <c r="W26"/>
  <c r="V26"/>
  <c r="U26" s="1"/>
  <c r="T26"/>
  <c r="S26"/>
  <c r="R26"/>
  <c r="Q26"/>
  <c r="M26"/>
  <c r="H26"/>
  <c r="X25"/>
  <c r="W25"/>
  <c r="V25"/>
  <c r="T25"/>
  <c r="S25"/>
  <c r="R25"/>
  <c r="Q25"/>
  <c r="M25"/>
  <c r="H25"/>
  <c r="X24"/>
  <c r="W24"/>
  <c r="V24"/>
  <c r="T24"/>
  <c r="S24"/>
  <c r="R24"/>
  <c r="Q24"/>
  <c r="M24"/>
  <c r="H24"/>
  <c r="X23"/>
  <c r="W23"/>
  <c r="V23"/>
  <c r="T23"/>
  <c r="S23"/>
  <c r="R23"/>
  <c r="Q23"/>
  <c r="M23"/>
  <c r="H23"/>
  <c r="X22"/>
  <c r="W22"/>
  <c r="V22"/>
  <c r="U22" s="1"/>
  <c r="T22"/>
  <c r="S22"/>
  <c r="R22"/>
  <c r="Q22"/>
  <c r="M22"/>
  <c r="H22"/>
  <c r="X21"/>
  <c r="W21"/>
  <c r="V21"/>
  <c r="U21" s="1"/>
  <c r="T21"/>
  <c r="S21"/>
  <c r="R21"/>
  <c r="Q21"/>
  <c r="M21"/>
  <c r="H21"/>
  <c r="X20"/>
  <c r="W20"/>
  <c r="V20"/>
  <c r="T20"/>
  <c r="S20"/>
  <c r="R20"/>
  <c r="Q20"/>
  <c r="M20"/>
  <c r="H20"/>
  <c r="X19"/>
  <c r="W19"/>
  <c r="V19"/>
  <c r="U19" s="1"/>
  <c r="T19"/>
  <c r="S19"/>
  <c r="R19"/>
  <c r="Q19"/>
  <c r="M19"/>
  <c r="H19"/>
  <c r="X18"/>
  <c r="W18"/>
  <c r="V18"/>
  <c r="T18"/>
  <c r="S18"/>
  <c r="R18"/>
  <c r="Q18"/>
  <c r="M18"/>
  <c r="U18" s="1"/>
  <c r="H18"/>
  <c r="X17"/>
  <c r="W17"/>
  <c r="V17"/>
  <c r="T17"/>
  <c r="S17"/>
  <c r="U23" l="1"/>
  <c r="U27"/>
  <c r="U25"/>
  <c r="U20"/>
  <c r="U24"/>
  <c r="U28"/>
  <c r="R17"/>
  <c r="Q17"/>
  <c r="M17"/>
  <c r="U17" s="1"/>
  <c r="H17"/>
  <c r="M16"/>
  <c r="E16"/>
  <c r="X16" s="1"/>
  <c r="X15"/>
  <c r="T15"/>
  <c r="S15"/>
  <c r="M15"/>
  <c r="H15"/>
  <c r="E15"/>
  <c r="V15" s="1"/>
  <c r="U15" s="1"/>
  <c r="X14"/>
  <c r="W14"/>
  <c r="V14"/>
  <c r="U14" s="1"/>
  <c r="T14"/>
  <c r="S14"/>
  <c r="R14"/>
  <c r="Q14"/>
  <c r="M14"/>
  <c r="H14"/>
  <c r="X13"/>
  <c r="W13"/>
  <c r="V13"/>
  <c r="T13"/>
  <c r="S13"/>
  <c r="R13"/>
  <c r="Q13"/>
  <c r="M13"/>
  <c r="U13" s="1"/>
  <c r="H13"/>
  <c r="X12"/>
  <c r="W12"/>
  <c r="V12"/>
  <c r="U12"/>
  <c r="T12"/>
  <c r="S12"/>
  <c r="R12"/>
  <c r="Q12"/>
  <c r="M12"/>
  <c r="H12"/>
  <c r="X11"/>
  <c r="W11"/>
  <c r="V11"/>
  <c r="T11"/>
  <c r="S11"/>
  <c r="R11"/>
  <c r="Q11"/>
  <c r="M11"/>
  <c r="U11" s="1"/>
  <c r="H11"/>
  <c r="X10"/>
  <c r="W10"/>
  <c r="V10"/>
  <c r="U10"/>
  <c r="T10"/>
  <c r="S10"/>
  <c r="R10"/>
  <c r="Q10"/>
  <c r="M10"/>
  <c r="H10"/>
  <c r="X9"/>
  <c r="W9"/>
  <c r="V9"/>
  <c r="U9" s="1"/>
  <c r="T9"/>
  <c r="S9"/>
  <c r="R9"/>
  <c r="Q9"/>
  <c r="M9"/>
  <c r="H9"/>
  <c r="X8"/>
  <c r="W8"/>
  <c r="V8"/>
  <c r="T8"/>
  <c r="S8"/>
  <c r="R8"/>
  <c r="Q8"/>
  <c r="M8"/>
  <c r="H8"/>
  <c r="R16" l="1"/>
  <c r="W16"/>
  <c r="X152"/>
  <c r="X153" s="1"/>
  <c r="Q16"/>
  <c r="V16"/>
  <c r="U16" s="1"/>
  <c r="R152"/>
  <c r="R153" s="1"/>
  <c r="R15"/>
  <c r="W15"/>
  <c r="W152" s="1"/>
  <c r="W153" s="1"/>
  <c r="T16"/>
  <c r="T152" s="1"/>
  <c r="T153" s="1"/>
  <c r="U8"/>
  <c r="U152" s="1"/>
  <c r="U153" s="1"/>
  <c r="V152"/>
  <c r="V153" s="1"/>
  <c r="Q15"/>
  <c r="Q152" s="1"/>
  <c r="Q153" s="1"/>
  <c r="H16"/>
  <c r="H152" s="1"/>
  <c r="H153" s="1"/>
  <c r="S16"/>
  <c r="S152" s="1"/>
  <c r="S153" s="1"/>
  <c r="X99" i="23" l="1"/>
  <c r="W99"/>
  <c r="V99"/>
  <c r="T99"/>
  <c r="S99"/>
  <c r="R99"/>
  <c r="Q99"/>
  <c r="M99"/>
  <c r="H99"/>
  <c r="X98"/>
  <c r="W98"/>
  <c r="V98"/>
  <c r="U98" s="1"/>
  <c r="T98"/>
  <c r="S98"/>
  <c r="R98"/>
  <c r="Q98"/>
  <c r="M98"/>
  <c r="H98"/>
  <c r="X97"/>
  <c r="W97"/>
  <c r="V97"/>
  <c r="U97" s="1"/>
  <c r="T97"/>
  <c r="S97"/>
  <c r="R97"/>
  <c r="Q97"/>
  <c r="M97"/>
  <c r="H97" s="1"/>
  <c r="G97"/>
  <c r="X96"/>
  <c r="W96"/>
  <c r="V96"/>
  <c r="T96"/>
  <c r="S96"/>
  <c r="R96"/>
  <c r="Q96"/>
  <c r="M96"/>
  <c r="H96"/>
  <c r="X95"/>
  <c r="W95"/>
  <c r="V95"/>
  <c r="T95"/>
  <c r="S95"/>
  <c r="R95"/>
  <c r="Q95"/>
  <c r="M95"/>
  <c r="H95"/>
  <c r="X94"/>
  <c r="W94"/>
  <c r="V94"/>
  <c r="U94" s="1"/>
  <c r="T94"/>
  <c r="S94"/>
  <c r="R94"/>
  <c r="Q94"/>
  <c r="M94"/>
  <c r="H94"/>
  <c r="X93"/>
  <c r="W93"/>
  <c r="V93"/>
  <c r="U93" s="1"/>
  <c r="T93"/>
  <c r="S93"/>
  <c r="R93"/>
  <c r="Q93"/>
  <c r="M93"/>
  <c r="G93"/>
  <c r="X92"/>
  <c r="W92"/>
  <c r="V92"/>
  <c r="T92"/>
  <c r="S92"/>
  <c r="R92"/>
  <c r="Q92"/>
  <c r="M92"/>
  <c r="H92"/>
  <c r="X91"/>
  <c r="W91"/>
  <c r="V91"/>
  <c r="T91"/>
  <c r="S91"/>
  <c r="R91"/>
  <c r="Q91"/>
  <c r="M91"/>
  <c r="H91"/>
  <c r="M90"/>
  <c r="E90"/>
  <c r="W90" s="1"/>
  <c r="X89"/>
  <c r="W89"/>
  <c r="V89"/>
  <c r="T89"/>
  <c r="S89"/>
  <c r="R89"/>
  <c r="Q89"/>
  <c r="M89"/>
  <c r="H89"/>
  <c r="X88"/>
  <c r="W88"/>
  <c r="V88"/>
  <c r="T88"/>
  <c r="S88"/>
  <c r="R88"/>
  <c r="Q88"/>
  <c r="M88"/>
  <c r="H88"/>
  <c r="X87"/>
  <c r="W87"/>
  <c r="V87"/>
  <c r="U87" s="1"/>
  <c r="T87"/>
  <c r="S87"/>
  <c r="R87"/>
  <c r="Q87"/>
  <c r="M87"/>
  <c r="H87"/>
  <c r="X86"/>
  <c r="W86"/>
  <c r="V86"/>
  <c r="T86"/>
  <c r="S86"/>
  <c r="R86"/>
  <c r="Q86"/>
  <c r="M86"/>
  <c r="U86" s="1"/>
  <c r="H86"/>
  <c r="X85"/>
  <c r="W85"/>
  <c r="V85"/>
  <c r="T85"/>
  <c r="S85"/>
  <c r="R85"/>
  <c r="Q85"/>
  <c r="M85"/>
  <c r="H85"/>
  <c r="X84"/>
  <c r="W84"/>
  <c r="V84"/>
  <c r="U84" s="1"/>
  <c r="T84"/>
  <c r="S84"/>
  <c r="R84"/>
  <c r="Q84"/>
  <c r="M84"/>
  <c r="H84"/>
  <c r="X83"/>
  <c r="W83"/>
  <c r="V83"/>
  <c r="T83"/>
  <c r="S83"/>
  <c r="R83"/>
  <c r="Q83"/>
  <c r="M83"/>
  <c r="H83"/>
  <c r="X82"/>
  <c r="W82"/>
  <c r="V82"/>
  <c r="T82"/>
  <c r="S82"/>
  <c r="R82"/>
  <c r="Q82"/>
  <c r="M82"/>
  <c r="H82"/>
  <c r="X81"/>
  <c r="W81"/>
  <c r="V81"/>
  <c r="U81" s="1"/>
  <c r="T81"/>
  <c r="S81"/>
  <c r="R81"/>
  <c r="Q81"/>
  <c r="M81"/>
  <c r="H81"/>
  <c r="X80"/>
  <c r="W80"/>
  <c r="V80"/>
  <c r="U80" s="1"/>
  <c r="T80"/>
  <c r="S80"/>
  <c r="R80"/>
  <c r="Q80"/>
  <c r="M80"/>
  <c r="H80"/>
  <c r="X79"/>
  <c r="W79"/>
  <c r="V79"/>
  <c r="T79"/>
  <c r="S79"/>
  <c r="R79"/>
  <c r="Q79"/>
  <c r="M79"/>
  <c r="H79"/>
  <c r="X78"/>
  <c r="W78"/>
  <c r="V78"/>
  <c r="T78"/>
  <c r="S78"/>
  <c r="R78"/>
  <c r="Q78"/>
  <c r="M78"/>
  <c r="H78"/>
  <c r="X77"/>
  <c r="W77"/>
  <c r="V77"/>
  <c r="T77"/>
  <c r="S77"/>
  <c r="R77"/>
  <c r="Q77"/>
  <c r="M77"/>
  <c r="H77"/>
  <c r="X76"/>
  <c r="W76"/>
  <c r="V76"/>
  <c r="U76" s="1"/>
  <c r="T76"/>
  <c r="S76"/>
  <c r="R76"/>
  <c r="Q76"/>
  <c r="M76"/>
  <c r="H76"/>
  <c r="X75"/>
  <c r="W75"/>
  <c r="V75"/>
  <c r="T75"/>
  <c r="S75"/>
  <c r="R75"/>
  <c r="Q75"/>
  <c r="M75"/>
  <c r="H75"/>
  <c r="X74"/>
  <c r="W74"/>
  <c r="V74"/>
  <c r="T74"/>
  <c r="S74"/>
  <c r="R74"/>
  <c r="Q74"/>
  <c r="M74"/>
  <c r="H74"/>
  <c r="X73"/>
  <c r="W73"/>
  <c r="V73"/>
  <c r="T73"/>
  <c r="S73"/>
  <c r="R73"/>
  <c r="Q73"/>
  <c r="M73"/>
  <c r="H73"/>
  <c r="X72"/>
  <c r="W72"/>
  <c r="V72"/>
  <c r="U72" s="1"/>
  <c r="T72"/>
  <c r="S72"/>
  <c r="R72"/>
  <c r="Q72"/>
  <c r="M72"/>
  <c r="H72"/>
  <c r="M71"/>
  <c r="E71"/>
  <c r="T71" s="1"/>
  <c r="X70"/>
  <c r="W70"/>
  <c r="V70"/>
  <c r="T70"/>
  <c r="S70"/>
  <c r="R70"/>
  <c r="Q70"/>
  <c r="M70"/>
  <c r="H70"/>
  <c r="W69"/>
  <c r="V69"/>
  <c r="U69" s="1"/>
  <c r="R69"/>
  <c r="Q69"/>
  <c r="M69"/>
  <c r="H69" s="1"/>
  <c r="E69"/>
  <c r="X69" s="1"/>
  <c r="M68"/>
  <c r="E68"/>
  <c r="T68" s="1"/>
  <c r="X67"/>
  <c r="T67"/>
  <c r="S67"/>
  <c r="M67"/>
  <c r="H67"/>
  <c r="E67"/>
  <c r="V67" s="1"/>
  <c r="U67" s="1"/>
  <c r="M66"/>
  <c r="E66"/>
  <c r="X66" s="1"/>
  <c r="X65"/>
  <c r="W65"/>
  <c r="V65"/>
  <c r="T65"/>
  <c r="S65"/>
  <c r="R65"/>
  <c r="Q65"/>
  <c r="M65"/>
  <c r="H65"/>
  <c r="X64"/>
  <c r="W64"/>
  <c r="V64"/>
  <c r="T64"/>
  <c r="S64"/>
  <c r="R64"/>
  <c r="Q64"/>
  <c r="M64"/>
  <c r="H64"/>
  <c r="X63"/>
  <c r="W63"/>
  <c r="V63"/>
  <c r="U63" s="1"/>
  <c r="T63"/>
  <c r="S63"/>
  <c r="R63"/>
  <c r="Q63"/>
  <c r="M63"/>
  <c r="H63"/>
  <c r="X62"/>
  <c r="W62"/>
  <c r="V62"/>
  <c r="T62"/>
  <c r="S62"/>
  <c r="R62"/>
  <c r="Q62"/>
  <c r="M62"/>
  <c r="H62"/>
  <c r="X61"/>
  <c r="W61"/>
  <c r="V61"/>
  <c r="T61"/>
  <c r="S61"/>
  <c r="R61"/>
  <c r="Q61"/>
  <c r="M61"/>
  <c r="H61"/>
  <c r="X60"/>
  <c r="W60"/>
  <c r="V60"/>
  <c r="T60"/>
  <c r="S60"/>
  <c r="R60"/>
  <c r="Q60"/>
  <c r="M60"/>
  <c r="H60"/>
  <c r="X59"/>
  <c r="W59"/>
  <c r="V59"/>
  <c r="U59" s="1"/>
  <c r="T59"/>
  <c r="S59"/>
  <c r="R59"/>
  <c r="Q59"/>
  <c r="M59"/>
  <c r="H59"/>
  <c r="X58"/>
  <c r="W58"/>
  <c r="V58"/>
  <c r="U58" s="1"/>
  <c r="T58"/>
  <c r="S58"/>
  <c r="R58"/>
  <c r="Q58"/>
  <c r="M58"/>
  <c r="H58"/>
  <c r="X57"/>
  <c r="W57"/>
  <c r="V57"/>
  <c r="T57"/>
  <c r="S57"/>
  <c r="R57"/>
  <c r="Q57"/>
  <c r="M57"/>
  <c r="H57"/>
  <c r="X56"/>
  <c r="W56"/>
  <c r="V56"/>
  <c r="T56"/>
  <c r="S56"/>
  <c r="R56"/>
  <c r="Q56"/>
  <c r="M56"/>
  <c r="H56"/>
  <c r="X55"/>
  <c r="W55"/>
  <c r="V55"/>
  <c r="U55" s="1"/>
  <c r="T55"/>
  <c r="S55"/>
  <c r="R55"/>
  <c r="Q55"/>
  <c r="M55"/>
  <c r="H55"/>
  <c r="X54"/>
  <c r="W54"/>
  <c r="V54"/>
  <c r="T54"/>
  <c r="S54"/>
  <c r="R54"/>
  <c r="Q54"/>
  <c r="M54"/>
  <c r="H54"/>
  <c r="X53"/>
  <c r="W53"/>
  <c r="V53"/>
  <c r="T53"/>
  <c r="S53"/>
  <c r="R53"/>
  <c r="Q53"/>
  <c r="M53"/>
  <c r="H53"/>
  <c r="X52"/>
  <c r="W52"/>
  <c r="V52"/>
  <c r="T52"/>
  <c r="S52"/>
  <c r="R52"/>
  <c r="Q52"/>
  <c r="M52"/>
  <c r="H52"/>
  <c r="X51"/>
  <c r="W51"/>
  <c r="V51"/>
  <c r="U51" s="1"/>
  <c r="T51"/>
  <c r="S51"/>
  <c r="R51"/>
  <c r="Q51"/>
  <c r="M51"/>
  <c r="H51"/>
  <c r="X50"/>
  <c r="W50"/>
  <c r="V50"/>
  <c r="T50"/>
  <c r="S50"/>
  <c r="R50"/>
  <c r="Q50"/>
  <c r="M50"/>
  <c r="H50"/>
  <c r="X49"/>
  <c r="W49"/>
  <c r="V49"/>
  <c r="T49"/>
  <c r="S49"/>
  <c r="R49"/>
  <c r="Q49"/>
  <c r="M49"/>
  <c r="H49"/>
  <c r="X48"/>
  <c r="W48"/>
  <c r="V48"/>
  <c r="T48"/>
  <c r="S48"/>
  <c r="R48"/>
  <c r="Q48"/>
  <c r="M48"/>
  <c r="H48"/>
  <c r="X47"/>
  <c r="W47"/>
  <c r="V47"/>
  <c r="U47" s="1"/>
  <c r="T47"/>
  <c r="S47"/>
  <c r="R47"/>
  <c r="Q47"/>
  <c r="M47"/>
  <c r="H47"/>
  <c r="X46"/>
  <c r="W46"/>
  <c r="V46"/>
  <c r="T46"/>
  <c r="S46"/>
  <c r="R46"/>
  <c r="Q46"/>
  <c r="M46"/>
  <c r="H46"/>
  <c r="X45"/>
  <c r="W45"/>
  <c r="V45"/>
  <c r="T45"/>
  <c r="S45"/>
  <c r="R45"/>
  <c r="Q45"/>
  <c r="M45"/>
  <c r="H45" s="1"/>
  <c r="G45"/>
  <c r="X44"/>
  <c r="W44"/>
  <c r="V44"/>
  <c r="U44" s="1"/>
  <c r="T44"/>
  <c r="S44"/>
  <c r="R44"/>
  <c r="Q44"/>
  <c r="M44"/>
  <c r="H44" s="1"/>
  <c r="G44"/>
  <c r="M43"/>
  <c r="E43"/>
  <c r="X43" s="1"/>
  <c r="X42"/>
  <c r="T42"/>
  <c r="S42"/>
  <c r="M42"/>
  <c r="H42"/>
  <c r="E42"/>
  <c r="V42" s="1"/>
  <c r="U42" s="1"/>
  <c r="X41"/>
  <c r="W41"/>
  <c r="V41"/>
  <c r="U41" s="1"/>
  <c r="T41"/>
  <c r="S41"/>
  <c r="R41"/>
  <c r="Q41"/>
  <c r="M41"/>
  <c r="H41"/>
  <c r="X40"/>
  <c r="W40"/>
  <c r="V40"/>
  <c r="T40"/>
  <c r="S40"/>
  <c r="R40"/>
  <c r="Q40"/>
  <c r="M40"/>
  <c r="H40"/>
  <c r="X39"/>
  <c r="W39"/>
  <c r="V39"/>
  <c r="T39"/>
  <c r="S39"/>
  <c r="R39"/>
  <c r="Q39"/>
  <c r="M39"/>
  <c r="H39"/>
  <c r="X38"/>
  <c r="W38"/>
  <c r="V38"/>
  <c r="T38"/>
  <c r="S38"/>
  <c r="R38"/>
  <c r="Q38"/>
  <c r="M38"/>
  <c r="H38"/>
  <c r="X37"/>
  <c r="W37"/>
  <c r="V37"/>
  <c r="U37" s="1"/>
  <c r="T37"/>
  <c r="S37"/>
  <c r="R37"/>
  <c r="Q37"/>
  <c r="M37"/>
  <c r="H37"/>
  <c r="X36"/>
  <c r="W36"/>
  <c r="V36"/>
  <c r="T36"/>
  <c r="S36"/>
  <c r="R36"/>
  <c r="Q36"/>
  <c r="M36"/>
  <c r="H36"/>
  <c r="X35"/>
  <c r="W35"/>
  <c r="V35"/>
  <c r="T35"/>
  <c r="S35"/>
  <c r="R35"/>
  <c r="Q35"/>
  <c r="M35"/>
  <c r="H35"/>
  <c r="X34"/>
  <c r="W34"/>
  <c r="V34"/>
  <c r="T34"/>
  <c r="S34"/>
  <c r="R34"/>
  <c r="Q34"/>
  <c r="M34"/>
  <c r="H34"/>
  <c r="X33"/>
  <c r="W33"/>
  <c r="V33"/>
  <c r="U33" s="1"/>
  <c r="T33"/>
  <c r="S33"/>
  <c r="R33"/>
  <c r="Q33"/>
  <c r="M33"/>
  <c r="H33"/>
  <c r="X32"/>
  <c r="W32"/>
  <c r="V32"/>
  <c r="T32"/>
  <c r="S32"/>
  <c r="R32"/>
  <c r="Q32"/>
  <c r="M32"/>
  <c r="H32"/>
  <c r="X31"/>
  <c r="W31"/>
  <c r="V31"/>
  <c r="T31"/>
  <c r="S31"/>
  <c r="R31"/>
  <c r="Q31"/>
  <c r="M31"/>
  <c r="H31"/>
  <c r="X30"/>
  <c r="W30"/>
  <c r="V30"/>
  <c r="T30"/>
  <c r="S30"/>
  <c r="R30"/>
  <c r="Q30"/>
  <c r="M30"/>
  <c r="H30"/>
  <c r="W29"/>
  <c r="V29"/>
  <c r="U29" s="1"/>
  <c r="R29"/>
  <c r="Q29"/>
  <c r="M29"/>
  <c r="H29" s="1"/>
  <c r="E29"/>
  <c r="X29" s="1"/>
  <c r="X28"/>
  <c r="W28"/>
  <c r="V28"/>
  <c r="T28"/>
  <c r="S28"/>
  <c r="R28"/>
  <c r="Q28"/>
  <c r="M28"/>
  <c r="H28"/>
  <c r="X27"/>
  <c r="W27"/>
  <c r="V27"/>
  <c r="T27"/>
  <c r="S27"/>
  <c r="R27"/>
  <c r="Q27"/>
  <c r="M27"/>
  <c r="H27"/>
  <c r="X26"/>
  <c r="W26"/>
  <c r="V26"/>
  <c r="T26"/>
  <c r="S26"/>
  <c r="R26"/>
  <c r="Q26"/>
  <c r="M26"/>
  <c r="H26"/>
  <c r="X25"/>
  <c r="W25"/>
  <c r="V25"/>
  <c r="U25" s="1"/>
  <c r="T25"/>
  <c r="S25"/>
  <c r="R25"/>
  <c r="Q25"/>
  <c r="M25"/>
  <c r="H25"/>
  <c r="X24"/>
  <c r="W24"/>
  <c r="V24"/>
  <c r="T24"/>
  <c r="S24"/>
  <c r="R24"/>
  <c r="Q24"/>
  <c r="M24"/>
  <c r="H24"/>
  <c r="X23"/>
  <c r="W23"/>
  <c r="V23"/>
  <c r="T23"/>
  <c r="S23"/>
  <c r="R23"/>
  <c r="Q23"/>
  <c r="M23"/>
  <c r="H23"/>
  <c r="X22"/>
  <c r="W22"/>
  <c r="V22"/>
  <c r="T22"/>
  <c r="S22"/>
  <c r="R22"/>
  <c r="Q22"/>
  <c r="M22"/>
  <c r="H22"/>
  <c r="M21"/>
  <c r="E21"/>
  <c r="X21" s="1"/>
  <c r="X20"/>
  <c r="W20"/>
  <c r="V20"/>
  <c r="T20"/>
  <c r="S20"/>
  <c r="R20"/>
  <c r="Q20"/>
  <c r="M20"/>
  <c r="H20"/>
  <c r="X19"/>
  <c r="W19"/>
  <c r="V19"/>
  <c r="T19"/>
  <c r="S19"/>
  <c r="R19"/>
  <c r="Q19"/>
  <c r="M19"/>
  <c r="H19" s="1"/>
  <c r="G19"/>
  <c r="X18"/>
  <c r="W18"/>
  <c r="V18"/>
  <c r="U18" s="1"/>
  <c r="T18"/>
  <c r="S18"/>
  <c r="R18"/>
  <c r="Q18"/>
  <c r="M18"/>
  <c r="G18"/>
  <c r="H18" s="1"/>
  <c r="M17"/>
  <c r="H17" s="1"/>
  <c r="E17"/>
  <c r="V17" s="1"/>
  <c r="U17" s="1"/>
  <c r="X16"/>
  <c r="W16"/>
  <c r="V16"/>
  <c r="U16" s="1"/>
  <c r="T16"/>
  <c r="S16"/>
  <c r="R16"/>
  <c r="Q16"/>
  <c r="M16"/>
  <c r="H16"/>
  <c r="X15"/>
  <c r="W15"/>
  <c r="V15"/>
  <c r="U15" s="1"/>
  <c r="T15"/>
  <c r="S15"/>
  <c r="R15"/>
  <c r="Q15"/>
  <c r="M15"/>
  <c r="H15"/>
  <c r="X14"/>
  <c r="W14"/>
  <c r="V14"/>
  <c r="T14"/>
  <c r="S14"/>
  <c r="R14"/>
  <c r="Q14"/>
  <c r="M14"/>
  <c r="G14"/>
  <c r="X13"/>
  <c r="W13"/>
  <c r="V13"/>
  <c r="T13"/>
  <c r="S13"/>
  <c r="R13"/>
  <c r="Q13"/>
  <c r="M13"/>
  <c r="H13"/>
  <c r="X12"/>
  <c r="W12"/>
  <c r="V12"/>
  <c r="U12" s="1"/>
  <c r="T12"/>
  <c r="S12"/>
  <c r="R12"/>
  <c r="Q12"/>
  <c r="M12"/>
  <c r="H12"/>
  <c r="X11"/>
  <c r="W11"/>
  <c r="V11"/>
  <c r="U11" s="1"/>
  <c r="T11"/>
  <c r="S11"/>
  <c r="R11"/>
  <c r="Q11"/>
  <c r="M11"/>
  <c r="H11"/>
  <c r="X10"/>
  <c r="W10"/>
  <c r="V10"/>
  <c r="T10"/>
  <c r="S10"/>
  <c r="R10"/>
  <c r="Q10"/>
  <c r="M10"/>
  <c r="H10"/>
  <c r="X9"/>
  <c r="W9"/>
  <c r="V9"/>
  <c r="T9"/>
  <c r="S9"/>
  <c r="R9"/>
  <c r="Q9"/>
  <c r="M9"/>
  <c r="H9"/>
  <c r="X8"/>
  <c r="W8"/>
  <c r="V8"/>
  <c r="T8"/>
  <c r="S8"/>
  <c r="R8"/>
  <c r="Q8"/>
  <c r="M8"/>
  <c r="H8"/>
  <c r="T17" l="1"/>
  <c r="U19"/>
  <c r="S21"/>
  <c r="W21"/>
  <c r="U22"/>
  <c r="U26"/>
  <c r="U30"/>
  <c r="U34"/>
  <c r="U38"/>
  <c r="R43"/>
  <c r="W43"/>
  <c r="U48"/>
  <c r="U52"/>
  <c r="U56"/>
  <c r="U60"/>
  <c r="U64"/>
  <c r="S66"/>
  <c r="R66" s="1"/>
  <c r="W66"/>
  <c r="S68"/>
  <c r="X68"/>
  <c r="U70"/>
  <c r="H71"/>
  <c r="S71"/>
  <c r="X71"/>
  <c r="U73"/>
  <c r="U77"/>
  <c r="U85"/>
  <c r="U88"/>
  <c r="R90"/>
  <c r="V90"/>
  <c r="X17"/>
  <c r="R21"/>
  <c r="V21"/>
  <c r="Q43"/>
  <c r="V43"/>
  <c r="U43" s="1"/>
  <c r="Q66"/>
  <c r="V66"/>
  <c r="R68"/>
  <c r="W68"/>
  <c r="R71"/>
  <c r="W71"/>
  <c r="Q90"/>
  <c r="U90"/>
  <c r="S17"/>
  <c r="S100" s="1"/>
  <c r="S101" s="1"/>
  <c r="U10"/>
  <c r="U14"/>
  <c r="R17"/>
  <c r="W17"/>
  <c r="Q21"/>
  <c r="U21"/>
  <c r="U24"/>
  <c r="U28"/>
  <c r="T29"/>
  <c r="T100" s="1"/>
  <c r="U32"/>
  <c r="U36"/>
  <c r="U40"/>
  <c r="R42"/>
  <c r="R100" s="1"/>
  <c r="R101" s="1"/>
  <c r="W42"/>
  <c r="T43"/>
  <c r="U46"/>
  <c r="U50"/>
  <c r="U54"/>
  <c r="U62"/>
  <c r="U66"/>
  <c r="R67"/>
  <c r="W67"/>
  <c r="Q68"/>
  <c r="V68"/>
  <c r="U68" s="1"/>
  <c r="T69"/>
  <c r="Q71"/>
  <c r="V71"/>
  <c r="U71" s="1"/>
  <c r="U75"/>
  <c r="U79"/>
  <c r="U83"/>
  <c r="T90"/>
  <c r="X90"/>
  <c r="X100" s="1"/>
  <c r="X101" s="1"/>
  <c r="W101" s="1"/>
  <c r="U92"/>
  <c r="H93"/>
  <c r="U96"/>
  <c r="U8"/>
  <c r="V100"/>
  <c r="V101" s="1"/>
  <c r="W100"/>
  <c r="U9"/>
  <c r="U13"/>
  <c r="H14"/>
  <c r="H100" s="1"/>
  <c r="Q17"/>
  <c r="Q100" s="1"/>
  <c r="Q101" s="1"/>
  <c r="U20"/>
  <c r="H21"/>
  <c r="T21"/>
  <c r="U23"/>
  <c r="U27"/>
  <c r="S29"/>
  <c r="U31"/>
  <c r="U35"/>
  <c r="U39"/>
  <c r="Q42"/>
  <c r="H43"/>
  <c r="S43"/>
  <c r="U45"/>
  <c r="U49"/>
  <c r="U53"/>
  <c r="U57"/>
  <c r="U61"/>
  <c r="U65"/>
  <c r="H66"/>
  <c r="T66"/>
  <c r="Q67"/>
  <c r="H68"/>
  <c r="S69"/>
  <c r="U74"/>
  <c r="U78"/>
  <c r="U82"/>
  <c r="U89"/>
  <c r="H90"/>
  <c r="S90"/>
  <c r="U91"/>
  <c r="U95"/>
  <c r="U99"/>
  <c r="H101" l="1"/>
  <c r="U100"/>
  <c r="U101" s="1"/>
  <c r="T101" s="1"/>
  <c r="X88" i="22"/>
  <c r="W88"/>
  <c r="V88"/>
  <c r="U88" s="1"/>
  <c r="T88"/>
  <c r="S88"/>
  <c r="R88"/>
  <c r="Q88"/>
  <c r="M88"/>
  <c r="H88"/>
  <c r="X87"/>
  <c r="W87"/>
  <c r="V87"/>
  <c r="U87" s="1"/>
  <c r="T87"/>
  <c r="S87"/>
  <c r="R87"/>
  <c r="Q87"/>
  <c r="M87"/>
  <c r="H87"/>
  <c r="X86"/>
  <c r="W86"/>
  <c r="V86"/>
  <c r="T86"/>
  <c r="S86"/>
  <c r="R86"/>
  <c r="Q86"/>
  <c r="M86"/>
  <c r="H86"/>
  <c r="X85"/>
  <c r="W85"/>
  <c r="V85"/>
  <c r="T85"/>
  <c r="S85"/>
  <c r="R85"/>
  <c r="Q85"/>
  <c r="M85"/>
  <c r="H85"/>
  <c r="X84"/>
  <c r="W84"/>
  <c r="V84"/>
  <c r="U84" s="1"/>
  <c r="T84"/>
  <c r="S84"/>
  <c r="R84"/>
  <c r="Q84"/>
  <c r="M84"/>
  <c r="H84"/>
  <c r="X83"/>
  <c r="W83"/>
  <c r="V83"/>
  <c r="T83"/>
  <c r="S83"/>
  <c r="R83"/>
  <c r="Q83"/>
  <c r="M83"/>
  <c r="H83"/>
  <c r="X82"/>
  <c r="W82"/>
  <c r="V82"/>
  <c r="T82"/>
  <c r="S82"/>
  <c r="R82"/>
  <c r="Q82"/>
  <c r="M82"/>
  <c r="H82"/>
  <c r="X81"/>
  <c r="W81"/>
  <c r="V81"/>
  <c r="T81"/>
  <c r="S81"/>
  <c r="R81"/>
  <c r="Q81"/>
  <c r="M81"/>
  <c r="H81"/>
  <c r="X80"/>
  <c r="W80"/>
  <c r="V80"/>
  <c r="U80" s="1"/>
  <c r="T80"/>
  <c r="S80"/>
  <c r="R80"/>
  <c r="Q80"/>
  <c r="M80"/>
  <c r="H80"/>
  <c r="X79"/>
  <c r="W79"/>
  <c r="V79"/>
  <c r="T79"/>
  <c r="S79"/>
  <c r="R79"/>
  <c r="Q79"/>
  <c r="M79"/>
  <c r="H79"/>
  <c r="X78"/>
  <c r="W78"/>
  <c r="V78"/>
  <c r="T78"/>
  <c r="S78"/>
  <c r="R78"/>
  <c r="Q78"/>
  <c r="M78"/>
  <c r="H78"/>
  <c r="X77"/>
  <c r="W77"/>
  <c r="V77"/>
  <c r="T77"/>
  <c r="S77"/>
  <c r="R77"/>
  <c r="Q77"/>
  <c r="M77"/>
  <c r="H77"/>
  <c r="X76"/>
  <c r="W76"/>
  <c r="V76"/>
  <c r="U76" s="1"/>
  <c r="T76"/>
  <c r="S76"/>
  <c r="R76"/>
  <c r="Q76"/>
  <c r="M76"/>
  <c r="H76"/>
  <c r="X75"/>
  <c r="W75"/>
  <c r="V75"/>
  <c r="T75"/>
  <c r="S75"/>
  <c r="R75"/>
  <c r="Q75"/>
  <c r="M75"/>
  <c r="H75"/>
  <c r="X74"/>
  <c r="W74"/>
  <c r="V74"/>
  <c r="T74"/>
  <c r="S74"/>
  <c r="R74"/>
  <c r="Q74"/>
  <c r="M74"/>
  <c r="H74"/>
  <c r="X73"/>
  <c r="W73"/>
  <c r="V73"/>
  <c r="U73" s="1"/>
  <c r="T73"/>
  <c r="S73"/>
  <c r="R73"/>
  <c r="Q73"/>
  <c r="M73"/>
  <c r="H73"/>
  <c r="X72"/>
  <c r="W72"/>
  <c r="V72"/>
  <c r="U72" s="1"/>
  <c r="T72"/>
  <c r="S72"/>
  <c r="R72"/>
  <c r="Q72"/>
  <c r="M72"/>
  <c r="H72"/>
  <c r="X71"/>
  <c r="W71"/>
  <c r="V71"/>
  <c r="T71"/>
  <c r="S71"/>
  <c r="R71"/>
  <c r="Q71"/>
  <c r="M71"/>
  <c r="H71"/>
  <c r="X70"/>
  <c r="W70"/>
  <c r="V70"/>
  <c r="T70"/>
  <c r="S70"/>
  <c r="R70"/>
  <c r="Q70"/>
  <c r="M70"/>
  <c r="H70"/>
  <c r="X69"/>
  <c r="W69"/>
  <c r="V69"/>
  <c r="T69"/>
  <c r="S69"/>
  <c r="R69"/>
  <c r="Q69"/>
  <c r="M69"/>
  <c r="L69"/>
  <c r="H69"/>
  <c r="X68"/>
  <c r="W68"/>
  <c r="V68"/>
  <c r="U68" s="1"/>
  <c r="T68"/>
  <c r="S68"/>
  <c r="R68"/>
  <c r="Q68"/>
  <c r="M68"/>
  <c r="H68"/>
  <c r="X67"/>
  <c r="W67"/>
  <c r="V67"/>
  <c r="T67"/>
  <c r="S67"/>
  <c r="R67"/>
  <c r="Q67"/>
  <c r="M67"/>
  <c r="H67"/>
  <c r="X66"/>
  <c r="W66"/>
  <c r="V66"/>
  <c r="T66"/>
  <c r="S66"/>
  <c r="R66"/>
  <c r="Q66"/>
  <c r="M66"/>
  <c r="H66"/>
  <c r="X65"/>
  <c r="W65"/>
  <c r="V65"/>
  <c r="U65" s="1"/>
  <c r="T65"/>
  <c r="S65"/>
  <c r="R65"/>
  <c r="Q65"/>
  <c r="M65"/>
  <c r="H65"/>
  <c r="X64"/>
  <c r="W64"/>
  <c r="V64"/>
  <c r="T64"/>
  <c r="S64"/>
  <c r="R64"/>
  <c r="Q64"/>
  <c r="M64"/>
  <c r="H64"/>
  <c r="X63"/>
  <c r="W63"/>
  <c r="V63"/>
  <c r="T63"/>
  <c r="S63"/>
  <c r="R63"/>
  <c r="Q63"/>
  <c r="M63"/>
  <c r="H63"/>
  <c r="X62"/>
  <c r="W62"/>
  <c r="V62"/>
  <c r="T62"/>
  <c r="S62"/>
  <c r="R62"/>
  <c r="Q62"/>
  <c r="M62"/>
  <c r="H62"/>
  <c r="X61"/>
  <c r="W61"/>
  <c r="V61"/>
  <c r="U61" s="1"/>
  <c r="T61"/>
  <c r="S61"/>
  <c r="R61"/>
  <c r="Q61"/>
  <c r="M61"/>
  <c r="H61"/>
  <c r="X60"/>
  <c r="W60"/>
  <c r="V60"/>
  <c r="T60"/>
  <c r="S60"/>
  <c r="R60"/>
  <c r="Q60"/>
  <c r="M60"/>
  <c r="H60"/>
  <c r="X59"/>
  <c r="W59"/>
  <c r="V59"/>
  <c r="T59"/>
  <c r="S59"/>
  <c r="R59"/>
  <c r="Q59"/>
  <c r="M59"/>
  <c r="H59"/>
  <c r="X58"/>
  <c r="W58"/>
  <c r="V58"/>
  <c r="T58"/>
  <c r="S58"/>
  <c r="R58"/>
  <c r="Q58"/>
  <c r="M58"/>
  <c r="H58"/>
  <c r="X57"/>
  <c r="W57"/>
  <c r="V57"/>
  <c r="U57" s="1"/>
  <c r="T57"/>
  <c r="S57"/>
  <c r="R57"/>
  <c r="Q57"/>
  <c r="M57"/>
  <c r="H57"/>
  <c r="X56"/>
  <c r="W56"/>
  <c r="V56"/>
  <c r="T56"/>
  <c r="S56"/>
  <c r="R56"/>
  <c r="Q56"/>
  <c r="M56"/>
  <c r="H56"/>
  <c r="X55"/>
  <c r="W55"/>
  <c r="V55"/>
  <c r="T55"/>
  <c r="S55"/>
  <c r="R55"/>
  <c r="Q55"/>
  <c r="M55"/>
  <c r="H55"/>
  <c r="X54"/>
  <c r="W54"/>
  <c r="V54"/>
  <c r="T54"/>
  <c r="S54"/>
  <c r="R54"/>
  <c r="Q54"/>
  <c r="M54"/>
  <c r="H54"/>
  <c r="X53"/>
  <c r="W53"/>
  <c r="V53"/>
  <c r="U53" s="1"/>
  <c r="T53"/>
  <c r="S53"/>
  <c r="R53"/>
  <c r="Q53"/>
  <c r="M53"/>
  <c r="H53"/>
  <c r="X52"/>
  <c r="W52"/>
  <c r="V52"/>
  <c r="T52"/>
  <c r="S52"/>
  <c r="R52"/>
  <c r="Q52"/>
  <c r="M52"/>
  <c r="H52"/>
  <c r="X51"/>
  <c r="W51"/>
  <c r="V51"/>
  <c r="T51"/>
  <c r="S51"/>
  <c r="R51"/>
  <c r="Q51"/>
  <c r="M51"/>
  <c r="H51"/>
  <c r="X50"/>
  <c r="W50"/>
  <c r="V50"/>
  <c r="U50" s="1"/>
  <c r="T50"/>
  <c r="S50"/>
  <c r="R50"/>
  <c r="Q50"/>
  <c r="M50"/>
  <c r="H50"/>
  <c r="X49"/>
  <c r="W49"/>
  <c r="V49"/>
  <c r="U49" s="1"/>
  <c r="T49"/>
  <c r="S49"/>
  <c r="R49"/>
  <c r="Q49"/>
  <c r="M49"/>
  <c r="H49"/>
  <c r="M48"/>
  <c r="H48"/>
  <c r="E48"/>
  <c r="T48" s="1"/>
  <c r="X47"/>
  <c r="W47"/>
  <c r="V47"/>
  <c r="T47"/>
  <c r="S47"/>
  <c r="R47"/>
  <c r="Q47"/>
  <c r="M47"/>
  <c r="H47"/>
  <c r="X46"/>
  <c r="W46"/>
  <c r="V46"/>
  <c r="U46" s="1"/>
  <c r="T46"/>
  <c r="S46"/>
  <c r="R46"/>
  <c r="Q46"/>
  <c r="M46"/>
  <c r="H46"/>
  <c r="X45"/>
  <c r="W45"/>
  <c r="V45"/>
  <c r="T45"/>
  <c r="S45"/>
  <c r="R45"/>
  <c r="Q45"/>
  <c r="M45"/>
  <c r="U45" s="1"/>
  <c r="H45"/>
  <c r="X44"/>
  <c r="W44"/>
  <c r="V44"/>
  <c r="U44" s="1"/>
  <c r="T44"/>
  <c r="S44"/>
  <c r="R44"/>
  <c r="Q44"/>
  <c r="M44"/>
  <c r="H44"/>
  <c r="X43"/>
  <c r="W43"/>
  <c r="V43"/>
  <c r="U43" s="1"/>
  <c r="T43"/>
  <c r="S43"/>
  <c r="R43"/>
  <c r="Q43"/>
  <c r="M43"/>
  <c r="H43"/>
  <c r="X42"/>
  <c r="W42"/>
  <c r="S42"/>
  <c r="M42"/>
  <c r="H42"/>
  <c r="E42"/>
  <c r="T42" s="1"/>
  <c r="X41"/>
  <c r="W41"/>
  <c r="V41"/>
  <c r="U41" s="1"/>
  <c r="T41"/>
  <c r="S41"/>
  <c r="R41"/>
  <c r="Q41"/>
  <c r="M41"/>
  <c r="H41"/>
  <c r="X40"/>
  <c r="W40"/>
  <c r="V40"/>
  <c r="U40" s="1"/>
  <c r="T40"/>
  <c r="S40"/>
  <c r="R40"/>
  <c r="Q40"/>
  <c r="M40"/>
  <c r="H40"/>
  <c r="X39"/>
  <c r="W39"/>
  <c r="V39"/>
  <c r="T39"/>
  <c r="S39"/>
  <c r="R39"/>
  <c r="Q39"/>
  <c r="M39"/>
  <c r="H39"/>
  <c r="X38"/>
  <c r="W38"/>
  <c r="V38"/>
  <c r="T38"/>
  <c r="S38"/>
  <c r="R38"/>
  <c r="Q38"/>
  <c r="M38"/>
  <c r="H38"/>
  <c r="X37"/>
  <c r="W37"/>
  <c r="V37"/>
  <c r="T37"/>
  <c r="S37"/>
  <c r="U47" l="1"/>
  <c r="S48"/>
  <c r="X48"/>
  <c r="U54"/>
  <c r="U58"/>
  <c r="U62"/>
  <c r="U66"/>
  <c r="U69"/>
  <c r="U77"/>
  <c r="U81"/>
  <c r="U85"/>
  <c r="R48"/>
  <c r="W48"/>
  <c r="U39"/>
  <c r="Q42"/>
  <c r="V42"/>
  <c r="U42" s="1"/>
  <c r="Q48"/>
  <c r="V48"/>
  <c r="U48" s="1"/>
  <c r="U52"/>
  <c r="U56"/>
  <c r="U60"/>
  <c r="U64"/>
  <c r="U71"/>
  <c r="U75"/>
  <c r="U79"/>
  <c r="U83"/>
  <c r="R42"/>
  <c r="U38"/>
  <c r="U51"/>
  <c r="U55"/>
  <c r="U59"/>
  <c r="U63"/>
  <c r="U67"/>
  <c r="U70"/>
  <c r="U74"/>
  <c r="U78"/>
  <c r="U82"/>
  <c r="U86"/>
  <c r="R37"/>
  <c r="Q37"/>
  <c r="M37"/>
  <c r="U37" s="1"/>
  <c r="H37"/>
  <c r="X36"/>
  <c r="W36"/>
  <c r="V36"/>
  <c r="T36"/>
  <c r="S36"/>
  <c r="R36"/>
  <c r="Q36"/>
  <c r="M36"/>
  <c r="H36"/>
  <c r="X35"/>
  <c r="W35"/>
  <c r="V35"/>
  <c r="T35"/>
  <c r="S35"/>
  <c r="R35"/>
  <c r="Q35"/>
  <c r="M35"/>
  <c r="H35"/>
  <c r="X34"/>
  <c r="W34"/>
  <c r="V34"/>
  <c r="U34" s="1"/>
  <c r="T34"/>
  <c r="S34"/>
  <c r="R34"/>
  <c r="Q34"/>
  <c r="M34"/>
  <c r="H34"/>
  <c r="X33"/>
  <c r="W33"/>
  <c r="V33"/>
  <c r="T33"/>
  <c r="S33"/>
  <c r="R33"/>
  <c r="Q33"/>
  <c r="M33"/>
  <c r="H33"/>
  <c r="X32"/>
  <c r="W32"/>
  <c r="V32"/>
  <c r="T32"/>
  <c r="S32"/>
  <c r="R32"/>
  <c r="Q32"/>
  <c r="M32"/>
  <c r="H32"/>
  <c r="X31"/>
  <c r="W31"/>
  <c r="V31"/>
  <c r="T31"/>
  <c r="S31"/>
  <c r="R31"/>
  <c r="Q31"/>
  <c r="M31"/>
  <c r="H31"/>
  <c r="X30"/>
  <c r="W30"/>
  <c r="V30"/>
  <c r="U30" s="1"/>
  <c r="T30"/>
  <c r="S30"/>
  <c r="R30"/>
  <c r="Q30"/>
  <c r="M30"/>
  <c r="H30"/>
  <c r="X29"/>
  <c r="W29"/>
  <c r="V29"/>
  <c r="T29"/>
  <c r="S29"/>
  <c r="R29"/>
  <c r="Q29"/>
  <c r="M29"/>
  <c r="H29"/>
  <c r="X28"/>
  <c r="W28"/>
  <c r="V28"/>
  <c r="U28" s="1"/>
  <c r="T28"/>
  <c r="S28"/>
  <c r="R28"/>
  <c r="Q28"/>
  <c r="M28"/>
  <c r="H28"/>
  <c r="X27"/>
  <c r="W27"/>
  <c r="V27"/>
  <c r="T27"/>
  <c r="S27"/>
  <c r="R27"/>
  <c r="Q27"/>
  <c r="M27"/>
  <c r="H27"/>
  <c r="X26"/>
  <c r="W26"/>
  <c r="V26"/>
  <c r="U26" s="1"/>
  <c r="T26"/>
  <c r="S26"/>
  <c r="R26"/>
  <c r="Q26"/>
  <c r="M26"/>
  <c r="H26"/>
  <c r="X25"/>
  <c r="W25"/>
  <c r="V25"/>
  <c r="T25"/>
  <c r="S25"/>
  <c r="R25"/>
  <c r="Q25"/>
  <c r="M25"/>
  <c r="H25"/>
  <c r="X24"/>
  <c r="W24"/>
  <c r="V24"/>
  <c r="T24"/>
  <c r="S24"/>
  <c r="R24"/>
  <c r="Q24"/>
  <c r="M24"/>
  <c r="H24"/>
  <c r="X23"/>
  <c r="W23"/>
  <c r="V23"/>
  <c r="T23"/>
  <c r="S23"/>
  <c r="R23"/>
  <c r="Q23"/>
  <c r="M23"/>
  <c r="H23"/>
  <c r="X22"/>
  <c r="W22"/>
  <c r="V22"/>
  <c r="U22" s="1"/>
  <c r="T22"/>
  <c r="S22"/>
  <c r="R22"/>
  <c r="Q22"/>
  <c r="M22"/>
  <c r="H22"/>
  <c r="X21"/>
  <c r="W21"/>
  <c r="V21"/>
  <c r="T21"/>
  <c r="S21"/>
  <c r="R21"/>
  <c r="Q21"/>
  <c r="M21"/>
  <c r="H21"/>
  <c r="M20"/>
  <c r="E20"/>
  <c r="W20" s="1"/>
  <c r="X19"/>
  <c r="W19"/>
  <c r="V19"/>
  <c r="T19"/>
  <c r="S19"/>
  <c r="R19"/>
  <c r="Q19"/>
  <c r="M19"/>
  <c r="H19"/>
  <c r="X18"/>
  <c r="W18"/>
  <c r="V18"/>
  <c r="U18" s="1"/>
  <c r="T18"/>
  <c r="S18"/>
  <c r="R18"/>
  <c r="Q18"/>
  <c r="M18"/>
  <c r="H18"/>
  <c r="X17"/>
  <c r="W17"/>
  <c r="V17"/>
  <c r="U17" s="1"/>
  <c r="T17"/>
  <c r="S17"/>
  <c r="R17"/>
  <c r="Q17"/>
  <c r="M17"/>
  <c r="H17"/>
  <c r="X16"/>
  <c r="W16"/>
  <c r="V16"/>
  <c r="T16"/>
  <c r="S16"/>
  <c r="R16"/>
  <c r="Q16"/>
  <c r="M16"/>
  <c r="H16"/>
  <c r="X15"/>
  <c r="W15"/>
  <c r="V15"/>
  <c r="T15"/>
  <c r="S15"/>
  <c r="R15"/>
  <c r="Q15"/>
  <c r="M15"/>
  <c r="H15"/>
  <c r="X14"/>
  <c r="W14"/>
  <c r="V14"/>
  <c r="U14" s="1"/>
  <c r="T14"/>
  <c r="S14"/>
  <c r="R14"/>
  <c r="Q14"/>
  <c r="M14"/>
  <c r="H14"/>
  <c r="X13"/>
  <c r="W13"/>
  <c r="V13"/>
  <c r="U13" s="1"/>
  <c r="T13"/>
  <c r="S13"/>
  <c r="R13"/>
  <c r="Q13"/>
  <c r="M13"/>
  <c r="H13"/>
  <c r="X12"/>
  <c r="W12"/>
  <c r="V12"/>
  <c r="T12"/>
  <c r="S12"/>
  <c r="R12"/>
  <c r="Q12"/>
  <c r="M12"/>
  <c r="H12"/>
  <c r="X11"/>
  <c r="W11"/>
  <c r="V11"/>
  <c r="T11"/>
  <c r="S11"/>
  <c r="R11"/>
  <c r="Q11"/>
  <c r="M11"/>
  <c r="H11"/>
  <c r="X10"/>
  <c r="W10"/>
  <c r="V10"/>
  <c r="U10" s="1"/>
  <c r="T10"/>
  <c r="S10"/>
  <c r="R10"/>
  <c r="Q10"/>
  <c r="M10"/>
  <c r="H10"/>
  <c r="X9"/>
  <c r="W9"/>
  <c r="V9"/>
  <c r="U9" s="1"/>
  <c r="T9"/>
  <c r="S9"/>
  <c r="R9"/>
  <c r="Q9"/>
  <c r="M9"/>
  <c r="H9"/>
  <c r="X8"/>
  <c r="W8"/>
  <c r="V8"/>
  <c r="T8"/>
  <c r="S8"/>
  <c r="R8"/>
  <c r="Q8"/>
  <c r="M8"/>
  <c r="H8"/>
  <c r="X74" i="29"/>
  <c r="W74"/>
  <c r="V74"/>
  <c r="U74"/>
  <c r="T74"/>
  <c r="S74"/>
  <c r="R74"/>
  <c r="Q74"/>
  <c r="H74"/>
  <c r="Q20" i="22" l="1"/>
  <c r="V20"/>
  <c r="U20" s="1"/>
  <c r="U24"/>
  <c r="U32"/>
  <c r="U36"/>
  <c r="U8"/>
  <c r="U12"/>
  <c r="U16"/>
  <c r="T20"/>
  <c r="U23"/>
  <c r="U27"/>
  <c r="U31"/>
  <c r="U35"/>
  <c r="T89"/>
  <c r="U11"/>
  <c r="U15"/>
  <c r="U19"/>
  <c r="H20"/>
  <c r="H89" s="1"/>
  <c r="S20"/>
  <c r="S89" s="1"/>
  <c r="X20"/>
  <c r="X89" s="1"/>
  <c r="R20"/>
  <c r="R89" s="1"/>
  <c r="Q89" s="1"/>
  <c r="Q90" s="1"/>
  <c r="H90" s="1"/>
  <c r="U21"/>
  <c r="U25"/>
  <c r="U29"/>
  <c r="U33"/>
  <c r="W89" l="1"/>
  <c r="X90"/>
  <c r="U89"/>
  <c r="V89"/>
  <c r="W90" l="1"/>
  <c r="V90" s="1"/>
  <c r="U90" s="1"/>
  <c r="T90" s="1"/>
  <c r="S90" s="1"/>
  <c r="R90" s="1"/>
</calcChain>
</file>

<file path=xl/sharedStrings.xml><?xml version="1.0" encoding="utf-8"?>
<sst xmlns="http://schemas.openxmlformats.org/spreadsheetml/2006/main" count="4501" uniqueCount="1754">
  <si>
    <t>FECHA</t>
  </si>
  <si>
    <t>Nº DE ORDEN</t>
  </si>
  <si>
    <t>DETALLE</t>
  </si>
  <si>
    <t>Otros</t>
  </si>
  <si>
    <t>UC * Q</t>
  </si>
  <si>
    <t>UB*Q</t>
  </si>
  <si>
    <t>UNIT = UC + UB</t>
  </si>
  <si>
    <t>UNIT *Q</t>
  </si>
  <si>
    <t>Otros * Q</t>
  </si>
  <si>
    <t>CANT.</t>
  </si>
  <si>
    <t xml:space="preserve">U C </t>
  </si>
  <si>
    <t>U B</t>
  </si>
  <si>
    <t>FABRICA DE CONFECCIONES</t>
  </si>
  <si>
    <t>TRAILER GUARANTED</t>
  </si>
  <si>
    <t>TEL:4233928 FAX:4542962 </t>
  </si>
  <si>
    <t>trailerguaranted@hotmail.com</t>
  </si>
  <si>
    <t xml:space="preserve">                                                               </t>
  </si>
  <si>
    <t>Sin Utilidad</t>
  </si>
  <si>
    <t>EMPRESA</t>
  </si>
  <si>
    <t>NOMBRE</t>
  </si>
  <si>
    <t>PRECIO UNIT. Bs.</t>
  </si>
  <si>
    <t>Ignacio Chopitea</t>
  </si>
  <si>
    <t>Observaciones</t>
  </si>
  <si>
    <t>Claudia Viscarra</t>
  </si>
  <si>
    <t>Chromart</t>
  </si>
  <si>
    <t>Fernando Flores</t>
  </si>
  <si>
    <t>Stock</t>
  </si>
  <si>
    <t>Gabriela Gomez</t>
  </si>
  <si>
    <t>Bellcos Bolivia S.A.</t>
  </si>
  <si>
    <t>RESER. GB</t>
  </si>
  <si>
    <t>Nayra Iriarte</t>
  </si>
  <si>
    <t>RESER. GB*Q</t>
  </si>
  <si>
    <t>Guelly Arevalo</t>
  </si>
  <si>
    <t>Pamela Bilbao</t>
  </si>
  <si>
    <r>
      <t>COCHABAMBA-BOLIVIA</t>
    </r>
    <r>
      <rPr>
        <b/>
        <sz val="10"/>
        <color indexed="18"/>
        <rFont val="Lucida Calligraphy"/>
        <family val="4"/>
      </rPr>
      <t> </t>
    </r>
  </si>
  <si>
    <t>Arcelina Haiek</t>
  </si>
  <si>
    <t>Bs.</t>
  </si>
  <si>
    <t>Fancesa</t>
  </si>
  <si>
    <t>S/F</t>
  </si>
  <si>
    <t>S/OP</t>
  </si>
  <si>
    <t>Maria Elena Candia</t>
  </si>
  <si>
    <t>Sarah Galindo</t>
  </si>
  <si>
    <t>Unilever Andina Bolivia S.A.</t>
  </si>
  <si>
    <t>poleras polo-varon m/c (6M, 15L, 12XL, 3XXL) (12blancos, 12celeste, 12amarillo) logo Sedal Omo, Ades</t>
  </si>
  <si>
    <t>poleras varon m/c doble manga cuello redondo (60M, 60L) c/verde manzana y pino</t>
  </si>
  <si>
    <t>Norah Sossa</t>
  </si>
  <si>
    <t>Bolsas mod. Lowes galleta c/mostaza y rojo logo sal si puedes</t>
  </si>
  <si>
    <t>Mandiles mod. Fino c/verde bandera logo Knorr</t>
  </si>
  <si>
    <t>Mandiles mod.Fino tergal c/azul marino borde blanco logo Hellmans</t>
  </si>
  <si>
    <t>Andrea Torrez</t>
  </si>
  <si>
    <t>(Uniformes)Overoles p/mujer manga3/4 y pantalon largo (4S, 12M, 12L) c/azul pastel logo Surf</t>
  </si>
  <si>
    <t>(Uniformes)Overoles p/hombre manga3/4 y pantalon largo (2M, 1L) c/azul pastel logo Surf</t>
  </si>
  <si>
    <t>(Uniformes)Overoles p/mujer m/c y pantalon corto (3S, 22M, 18L) c/azul pastel logo Surf</t>
  </si>
  <si>
    <t>(Uniformes)Overoles p/hombre m/c y pantalon corto (1M) c/azul pastel logo Surf</t>
  </si>
  <si>
    <t>Wendy</t>
  </si>
  <si>
    <t>Pil Distribuidora</t>
  </si>
  <si>
    <t>poleras polo mujer manga3/4 (2L, 1S) c/celeste bebe y azul marino logo pil</t>
  </si>
  <si>
    <t>poleras polo mujer manga3/4 (2L, 1S) c/amarillo y verde bandera logo pil</t>
  </si>
  <si>
    <t>poleras MUJER m/c cuello redondo c/blanco logo Dove (15 m/c, 20 soleras)</t>
  </si>
  <si>
    <t>Freelo</t>
  </si>
  <si>
    <t>poleras cuello redondo m/c varon (15M, 15L) algodón plomo logo Lux rexona exhibicion</t>
  </si>
  <si>
    <t>Karla Angulo</t>
  </si>
  <si>
    <t>poleras polo mujer m/c c/puño pique naranja c/5 logos bandera de bolivia, unilever, nombres, cochabamba, conferencia manufactura 2010</t>
  </si>
  <si>
    <t>poleras polo varon como la muestra pique naranja c/5 logos bandera de bolivia, unilever, nombres, cochabamba, conferencia manufactura 2010</t>
  </si>
  <si>
    <t>Bolsones mod. Simpson c/azul pastel logo bordado Dove</t>
  </si>
  <si>
    <t>Saul Lopez</t>
  </si>
  <si>
    <t>Seguridad Decurion</t>
  </si>
  <si>
    <t>pantalones tallas 15"46", 10"48", 5"50" c/azul marino logo Seguridad decurion</t>
  </si>
  <si>
    <t>pantalones tallas 10"42", 20"44"  c/azul marino  logo Seguridad decurion</t>
  </si>
  <si>
    <t>gorras   c/azul marino  logo Seguridad decurion</t>
  </si>
  <si>
    <t>chamarras mod trailer varon c/forro polar (15L,10M, 5XL) taslan c/azul marino logo seguridad de curion</t>
  </si>
  <si>
    <t>bolsas mod. Lowes tamaño 30x30cm c/blanco logo serigraf. Ades</t>
  </si>
  <si>
    <t>Luis Fernando Solares Gumucio</t>
  </si>
  <si>
    <t xml:space="preserve">gorras mod. 6 paneles en piel de durazno c/veis claro logos fancesa, sermisud, concretec </t>
  </si>
  <si>
    <t xml:space="preserve">gorras mod. 6 paneles en piel de durazno c/veis oscuro logos fancesa, sermisud, concretec </t>
  </si>
  <si>
    <t>gorras mod. 6 paneles  en piel de durazno c/veis claro logo fancesa, y cofan atrás</t>
  </si>
  <si>
    <t>gorras mod. 6 paneles  en piel de durazno c/veis oscuro logo fancesa, y cofan atrás</t>
  </si>
  <si>
    <t>gorras mod. 6 paneles en kaki 1ra c/negro logo fancesa al frente y cofan atrás</t>
  </si>
  <si>
    <t>gorras mod. 6 paneles en kaki 1ra c/rojo logo fancesa al frente y cofan atrás</t>
  </si>
  <si>
    <t>poleras polo c/puñode hombre (7M, 2L) pique c/blanco c/puño</t>
  </si>
  <si>
    <t>poleras polo mujer "M" pique mostaza</t>
  </si>
  <si>
    <t>polera polo hombre "XL" pique c/mostaza m/c s/puño</t>
  </si>
  <si>
    <t>poleras polo mujer "M" pique salmon s/puño</t>
  </si>
  <si>
    <t>polera polo hombre "XL" pique c/salmon m/c s/puño</t>
  </si>
  <si>
    <t>poleras polo</t>
  </si>
  <si>
    <t>Edgardo Paz</t>
  </si>
  <si>
    <t>Decor House</t>
  </si>
  <si>
    <t>gorras mod ciclista</t>
  </si>
  <si>
    <t>servicio de serigraf. En bolsas de tocuyo</t>
  </si>
  <si>
    <t>poleras polo mujer m/l "L" pique azul pastel logo Arcor</t>
  </si>
  <si>
    <t>poleras polo mujer m/L "L" pique mostaza pastel logo Arcor</t>
  </si>
  <si>
    <t>poleras polo hombre m/L "L" pique azul pastel logo Arcor</t>
  </si>
  <si>
    <t>poleras polo hombre m/L "L" pique mostaza pastel logo Arcor</t>
  </si>
  <si>
    <t>chalecos mod. Suave "XL" kaki c/azul pastel sin forro</t>
  </si>
  <si>
    <t>chalecos mod. Silvia sin los 2 bolsillos pequeños "L" kaki c/azul pastel</t>
  </si>
  <si>
    <t>Imcabez (Ron Abuelo) SRL</t>
  </si>
  <si>
    <t>servicio de bordado en camisas ron abuelo</t>
  </si>
  <si>
    <t>servicio de bordado en camisas quinta las americas</t>
  </si>
  <si>
    <t>servicio de bordado en poleras</t>
  </si>
  <si>
    <t>Andrea Torrez - Fabina Iriarte</t>
  </si>
  <si>
    <t>Fundas para buses Trans Copacabana Buscar c/azul pastel tergal logo Surf, Disfrute su viaje y cuando llegue a su destino experimente la limpeza Surf burbujas de Oxifrech</t>
  </si>
  <si>
    <t>Fundas para buses Bolivar c/azul pastel tergal logo Surf, Disfrute su viaje y cuando llegue a su destino experimente la limpeza Surf burbujas de Oxifrech</t>
  </si>
  <si>
    <t>Fundas para buses Trans Copacabana Leito c/azul pastel tergal logo Surf, Disfrute su viaje y cuando llegue a su destino experimente la limpeza Surf burbujas de Oxifrech</t>
  </si>
  <si>
    <t>poleras polo mujer m/c talla L c/rojo pique c/2 logo South Technology de bolivia SRL, South Technology bolivia SRL</t>
  </si>
  <si>
    <t>poleras polo varon m/c talla (10L, 4XL, 2XXL) c/rojo pique c/2 logo South Technology de bolivia SRL, South Technology bolivia SRL</t>
  </si>
  <si>
    <t>Claudia Abularach</t>
  </si>
  <si>
    <t>Moxos Courrier</t>
  </si>
  <si>
    <t>Gorras de 6 paneles Kaki 2da (8 blancas, 8 amarillas, 9 verdes)</t>
  </si>
  <si>
    <t>Chalecos mod. Silvia c/cinta reflectiva "L" taslan nylon c/verde bandera</t>
  </si>
  <si>
    <t>chalecos mod. Silvia c/bolsillo para boligrafos en el pecho kaki 2da c/amarillo</t>
  </si>
  <si>
    <t>poleras polo varon m/c "L" pique (6verdes, 7 amarillo) logo Moxos Courier</t>
  </si>
  <si>
    <t>poleras polo mujer m/c (6M, 6L) pique (6verdes, 6 amarillos) logo Moxos Courier</t>
  </si>
  <si>
    <t>Edwin Quintanilla</t>
  </si>
  <si>
    <t>Pil Andina S.A.</t>
  </si>
  <si>
    <t>chamarras c/forro polar c/azul marino logo Pil</t>
  </si>
  <si>
    <t>Alvaro Claure</t>
  </si>
  <si>
    <t>metros de tela de toalla</t>
  </si>
  <si>
    <t>Enterizos de licra m/larga mujer "M" c/azul logo Pepsodent en la espalda y el lado izqu. Del pecho</t>
  </si>
  <si>
    <t>Overoles jardineros de mujer "M" jean clasico logo pepsodent</t>
  </si>
  <si>
    <t>guardapolvos de mujer m/larga "M" c/blanco logo pepsodent</t>
  </si>
  <si>
    <t>Displays para jaboncillo (colgadores) de 90 grs en lona plastico transparente c/azul pastel logo rexona</t>
  </si>
  <si>
    <t>Displays para jaboncillo (colgadores) de 125 grs en lona plastico transparente c/azul pastel logo rexona</t>
  </si>
  <si>
    <t>Norka Machicado de Leon</t>
  </si>
  <si>
    <t>chalecos mod. Silvia s/forro (30M,30L) en kaki c/azul marino c/3 logos, Sizltda, hecho en bolivia, Siz Ltda, zapatillas chopper playeras</t>
  </si>
  <si>
    <t>toallas pequeñas c/blanco logo Dove</t>
  </si>
  <si>
    <t>mandiles mod. Fino c/ribet blanco tergal c/celeste logo Suave serigrafiado</t>
  </si>
  <si>
    <t>llaveros con mosqueton metalico c/naranja logo rexona adventure</t>
  </si>
  <si>
    <t>Ever Mejia</t>
  </si>
  <si>
    <t>poleras polo varon m/c (1M, 9L, 15XL) c/café pique logo "Angeles de la guarda"</t>
  </si>
  <si>
    <t>poleras polo mujer m/c talla M c/café claro pique logo "Angeles de la guarda"</t>
  </si>
  <si>
    <t>poleras polo varon m/c (6L, 5XL) c/verde hoja seca pique logo "Unilever"</t>
  </si>
  <si>
    <t>poleras polo mujer m/c (6L, 5XL) c/verde hoja seca pique logo "Unilever"</t>
  </si>
  <si>
    <t>Pablo Morsoletto</t>
  </si>
  <si>
    <t>Poleras polo m/c doblemanga con abertura lateral varon "L" pique c/blanco, cuello(9azul marino, 9calipso, 9rojo, 9verde bandera, 9amarillo oro logo "programa padrinos", "unilever", "padrino", "ahijado"</t>
  </si>
  <si>
    <t>Poleras polo m/c doblemanga con abertura lateral varon "XL"pique c/blanco, cuello(9azul marino, 9calipso, 9rojo, 9verde bandera, 9amarillo oro logo "programa padrinos", "unilever", "padrino", "ahijado"</t>
  </si>
  <si>
    <t>Maxam Fanexa</t>
  </si>
  <si>
    <t>poleras compradas (1000M, 1000L, 1000XL blancos) y (1000 plomas) logo fancesa</t>
  </si>
  <si>
    <t>Sonia Sambrana</t>
  </si>
  <si>
    <t>Centro Integrado Educacional Cosmos</t>
  </si>
  <si>
    <t>poleras polo varon m/c c/bolsillo en el pecho izq. En pique (12 "14 años", 12S, 12M, 12L, 12XL)</t>
  </si>
  <si>
    <t>poleras polo mujer m/c c/bolsillo en el pecho izq. En pique (12 "14 años", 12S, 12M, 12L, 12XL)</t>
  </si>
  <si>
    <t>poleras polo niño m/c c/bolsillo en el pecho izq. En pique ( 24 "8 años", 24 "10 años", 24 "12 años")</t>
  </si>
  <si>
    <t>poleras polo niño m/c c/bolsillo en el pecho izq. En pique (24 "6 años")</t>
  </si>
  <si>
    <t>Maria Luisa Cespedes</t>
  </si>
  <si>
    <t>Entel S.A.</t>
  </si>
  <si>
    <t>Servicio de serigraf. Logo entel</t>
  </si>
  <si>
    <t>GESTIÓN 2010</t>
  </si>
  <si>
    <t>DEP. MAQ.</t>
  </si>
  <si>
    <t>CELULAR</t>
  </si>
  <si>
    <t>ENVIO</t>
  </si>
  <si>
    <t>DEP. MAQ.* Q</t>
  </si>
  <si>
    <t>CEL. *Q</t>
  </si>
  <si>
    <t>ENVIO * Q</t>
  </si>
  <si>
    <t>Liliana Mondocorre</t>
  </si>
  <si>
    <t>poleras de mujer según modelo (2M, 7L, 3XL) algodón rojo combinado  c/negro bordado en el pecho area de salvo bolivar</t>
  </si>
  <si>
    <t>Marisol Cadima/ Sandra Delgadillo</t>
  </si>
  <si>
    <t>Chamarras mod.Lux con forro polar negro (14S, 62M, 27L) taslan nylon amarillo con negro bordado en el pecho lux</t>
  </si>
  <si>
    <t>Neiza vega</t>
  </si>
  <si>
    <t>Industria de Aceites S.A.</t>
  </si>
  <si>
    <t>chamarras de mujer mod. Trailer con forro de red "S" taslan nylon blanco-&gt;cuerpo; rojo-&gt; cuello interior y detalle pretina bordado Regia, serigraf. 52% menos calorias</t>
  </si>
  <si>
    <t>chamarras de mujer mod. Trailer con forro polar (15S, 10M, 10L) taslan nylon blanco-&gt;cuerpo; azul pastel(polar)&gt; cuello interior y detalle pretina bordado Regia, serigraf. 52% menos calorias</t>
  </si>
  <si>
    <t>poleras según mod m/larga. Las tallas según la muestra del cliente (20S, 20M, 10L) interlook blanco bordado regia serigraf. Espalda</t>
  </si>
  <si>
    <t>Gorras mod kaki 2da blancas logo regia</t>
  </si>
  <si>
    <t>Rompevientos para mujer taslan nylon blanco bordado regia pecho y espalda</t>
  </si>
  <si>
    <t>poleras tipo polo de mujer m/c la manga debe ser mas corta (10S, 10M, 5L) pique anaranjado bordado mimaskot</t>
  </si>
  <si>
    <t>poleras mujer m/c según diseño (10S, 10M, 5L) intelook naranja bordado mi maskot</t>
  </si>
  <si>
    <t>rompevientos de mujer (15S, 15M) taslan nylon naranja bordado mimaskot pecho y espalda</t>
  </si>
  <si>
    <t>Gabriel Castro</t>
  </si>
  <si>
    <t>Embol S.A.</t>
  </si>
  <si>
    <t>poleras polo varon m/c con puño (2M) pique negro bordado burn</t>
  </si>
  <si>
    <t>poleras polo varon m/c con puño (3XL, 1XXL) pique negro bordado burn</t>
  </si>
  <si>
    <t>poleras polo mujer m/c c/puño (1M, 4L) pique negro bordado burn</t>
  </si>
  <si>
    <t>Sandra Delgadillo/Dario Abasto</t>
  </si>
  <si>
    <t>Guardapolvos cortos de doctor mujer m/larga (188M, 187L) kaki 2da blanco lifebuoy farmacia</t>
  </si>
  <si>
    <t>Alejandra Buitrago</t>
  </si>
  <si>
    <t>poleras polo hombre m/c doble manga (2L, 1M, 2M) + 4cm largo efecto de doble polera de color blanco pique rojo bordado escudo</t>
  </si>
  <si>
    <t>poleras polo hombre m/c doble manga ( 3XL, 1XXL) + 4cm largo efecto de doble polera de color blanco pique rojo bordado escudo</t>
  </si>
  <si>
    <t>poleras polo mujer m/c doble manga (4S, 3L, 1)efecto de doble polera de color blanco pique rojo bordado escudo</t>
  </si>
  <si>
    <t>Maria Rene</t>
  </si>
  <si>
    <t>poleras polo varon (18L) pique arena, cuerpo, carterita y doblemanga verde bandera, bordado TUSOCO, unicef, progetto mondo</t>
  </si>
  <si>
    <t>poleras polo varon (10XL, 4XXL) pique arena, cuerpo, carterita y doblemanga verde bandera, bordado TUSOCO, unicef, progetto mondo</t>
  </si>
  <si>
    <t>poleras polo mujer m/c doble manga mas escotado con+botones entallado 1 cm a cada lado y 2cm mas largo</t>
  </si>
  <si>
    <t>Gorras mod. Copelme kaki arena vicera verde</t>
  </si>
  <si>
    <t>Dario Abasto</t>
  </si>
  <si>
    <t>pantalones de jean clasicos c/cinta reflectiva en ambas piernas (20"38", 42"40", 42"42", 22"44", 20"46", 10"48", 4"52") jean azul clasico</t>
  </si>
  <si>
    <t>pantalones de varon c/cinta reflectiva en ambas piernas (2"40", 2"42") kaki 1ra marfil</t>
  </si>
  <si>
    <t>pantalones de varon c/pinzas laterales c/cinta reflectiva en ambas piernas (4"40", 4"42", 6"44", 2"46")kaki 1ra kaki</t>
  </si>
  <si>
    <t>pantalones de varon c/pinzas laterales c/cinta reflectiva en ambas piernas (4"38", 2"40", 2"42", 4"44", 2"46")kaki 1ra blanco</t>
  </si>
  <si>
    <t>pantalones de mujer c/pinzas laterales c/cinta reflectiva en ambas piernas (2"36", 4"38",  2"40", 2"42", 4"44", 2"48")kaki 1ra blanco</t>
  </si>
  <si>
    <t>pantalones de varon c/pinzas laterales c/cinta reflectiva en ambas piernas (4"42", 12"44", 6"46", 6"48")kaki azul marino 100%</t>
  </si>
  <si>
    <t>pantalones de varon c/pinzas laterales c/cinta reflectiva en ambas piernas (2"44")kaki azul marino 100%</t>
  </si>
  <si>
    <t>camisas de varon c/bolsillos superior 2cintas reflactivas en el contorno del cuerpo en ambas mangas m/l(2M, 8L, 4Xl, 2XXL) kaki 1ra kaki bordado unilever</t>
  </si>
  <si>
    <t>camisas de varon c/bolsillos superior 2cintas reflactivas en el contorno del cuerpo en ambas mangas m/l(6L, 14Xl, 8XXL) kaki 100% algodón azul marino bordado unilever</t>
  </si>
  <si>
    <t>camisas de mujer m/L c/bolsillos superior 2cintas reflactivas (L) kaki 100% algodón azul marino bordado unilever</t>
  </si>
  <si>
    <t>Gorras mod. 6 paneles jean azul clasico bordado unilever</t>
  </si>
  <si>
    <t>Gorras mod. 6 paneles kaki 1ra kakibordado unilever</t>
  </si>
  <si>
    <t>Gorras mod. 6 paneles kaki 100% algodón azul marino bordado unilever</t>
  </si>
  <si>
    <t>Mirian Apaza</t>
  </si>
  <si>
    <t>Papelera vinto</t>
  </si>
  <si>
    <t>Chalecos mod. Papelera vinto kaki 2da azul,pastel detalles plomo claro bordado en pecho y espalda</t>
  </si>
  <si>
    <t>Ruben soliz</t>
  </si>
  <si>
    <t>Alcaldia de sacaba</t>
  </si>
  <si>
    <t>Poleras amarillas de varon muestra 2XXXL amarillo maiz igual op532</t>
  </si>
  <si>
    <t>Neysa Vega</t>
  </si>
  <si>
    <t>poleras según mod. De mujer m/c interlook blanco logo regia-&gt;pecho izq.; 52% menos calorias-&gt;espalda</t>
  </si>
  <si>
    <t>Gorras mod. Kaki2da naranja bordado mimaskot</t>
  </si>
  <si>
    <t>Strike Bowling</t>
  </si>
  <si>
    <t>poleras polo mujer m/c doble manga  2S, 1M pique verde pino-&gt;cuerpo; cuello, doblemanga, carterita-&gt;crema bordado Strike</t>
  </si>
  <si>
    <t>poleras polo mujer m/c doble manga  2S, 1M pique morado-&gt;cuerpo; cuello, doblemanga, carterita-&gt;negro bordado Strike</t>
  </si>
  <si>
    <t>Oscar Gutierrez</t>
  </si>
  <si>
    <t>kimberly Bolivia</t>
  </si>
  <si>
    <t>chamarras de varon (parkas) mod CRF c/forro polar"L" taslan nylon azul marino  bordado Kotex</t>
  </si>
  <si>
    <t xml:space="preserve">Denisse </t>
  </si>
  <si>
    <t>Urrutibehety Ltda.</t>
  </si>
  <si>
    <t>uniformes m/c(guardapolvo, pantalon)(10S, 10M, 5L, 5XL)kaki2da amarillo oro bordado urrutibehety pecho y espalda</t>
  </si>
  <si>
    <t>uniformes m/larga(guardapolvo, pantalon)(10S, 10M, 5L, 5XL)kaki2da amarillo oro bordado urrutibehety pecho y espalda</t>
  </si>
  <si>
    <t>bolsitas mod. Ecobolsa pequeñas</t>
  </si>
  <si>
    <t>manoplas kaki 2da c/fibra 150verde bandera, 150naranja, 150 rojo bordado knorr igual a la muestra</t>
  </si>
  <si>
    <t>agarradores kaki2da 150verde bandera, 150 naranja, 150 rojo bordado knorr</t>
  </si>
  <si>
    <t>Vanessa Lizarazu</t>
  </si>
  <si>
    <t>poleras polo varon m/c (1M, 3L, 1XL) pique azul marino bordado Live superior Service"</t>
  </si>
  <si>
    <t>poleras polo mujer m/c (1M, 3L, 1XL) pique azul marino bordado Live superior Service"</t>
  </si>
  <si>
    <t>Gredy Osinaga</t>
  </si>
  <si>
    <t>poleras varon según mod. (2M, 3L, 2XL)pique blanco, cuello cartera y puño-&gt;plomo bordado powerade, central interno</t>
  </si>
  <si>
    <t>poleras mujer según mod. "M" pique blanco, cuello cartera y puño-&gt;plomo bordado powerade, central interno</t>
  </si>
  <si>
    <t>poleras varon según mod. "L" pique negro bordado suzu</t>
  </si>
  <si>
    <t>pantalones jeans varon(1"48", 2"46", 2"44", 1"40", 3"42") azul o grafito</t>
  </si>
  <si>
    <t>pantalon para mujer jean "44"</t>
  </si>
  <si>
    <t>pantalon para varon negro(de tienda)"44" jeans negro</t>
  </si>
  <si>
    <t>Mauricio Cossio</t>
  </si>
  <si>
    <t>Proyecto ISA</t>
  </si>
  <si>
    <t>poleras polo varon m/c c/puño 50M, 50L pique cuerpo celeste cielo; cuello, carterita, puño celeste oscuro bordado torotoro, usaid</t>
  </si>
  <si>
    <t>Grupo Trailer</t>
  </si>
  <si>
    <t>chalecos mod. Silvia con bolsillo superior y porta lapiceros, lado izq. "L" kaki2da azul marino</t>
  </si>
  <si>
    <t>Gorras mod. 6 paneles kaki1ra blanco logo unilever</t>
  </si>
  <si>
    <t>Ninfa Meguillanes</t>
  </si>
  <si>
    <t>Colegio Mariscal Sucre</t>
  </si>
  <si>
    <t>poleras varon cuello cadete según diseño m/c doble manga (5S, 12M, 2L) algodón vanizado azul marino mostaza bordado Mcal Sucre-&gt;MI; promo2010-&gt;MD; Nombre-&gt;espalda inferior</t>
  </si>
  <si>
    <t>poleras mujer mod. regia m/c doble manga (1M, 3L, 3XL, 1XXXL) algodón vanizado azul marino mostaza bordado Mcal Sucre-&gt;MI; promo2010-&gt;MD; Nombre-&gt;espalda inferior</t>
  </si>
  <si>
    <t>wara</t>
  </si>
  <si>
    <t>Banco Sol</t>
  </si>
  <si>
    <t>chamarra de mujer mod. Trailer "M" taslan nylon negro bordado bancosol, Sandra</t>
  </si>
  <si>
    <t xml:space="preserve">Dumbo </t>
  </si>
  <si>
    <t>Gorras mod 6 paneles kaki2da amarillo oro logo dumbo al frente</t>
  </si>
  <si>
    <t>Daniel aliaga</t>
  </si>
  <si>
    <t>Copelme</t>
  </si>
  <si>
    <t>ponchillos mod. Pil tergal rojo-&gt;cuerpo; azul pastel -&gt;sesgo</t>
  </si>
  <si>
    <t>chamarras mod trailer varon c/forro polar "L" taslan nylon azul marino bordado Scott kotex-&gt;MI; huggies plenitud-&gt;MD; kimberly bolivia-&gt;PI</t>
  </si>
  <si>
    <t>poleras polo varon m/c con puño "L" pique azul marino  MD-&gt;huggies plenitud; PI-&gt;kimberly bolivia; MI-&gt;Scott Kotex</t>
  </si>
  <si>
    <t>Bananeros lona oxford bordado Scott-&gt; 24 azul marino; plenitud-&gt;24 lilas; Huggies-&gt; 24  verde bandera; kotex-&gt;23</t>
  </si>
  <si>
    <t>poleras tipo polo mujer (12S, 24M, 24L) pique amarillo oro bordado Dumbo</t>
  </si>
  <si>
    <t>Marco Sobrino</t>
  </si>
  <si>
    <t xml:space="preserve">chamarras mod. Maxam para varon (9S, 36M, 13L, 5XL) prada rojo entero bordado fanexa, hecho en bolivia </t>
  </si>
  <si>
    <t>Marisol Cadima</t>
  </si>
  <si>
    <t>Guardapolvosvaron = OP550 (7L, 1M) bordado lifebuoy</t>
  </si>
  <si>
    <t>Guido Ramallo</t>
  </si>
  <si>
    <t>poleras polo varon m/larga con puño (xl, xxl) interlook morado</t>
  </si>
  <si>
    <t>polera de varon cuello redondo m/larga c/ puño "M" interlook morado sin logos</t>
  </si>
  <si>
    <t>polera de varon cuello V m/larga c/ puño "M" interlook morado sin logos</t>
  </si>
  <si>
    <t>Geraldine Barriga</t>
  </si>
  <si>
    <t>chamarras de varon mod. Trailer con forro polar "L" taslan nylon azul marino bordado pil, pil alimento para toda la vida</t>
  </si>
  <si>
    <t>chalecos mod. Silvia añadir 2 bolsillos superiores "L" kaki2da azul marino bordado pil, pil alimento para toda la vida</t>
  </si>
  <si>
    <t>parkas mod. Pil "L" azul marino bordado pil, pil alimento para toda la vida</t>
  </si>
  <si>
    <t>Gorras institucionales mod. 6 paneles kaki 2da azul marino y rojo bordado pil</t>
  </si>
  <si>
    <t>chalinas (bufandas) polar azul marino bordado pil</t>
  </si>
  <si>
    <t>Adalit Torrico</t>
  </si>
  <si>
    <t>Bolhispania</t>
  </si>
  <si>
    <t>poleras polo m/c hombre (5S, 13+5M, 11L, 4XL) pique azul marino bordado bolhispania</t>
  </si>
  <si>
    <t>poleras mujer polo m/c (26S, 27+5M, 3L) pique rojo, cuello y carterita negro</t>
  </si>
  <si>
    <t>Melvi rodriguez</t>
  </si>
  <si>
    <t>parkas termicas "L" prada plomo bordado maxam fanexa</t>
  </si>
  <si>
    <t>poleras de varon m/c polo "L" pique rojo bordado maxam, fanexa</t>
  </si>
  <si>
    <t>poleras varon polo m/larga "L" pique rojo bordao maxam, fanexa</t>
  </si>
  <si>
    <t>Overoles termicos "L" kaki 1ra plomo bordado maxam fanexa</t>
  </si>
  <si>
    <t>Overoles termicos (10L, 3XL) kaki 1ra plomo oscuro bordao maxam fanexa</t>
  </si>
  <si>
    <t>Overoles termicos camuflados (2M, 2L) kaki camuflado bordado maxam, fanexa</t>
  </si>
  <si>
    <t>chaleco frisado "XL" kaki kaki bordado maxam , fanexa</t>
  </si>
  <si>
    <t>Daniela</t>
  </si>
  <si>
    <t>poleras cuello O, m/3/4 mujer (3M, 2L, 1 según muestra) cuerpo y cuello naranja, manga azul pastel</t>
  </si>
  <si>
    <t>Antonio Beltran</t>
  </si>
  <si>
    <t>Asociacion de Golf oruro</t>
  </si>
  <si>
    <t>poleras polo varon m/c c/ puño (8L, 7XL, 8XXL) pique verde  bordado  de la insignia de Oruro golf Club</t>
  </si>
  <si>
    <t>poleras polo mujer m/c c/ puño (2L) pique verde  bordado  de la insignia de Oruro golf Club ; MI-&gt;logo callawuay golf; EA-&gt;logo</t>
  </si>
  <si>
    <t>poleras polo varon m/c c/ puño (8L, 7XL, 8XXL) pique arena  bordado  de la insignia de Oruro golf Club; MI-&gt;logo callawuay golf; EA-&gt;</t>
  </si>
  <si>
    <t>poleras polo mujer m/c c/ puño (2L) pique arena  bordado  de la insignia de Oruro golf Club ; MI-&gt;logo callawuay golf; EA-&gt;logo</t>
  </si>
  <si>
    <t>Ramiro Calderon</t>
  </si>
  <si>
    <t>Coboce</t>
  </si>
  <si>
    <t>Gorras mod 6 paneles kaki 2da verde botella cabeza; amarillo oro-&gt; vicera bordado coboce cemento</t>
  </si>
  <si>
    <t>Guido Soliz</t>
  </si>
  <si>
    <t>Toro Rey</t>
  </si>
  <si>
    <t>guardapolvos mod. Chef varon m/c según imagen (botones blancos) (4M, 2L) kaki 2da rojo detalles blancos bordado Toro Rey</t>
  </si>
  <si>
    <t>guardapolvos mod. Chef varon m/c según imagen (botones rojos) (4M, 2L) kaki 2da blanco detalles rojos bordado Toro Rey</t>
  </si>
  <si>
    <t>poleras polo varon m/c doble manga (4M, 2L)  pique rojo -&gt;cuerpo;  amarillo oro-&gt; cuello carterita y doble manga bordado Toro Rey</t>
  </si>
  <si>
    <t>poleras polo varon m/c doble manga (4M, 2L)  pique blanco -&gt;cuerpo;  rojo-&gt; cuello carterita y doble manga bordado Toro Rey</t>
  </si>
  <si>
    <t>Gorras mod. 6 paneles kaki 2da rojo bordao toro Rey</t>
  </si>
  <si>
    <t>poleras mujer polo mod. Fino m/c c/botones (25S, 25M, 10L) pique blanco  bordado uno, serigraf uno</t>
  </si>
  <si>
    <t>rompevientos (25S, 25M, 10L) taslan nylon blanco puño verde bordado uno serigraf uno</t>
  </si>
  <si>
    <t>poleras mujer polo mod. Fino m/c c/botones (17S, 18M, 10L) pique amarillo  bordado fino, serigraf fino</t>
  </si>
  <si>
    <t>rompevientos (17S, 18M, 10L) taslan nylon amarillo bordado fino serigraf fino</t>
  </si>
  <si>
    <t>Gorras según mod. Lux kaki 2da blanco bordado uno</t>
  </si>
  <si>
    <t>Gorras según mod. Lux kaki 2da amarillo bordado fino</t>
  </si>
  <si>
    <t>chamarras mod. Maxam para varon (10S, 15M, 20L, 15XL) prada rojo con polar negro bordado PI-&gt;fanexa, BD-&gt; hecho en bolivia</t>
  </si>
  <si>
    <t>poleras polo varon (2L, 1XL) piqeu blanco cuello carterita y puño plomo claro bordado powerade</t>
  </si>
  <si>
    <t>poleras polo mujer (2L,1M) pique blanco, cuello carterita y puño plomo claro, bordado powerade ; MD-&gt; control interno</t>
  </si>
  <si>
    <t>sandra magne</t>
  </si>
  <si>
    <t>Trailer group</t>
  </si>
  <si>
    <t>frazadas bordado winipoo</t>
  </si>
  <si>
    <t>Frazadas compradas alpaquita sin logos</t>
  </si>
  <si>
    <t>Ronald Coronel</t>
  </si>
  <si>
    <t>Ende</t>
  </si>
  <si>
    <t>Pantalones clasicos de jean varon (2"38", 4"40", 7"42", 6"44", 1"46", 1"50") jean clasico azul sin logos</t>
  </si>
  <si>
    <t>camisas de varon de trabajo(compradas) m/larga (5S, 8M, 5L, 2XL, 1XXL) jean azul clasico bordado ende y nombres</t>
  </si>
  <si>
    <t>chalecos mod. Silvia c/cinta reflectiva en la espalda (5S, 6M, 5L, 4XL, 1XXL ) jean azul clasico bordado ende y nombre</t>
  </si>
  <si>
    <t>pantalones mod. Urrutibehety sin vivos(2M, 4L) kaki 2da blanco sin logos</t>
  </si>
  <si>
    <t>pantalones mod. Urrutibehety sin vivos(2M, 4L) kaki 2da rojo sin logos</t>
  </si>
  <si>
    <t>bolsa mod. Lowes en taslan nylon rojo bordado toro rey y la direccion y telefono</t>
  </si>
  <si>
    <t>Carola Mhur</t>
  </si>
  <si>
    <t>chamarras varon mod trailer(4M,26L,2XL) con pretina c/elastico con forro polar y fibra bordado pil tu alimento para toda la vida</t>
  </si>
  <si>
    <t>Pamela bilbao</t>
  </si>
  <si>
    <t>poleras polo hombre m/c, sin puño 3M, 2L, 1XL bordado cooperativa Urkupiña</t>
  </si>
  <si>
    <t>poleras polo mujer m/c sin puño "M" bordado cooperativa Urkupiña</t>
  </si>
  <si>
    <t>chalecos para garzon (3M, 2L) tergal verde Knorr forro bonge bordado Knorr</t>
  </si>
  <si>
    <t>Maria Luisa</t>
  </si>
  <si>
    <t>poleras polo varon m/c (4L, 1XL) pique calipso bordado PI-&gt;Entel; MD-&gt;marketing</t>
  </si>
  <si>
    <t>poleras polo mujer m/c L pique calipso bordado PI-&gt;Entel; MD-&gt;marketing</t>
  </si>
  <si>
    <t>poleras polo varon m/c (4L, 1XL) pique amarillo bordado PI-&gt;Entel; MD-&gt;marketing</t>
  </si>
  <si>
    <t>poleras polo mujer m/c L pique amarillo bordado PI-&gt;Entel; MD-&gt;marketing</t>
  </si>
  <si>
    <t>chamarras de varon c/forro polar (15L, 15XL) mod. Trailer sin el doblez taslan nylon blanco, polar verde bordado PI-&gt; Ades, espalda-&gt; Ades</t>
  </si>
  <si>
    <t>chamarras de mujer c/forro polar (40M, 10L, 10XL)  mod. Trailer sin el doblez taslan nylon blanco, polar verde bordado PI-&gt; Ades, espalda-&gt; Ades</t>
  </si>
  <si>
    <t>Juegos de Toallas varios colores bordado Sedal</t>
  </si>
  <si>
    <t>Madelleine mirabal</t>
  </si>
  <si>
    <t>Mandiles para lavar ropa con borde color amarillo Oxford azul pastel serigrafiado pecho Surf</t>
  </si>
  <si>
    <t>poleras polo mujer m/c mod. Regia escote de 18CM "M" algodón blanco-&gt;cuerpo; azul pastel -&gt;mangas, cuello, carterita vista serigrafiado pecho Surf dimension(15x11cm)</t>
  </si>
  <si>
    <t>Soleras de mujer (2S, 3M) según mod. Entregado color negro serigraf. Box Cochabamba-&gt; pecho; powerade-&gt; espalda</t>
  </si>
  <si>
    <t>Soleras de varon (3S, 3M, 3L, 2XL) según mod. Entregado color negro serigraf. Box Cochabamba-&gt; pecho; powerade-&gt; espalda</t>
  </si>
  <si>
    <t>poleras wering compradas</t>
  </si>
  <si>
    <t>Alejandro Rios/ Hellen</t>
  </si>
  <si>
    <t>poleras polo mujer m/c  pique amarillo bordado cocacola , kingdon</t>
  </si>
  <si>
    <t>Jorge Muriel</t>
  </si>
  <si>
    <t>Muebleria Russly</t>
  </si>
  <si>
    <t>Guardapolvos multiagro m/c c/porta lapiz en ambas mangas con cierre (10XL, 8L, 6M) kaki kaki bordadoPI-&gt;Muriel; PD-&gt;Russly</t>
  </si>
  <si>
    <t>Mi salud</t>
  </si>
  <si>
    <t>Guardapolvos según mod. (5S, 13M, 13L, 3XL) popelina naranja licrado</t>
  </si>
  <si>
    <t>Botiquinis pequeños lona naranja plastico transparente  serigraf. Mi salud</t>
  </si>
  <si>
    <t>Servicio de serigrafiado en tazas(LP-&gt;1389; SC-&gt;1321; CBBA-&gt;690)</t>
  </si>
  <si>
    <t>chalecos mod. Silvia con forro "L" kaki 1ra plomo oscuro bordados PD-&gt;maxam; PI-&gt;fanexa; E-&gt;maxam</t>
  </si>
  <si>
    <t>Michael Paravicini</t>
  </si>
  <si>
    <t>Colegio señor de mayo</t>
  </si>
  <si>
    <t>poleras polo de varon según modelo (12S, 12M) pique blanco c/verde bordado logo señor de mayo</t>
  </si>
  <si>
    <t>poleras polo de mujer según modelo (12S, 12M) pique blanco c/verde bordado logo señor de mayo</t>
  </si>
  <si>
    <t>poleras para educacion fisica varon (6S, 6M) algodón blanco , verde bordado logo señor de mayo</t>
  </si>
  <si>
    <t>poleras para educacion fisica mujer (6S, 6M) algodón blanco , verde bordado logo señor de mayo</t>
  </si>
  <si>
    <t>Shorts de varon (6S, 6M) algodón</t>
  </si>
  <si>
    <t>Shorts de mujer (6S, 6M) algodón</t>
  </si>
  <si>
    <t>Gorras kaki 2da naranja c/vicera verde bordado 12-&gt;muriel; 12-&gt;russly</t>
  </si>
  <si>
    <t>poleras polo mujer m/c c/puño (M, L, XL) pique verde; cuello puño carterita-&gt; amarillo bordado PI-&gt;Russly; E-&gt;Russly</t>
  </si>
  <si>
    <t>poleras polo varon m/c c/puño (2M, 2L, 2XL, 3XXL) pique verde; cuello puño carterita-&gt; amarillo bordado PI-&gt;Russly; E-&gt;Russly</t>
  </si>
  <si>
    <t>poleras polo mujer m/c c/puño (M, L, XL) pique amarillo; cuello puño carterita-&gt; verde bandera bordado PI-&gt;Muriel; E-&gt;Muriel</t>
  </si>
  <si>
    <t>poleras polo varon m/c c/puño (2M, 2L, 2XL, 3XXL) pique amarillo; cuello puño carterita-&gt; verde bandera bordado PI-&gt;Muriel; E-&gt;Muriel</t>
  </si>
  <si>
    <t>Lilian</t>
  </si>
  <si>
    <t>poleras polo varon m/c (12L, 16XL) pique amarillo oro bordado PI-&gt;dumbo</t>
  </si>
  <si>
    <t>poleras polo mujer m/c (12L, 16XL) pique amarillo oro bordado PI-&gt;dumbo</t>
  </si>
  <si>
    <t>luis Fernando Aguilar</t>
  </si>
  <si>
    <t>poleras polo varon m/c "L" pique rojo bordado PI-&gt; lifebuoy</t>
  </si>
  <si>
    <t>camisetas de basquetball (4M, 3L, 2XXL) poliester blanco con verde bordado PI-&gt; señor de mayo; serigrafiado pecho y espalda los numeros</t>
  </si>
  <si>
    <t>Shorts según mod. (4M, 3L, 2XXL) poliester verde c/franja verde serigraf. En PI-&gt; numero</t>
  </si>
  <si>
    <t>pantalones de varon (2"44", 2"38") KAKI 1RA BLANCO</t>
  </si>
  <si>
    <t>pantalones de mujer "46" kaki 1ra blanco</t>
  </si>
  <si>
    <t>pantalones de varon 2"42", 4"44" kaki 1ra marfil</t>
  </si>
  <si>
    <t>Guardapolvos de doctor m/larga (3M, 2L) kaki 2da blanco</t>
  </si>
  <si>
    <t>poleras compradas algodón amarillo logo Splash</t>
  </si>
  <si>
    <t>portacoolers amarillo logo Sbelt</t>
  </si>
  <si>
    <t>Gorras institucionales kaki 2da azul marino con rojo logo pil</t>
  </si>
  <si>
    <t>batones según mod. De varon m/larga "M" tergal blanco bordado PI-&gt;omo</t>
  </si>
  <si>
    <t>poleras para niños cuello redondo algodón (1azul marino, 1 rojo, 1verdelechuga, 2 blanco) bordado PC-&gt;omo</t>
  </si>
  <si>
    <t>Redy</t>
  </si>
  <si>
    <t>Ron Abuelo</t>
  </si>
  <si>
    <t>Chalecos mod. Silvia con forro polar (60L, 36M, 24XL) kaki 2da negro bordado PI-&gt;ron abuelos; serigraf espalda-&gt;ron abuelo</t>
  </si>
  <si>
    <t>chalecos mod. Silvia (12M, 12L) kaki negro forro bonge bordado PI-&gt;ron abuelos; serigraf espalda-&gt;ron abuelo</t>
  </si>
  <si>
    <t>Bolsones de viaje según mod. 50x30x20 cuerina azul marino bordado en un lateral OMO NE=OTE3822</t>
  </si>
  <si>
    <t>Carmen Abujder</t>
  </si>
  <si>
    <t>Guardapolvos mod. Mi salud, aumentar al largo 10cm "L" kaki 2da 1blanco con vivos amarillos, 1 arena con vivos azul pastel bordao PI-&gt;logo copelme</t>
  </si>
  <si>
    <t>faldones de cocina(chef)mod knorr kaki2da 1amarillo oro y 1 azul pastel sin logos</t>
  </si>
  <si>
    <t>faldones de cocina(chef)mod knorr kaki2da negro sin logos</t>
  </si>
  <si>
    <t xml:space="preserve">Yuri Villarroel </t>
  </si>
  <si>
    <t>poleras varon cuello Vm/c doble manga "L" algodón naranja c/franjas verdes bordado PI-&gt;chimore, PC-&gt;bandera nacional y wipala; MI-&gt; chimore 26 años; serigrafiado-&gt;espalda: numeros</t>
  </si>
  <si>
    <t>Cortos de varon "L" algodón naranja sin logos</t>
  </si>
  <si>
    <t>poleras varon cuello V m/c (14L, 1xl) algodón verde bandera c/franjas verdes bordado PI-&gt;chimore, PC-&gt;bandera nacional y wipala; MI-&gt; chimore 26 años; serigrafiado-&gt;espalda: numeros</t>
  </si>
  <si>
    <t>Cortos de varon (14L, 1XL) algodón verde bandera sin logos</t>
  </si>
  <si>
    <t>Sandra Samudio</t>
  </si>
  <si>
    <t>Cefte</t>
  </si>
  <si>
    <t>poleras polo mujer según muestra m/larga c/puño logo CEFTE</t>
  </si>
  <si>
    <t>Madelleine Mirabal</t>
  </si>
  <si>
    <t>Manteles 3,8x2,8metros tergal celeste sin logos</t>
  </si>
  <si>
    <t>Sobremanteles 3,3x1,8 tergal azul logo omo</t>
  </si>
  <si>
    <t>poleras según diseño de varon m/c (112L, 48M) algodón azul pastel detalles naranja bordado PI-&gt;omo por que ensuc…; serigraf. Espalda-&lt;z48 hras</t>
  </si>
  <si>
    <t>Alejandro Rico</t>
  </si>
  <si>
    <t>poleras polo varon m/c c/puño (7M, 7L, 6S) pique rojo bordado PI-&gt;Suack Play; MD-&gt; cocacola</t>
  </si>
  <si>
    <t>cartucheras (porta cds) según mod.  Cuerina azul pastel Serigraf. Omo multiacion, logo interior omo</t>
  </si>
  <si>
    <t>Gorras mod. 6 paneles piel de durazno negro bordado frente Harley Davidson; atrás Burn</t>
  </si>
  <si>
    <t>Caff</t>
  </si>
  <si>
    <t>poleras mujer mod. Cuello V molde regia (2S, 8M, 1S) interlook blanco bordado PI-&gt;</t>
  </si>
  <si>
    <t>poleras varon mod. Cuello V (3S, 6M, 1L, 3XL) interlook blanco bordado PI-&gt;</t>
  </si>
  <si>
    <t>Vanessa Lizarazu / Saul Jimenez</t>
  </si>
  <si>
    <t>ANULDAO</t>
  </si>
  <si>
    <t>IMPORTE TOTAL Bs.</t>
  </si>
  <si>
    <t>MONTO TOTAL MES AGOSTO</t>
  </si>
  <si>
    <t>$us.</t>
  </si>
  <si>
    <t>Mancomunidad el Caine</t>
  </si>
  <si>
    <t>Gorras mod 6 paneles c/hebilla metalica kaki 1ra kaki, vicera verde botella con 2 bordado Mancomunidad Caine</t>
  </si>
  <si>
    <t>Gorras mod 6 paneles c/hebilla metalica kaki 1ra kaki, vicera verde botella bordado Mancomunidad Caine</t>
  </si>
  <si>
    <t>poleras polo hombre(3M, 18L, 17XL, 2XXL, 1XXXL) pique verde botella bordado mancomunidad el caine</t>
  </si>
  <si>
    <t>poleras polo mujer(1S, 5M, 3L) pique verde botella bordado mancomunidad el caine</t>
  </si>
  <si>
    <t xml:space="preserve">Paola Angulo </t>
  </si>
  <si>
    <t>Original</t>
  </si>
  <si>
    <t>camisas compradas 2L, 1XL blanco bordado en el bolsillo MC</t>
  </si>
  <si>
    <t>Poleras polo hombre m/c con puño y cuello blanco (1XL, 5L, 1S) pique blanco bordado MD-&gt;AUZZA y PI-&gt;MC</t>
  </si>
  <si>
    <t>Poleras polo hombre m/c con puño y cuello negro (3L, 1S) pique blanco bordado MD-&gt;AUZZA y PI-&gt;MC</t>
  </si>
  <si>
    <t>mochilas mod sedal Oxford logos Kotex plinitud Scott Huggies, kimberly bolivia</t>
  </si>
  <si>
    <t>Overoles simples con cinta reflectiva (4M, 12L, 6XL, 2XXL) kaki 1ra plomo oscuro</t>
  </si>
  <si>
    <t>Deysi pedroza/Hortencia</t>
  </si>
  <si>
    <t>Tarata</t>
  </si>
  <si>
    <t>poleras polo mujer m/c con franjas laterales de 8 cm ancho "S" interlook celeste</t>
  </si>
  <si>
    <t>poleras polo varon m/c</t>
  </si>
  <si>
    <t>Susy Rodriguez</t>
  </si>
  <si>
    <t>S/N</t>
  </si>
  <si>
    <t>poleras polo mujer c/puño m/c cuello y puño de pique (6L, 6S, 12M) algodón vanizado blanco-&gt; cuerpo; rojo manga</t>
  </si>
  <si>
    <t>Sarah</t>
  </si>
  <si>
    <t>poleras polo m/c mujer (1XS, 5S, 6M) pique rosado bordado PI-&gt;yoguberry; E-&gt;isotipo de yoguberry</t>
  </si>
  <si>
    <t>poleras polo m/c mujer (1XS, 5S, 6M) pique blanco bordado PI-&gt;yoguberry; E-&gt;isotipo de yoguberry</t>
  </si>
  <si>
    <t>viceras con hebilla atrás kaki 2da fuccia logo yoguberry completo</t>
  </si>
  <si>
    <t>mandiles tergal fuccia bordado isotipo yoguberry</t>
  </si>
  <si>
    <t>mandiles cortos tergal fuccia bordado isotipo yoguberry</t>
  </si>
  <si>
    <t>vanessa Lizarazu</t>
  </si>
  <si>
    <t>poleras polo varon m/c c/puño (19XL,1XXL) pique azul marino bordado PI-&gt;WMS</t>
  </si>
  <si>
    <t>poleras polo varon m/c c/puño (16M, 7L) pique azul marino bordado PI-&gt;WMS</t>
  </si>
  <si>
    <t>poleras polo mujer m/c c/puño "M" pique azul marino bordado PI-&gt;WMS</t>
  </si>
  <si>
    <t>Juan Pablo Quiroga</t>
  </si>
  <si>
    <t>Morrales según mod. Oxford negro verde tapa serigrafiada pico beso topline</t>
  </si>
  <si>
    <t>Almohadas en forma de beso rojo serigraf. pico beso topline</t>
  </si>
  <si>
    <t>Marcelo Guardia</t>
  </si>
  <si>
    <t>USIP</t>
  </si>
  <si>
    <t>poleras polo manga rangla m/c varon (7L, 8XL, 1M) algodón verde botella blanco bordado PI-&gt; USIP, E-&gt;Arquitectura; MD-&gt; nombres</t>
  </si>
  <si>
    <t>poleras polo manga rangla m/c mujer (3S, 6M, 2L) algodón verde botella blanco bordado PI-&gt; USIP, E-&gt;Arquitectura; MD-&gt; nombres</t>
  </si>
  <si>
    <t>Bernardo Vargas</t>
  </si>
  <si>
    <t>poleras polo varon m/c "L" pique negro bordado PI-&gt; burn+fueguito</t>
  </si>
  <si>
    <t>poleras polo mujer m/c "L" pique negro bordado PI-&gt; burn+fueguito</t>
  </si>
  <si>
    <t>camisas (5L, 4M, 1XXL)jean clasico bordado  PI-&gt;Ende; PD-&gt; Ayudante de almacen</t>
  </si>
  <si>
    <t>chalecos mod silvia c/cinta reflectiva en espalda (5L, 4M, 1XXL)jean clasico bordado  PI-&gt;Ende; PD-&gt; Ayudante de almacen</t>
  </si>
  <si>
    <t>Pantalones clasicos (5"40", 5"42") jean clasico</t>
  </si>
  <si>
    <t>Jhimmy Montaño</t>
  </si>
  <si>
    <t>poleras polo M/C hombre (9XL) pique verde botella y marfil bordado MD-&gt; cochabamba; PI-&gt; escudo</t>
  </si>
  <si>
    <t>poleras polo M/C hombre (9M, 27L) pique verde botella y marfil bordado MD-&gt; cochabamba; PI-&gt; escudo</t>
  </si>
  <si>
    <t>Juan Pablo Perez/Vanessa Lizarazu/Saul Jimenez</t>
  </si>
  <si>
    <t>pantalones jean clasico c/2 cintas reflectivas en ambas piernas (6"38", 8"40", 8"42", 2"48") jean azul clasico sin logos</t>
  </si>
  <si>
    <t>camisas de trabajp c/2bolsillos superiores varon kaki 1ra kaki bordado bolsillo -&gt;unilever</t>
  </si>
  <si>
    <t>pantalones varon kaki1ra kaki</t>
  </si>
  <si>
    <t>gorras</t>
  </si>
  <si>
    <t>poleras polo mujer manga rangla m/c (15S, 10M) algodón verde botella blanco bordado PI-&gt;USIP; en 1M, 2S bordar MKT6</t>
  </si>
  <si>
    <t>poleras polo varon manga rangla m/c (15M, 10L, 3XL) algodón verde botella blanco bordado PI-&gt;USIP; en 1L,1XL bordar MKT6</t>
  </si>
  <si>
    <t>poleras polo mujer manga rangla m/c ( 1M, 2S) algodón verde botella blanco bordado PI-&gt;USIP; en 1M, 2S bordar MKT6</t>
  </si>
  <si>
    <t>poleras polo varon manga rangla m/c (1L,1XL) algodón verde botella blanco bordado PI-&gt;USIP; en 1L,1XL bordar MKT6</t>
  </si>
  <si>
    <t>poleras polo mujer manga rangla m/c (20S, 10M) algodón verde botella blanco bordado PI-&gt;USIP</t>
  </si>
  <si>
    <t>poleras polo varon manga rangla m/c (20M, 15L, 5XL) algodón verde botella blanco bordado PI-&gt;USIP</t>
  </si>
  <si>
    <t>Gorras mod. 6 paneles kaki 2da azul marino amarillo oro bordao frente XXXII campeonato coboce cemento 2010</t>
  </si>
  <si>
    <t>poleras polo mujer m/c M pique azul marino bordado PI-&gt;Scott</t>
  </si>
  <si>
    <t>poleras polo mujer m/c M pique blanco marino bordado PI-&gt;Scott</t>
  </si>
  <si>
    <t>poleras polo varon m/c M pique azul marino bordado PI-&gt;Scott</t>
  </si>
  <si>
    <t>poleras polo varon m/c M pique blanco marino bordado PI-&gt;Scott</t>
  </si>
  <si>
    <t>Angie Haiek</t>
  </si>
  <si>
    <t>poleras de niño m/c cuello O (20"4", 20"6", 20"8", 20"10", 20"12") algodón naranja serigraf. P-&gt;Rey de la casa; E-&gt;omo; M-&gt;Omo48 horas</t>
  </si>
  <si>
    <t>poleras de niño m/c cuello O (20"4", 20"6", 20"8", 20"10", 20"12") algodón azul pastel serigraf. P-&gt;Rey de la casa; E-&gt;omo; M-&gt;Omo48 horas</t>
  </si>
  <si>
    <t>poleras de niño m/c cuello O con combinado azul (20"4", 20"6", 20"8", 20"10", 20"12") algodón celeste bebe serigraf. P-&gt;Rey de la casa; E-&gt;omo; M-&gt;Omo48 horas</t>
  </si>
  <si>
    <t>Oscar Orellana</t>
  </si>
  <si>
    <t>Tiens</t>
  </si>
  <si>
    <t>Gorras mod. 6 paneles kaki1ra blanco y kaki 2da interior vicera interior volcada naranja bordado tiens</t>
  </si>
  <si>
    <t>Gorras mod. 6 paneles kaki1ra blanco y kaki 2da interior vicera interior volcada verde bandera bordado tiens</t>
  </si>
  <si>
    <t>poleras polo mujer m/c c/puño (6M, 3L, 1XL, 2S) pique verde manzana bordado PI-&gt;Tiens</t>
  </si>
  <si>
    <t>poleras polo mujer m/c c/puño (6M, 3L, 1XL, 2S) pique naranja bordado PI-&gt;Tiens</t>
  </si>
  <si>
    <t>poleras polo varon m/c c/puño (3M, 6L, 3XL) pique verde manzana bordado PI-&gt;Tiens</t>
  </si>
  <si>
    <t>poleras polo varon m/c c/puño (3M, 6L, 3XL) pique naranja bordado PI-&gt;Tiens</t>
  </si>
  <si>
    <t>Enrique Roman/Gabriela Gomez</t>
  </si>
  <si>
    <t>Guardapolvos de mujer m/c según mod. "M" tergal negro bordado P-&gt;Sedal Co- creative</t>
  </si>
  <si>
    <t>Guardapolvos varon m/c según diseño "M" tergal negro bordado P-&gt;Sedal co-creative</t>
  </si>
  <si>
    <t>Camisas compradas de varon m/c "M" negro bordado PD-&gt;Sedal</t>
  </si>
  <si>
    <t>Iris</t>
  </si>
  <si>
    <t>Global Milenium</t>
  </si>
  <si>
    <t>poleras polo mujer m/c (18M, 20S, 6L) algodón rojo; cuello, carterita, doble manga azul marino bordado PI-&gt; global milenium serigraf.-&gt; camino al éxito</t>
  </si>
  <si>
    <t>poleras polo hombre m/c (18M, 20S, 6L) algodón rojo; cuello, carterita, doble manga azul marino bordado PI-&gt; global milenium serigraf. Camino al éxito</t>
  </si>
  <si>
    <t>poleras polo mujer m/c (4M, 2S) algodón azul; cuello, carterita, doble manga roja bordado PI-&gt; global milenium; MD-&gt;IGM</t>
  </si>
  <si>
    <t>poleras polo hombre m/c (6M) algodón azulmarino; cuello, carterita, doble manga rojo bordado PI-&gt; global milenium</t>
  </si>
  <si>
    <t>Dennise</t>
  </si>
  <si>
    <t>Uniformes (guardapolvo y pantalon)m/larga (10S, 10M, 10L)kaki 2da amarillo</t>
  </si>
  <si>
    <t>Uniformes (guardapolvo y pantalon)m/c (10S, 10M, 10L)kaki 2da amarillo</t>
  </si>
  <si>
    <t>Luis rene</t>
  </si>
  <si>
    <t>poleras (7L, 2XL) pique negro, naranja las mangas bordado PI-&gt;</t>
  </si>
  <si>
    <t>Gorras kaki 2da negro vicera interna naranja</t>
  </si>
  <si>
    <t>Karen Justiniano</t>
  </si>
  <si>
    <t>Southtech</t>
  </si>
  <si>
    <t>poleras polo varon m/c (10L, 2XL) pique rojo bordado PI-&gt;Southtech bolivia; espalda-&gt;Southtech de bolivia SRL</t>
  </si>
  <si>
    <t>Alejandra Gumucio</t>
  </si>
  <si>
    <t>poleras deportivas igual a la selección alemana (9L,3XL) capa negro</t>
  </si>
  <si>
    <t>poleras deportivas "L" capa blanco</t>
  </si>
  <si>
    <t>Pepe Mariscal</t>
  </si>
  <si>
    <t xml:space="preserve">pantalon "42" kaki 2da negro bordado </t>
  </si>
  <si>
    <t>camisa  "L"  bordado BI-&gt;GMI; espalda-&gt; Seguridad copelme</t>
  </si>
  <si>
    <t>Parka para seguridad "L" kaki negro</t>
  </si>
  <si>
    <t>Maritza Gutierrez</t>
  </si>
  <si>
    <t>Maletines según mod. Lona negro bordado-&gt;Universidad tecnica privada cosmos III congreso internacional de estrategas holisticas para el siglo XXI</t>
  </si>
  <si>
    <t>s/n</t>
  </si>
  <si>
    <t>capas de peluqueria taslan nylon negro logo sedal</t>
  </si>
  <si>
    <t>Boris Albornoz</t>
  </si>
  <si>
    <t>Plan B</t>
  </si>
  <si>
    <t>poleras cuello redondo varon m/c c/puño c/3 franjas en los hombros (5XL, 6XXL, 1XXXXL) algodón vanizado verde bandera serigraf. pecho -&gt; plan B;  espalda-&gt; plan B</t>
  </si>
  <si>
    <t>Geraldine Mercado</t>
  </si>
  <si>
    <t>poleras polo mujer m/c "M" algodón blanco-&gt;cuerpo; cuello y carterita rojo serigraf pecho-&gt;Maizena</t>
  </si>
  <si>
    <t xml:space="preserve">Jorge Sejas </t>
  </si>
  <si>
    <t>poleras de niño compradas (81"6", 60"8", 37"10", 13"12", 3"14") algodón blanco bordado PI-&gt;Special Olimpics Atletas jovenes; frente inf. Der-&gt;unilever</t>
  </si>
  <si>
    <t>Jaqueline Revollo</t>
  </si>
  <si>
    <t>chalecos según mod. Con forro (1M, 3segun muestra) kaki 2da plomo oscuro bordado unilever tpm, coordinador SHE</t>
  </si>
  <si>
    <t>Rafael Gonzales</t>
  </si>
  <si>
    <t>portachuteras mod. Rexona Lona u oxford azul marino bordado U</t>
  </si>
  <si>
    <t>Carol Andrea Vallejo</t>
  </si>
  <si>
    <t>Minoil S.A.</t>
  </si>
  <si>
    <t>poleras polo mujer m/c "M" pique blanco bordado PI-&gt;Tumix</t>
  </si>
  <si>
    <t>poleras polo hombre m/c (L) pique blanco bordado PI-&gt;Tumix</t>
  </si>
  <si>
    <t>poleras polo hombre m/c (2XL, 2XXL) pique blanco bordado PI-&gt;Tumix</t>
  </si>
  <si>
    <t>Ines Vargas</t>
  </si>
  <si>
    <t>Crecer</t>
  </si>
  <si>
    <t>poleras polo mujer m/c "M" pique blancocuerpo;  cuello carterita, doble manga y doble polera verde bordado PI-&gt; crecer</t>
  </si>
  <si>
    <t>poleras polo hombre m/c (2XL, 6L, 1M) pique blancocuerpo;  cuello carterita, doble manga y doble polera verde bordado PI-&gt; crecer</t>
  </si>
  <si>
    <t>Sarina Magne</t>
  </si>
  <si>
    <t>estuches de lapices para varon cierre verde gigantografia ben 10</t>
  </si>
  <si>
    <t>estuches de lapices para mujer cierre rosado gigantografia pucca</t>
  </si>
  <si>
    <t>Cortos de varon (9L, 3XL) capa negro con franjas en los costados doradas bordado en pieram logo entel</t>
  </si>
  <si>
    <t>Cortos de varon "L" capa blanco con franjas en los costados doradas bordado en pieram logo entel</t>
  </si>
  <si>
    <t>chamarras varon mod. Trailer (30L, 42XL, 48XXL) taslan nylon azul marino bordado PI-&gt;omo</t>
  </si>
  <si>
    <t>chamarras varon mod. Trailer (20L, 28XL, 32XXL) taslan nylon azul pastel bordado PI-&gt;surf</t>
  </si>
  <si>
    <t>chalecos mod. Silvia (60L, 60XL, 120XXL) kaki 2da azul marino bordado PI-&gt;omo</t>
  </si>
  <si>
    <t>chalecos mod. Silvia (40L, 40XL, 80XXL) kaki 2da azul pastel bordado PI-&gt;surf</t>
  </si>
  <si>
    <t>poleras polo varon m/c (60M, 60L, 60XL) pique azul marino bordado PI-&gt;omo</t>
  </si>
  <si>
    <t>poleras polo varon m/c (40M, 40L, 40XL) pique celeste oscuro bordado PI-&gt;surf</t>
  </si>
  <si>
    <t>poleras compradas (24M, 48L ,48XL) algodón azul marino bordado PI-&gt;omo</t>
  </si>
  <si>
    <t>poleras compradas (16M, 32L ,32XL) algodón celeste oscuro bordado PI-&gt;surf</t>
  </si>
  <si>
    <t>Mandiles con bolsillo pequeño tergal azul marino bordado pecho centro omo</t>
  </si>
  <si>
    <t>Mandiles con bolsillo pequeño tergal azul pastel bordado pecho centro surf</t>
  </si>
  <si>
    <t>poleras mujer tipo camisa "S" algodón azul con blanco bordado dragon bowling</t>
  </si>
  <si>
    <t>poleras varon tipo camisa (4M, 1L) algodón azul con blanco bordado dragon bowling</t>
  </si>
  <si>
    <t>poleras varon tipo camisa (2M, 1XL) algodón rojo con negro bordado i</t>
  </si>
  <si>
    <t>poleras mujer tipo camisa (3S, 2L) algodón rojo con negro bordado i</t>
  </si>
  <si>
    <t>poleras mujer tipo camisa /3M, 2XL) algodón verde oscuro con verde limon bordado Strike bowling</t>
  </si>
  <si>
    <t>poleras varon tipo camisa XL algodón verde oscuro con verde limon bordado Strike bowling</t>
  </si>
  <si>
    <t>poleras mujer tipo camisa (1S, 2M, 1XXL) algodón crema con azulino bordado Rockets bowling</t>
  </si>
  <si>
    <t>poleras varon tipo camisa (2M, 2XL) algodón crema con azulino bordado Rockets bowling</t>
  </si>
  <si>
    <t>poleras mujer tipo camisa (3M, 2L, 1XL) algodón verde petroleo con turqueza bordado pinos locos</t>
  </si>
  <si>
    <t>poleras varon tipo camisa (1M, 1XL) algodón verde petroleo con turqueza bordado pinos locos</t>
  </si>
  <si>
    <t>poleras mujer tipo camisa (L) algodón amarillo con azul bordado fire ball</t>
  </si>
  <si>
    <t>poleras mujer tipo camisa (2L, 1XL) algodón amarillo con azul bordado fire ball</t>
  </si>
  <si>
    <t>poleras mujer tipo camisa (1S, 1L, 1XL) algodón calipso con negro bordado comex team</t>
  </si>
  <si>
    <t>poleras varon tipo camisa (1S, 3XXL) algodón calipso con negro bordado comex team</t>
  </si>
  <si>
    <t>poleras mujer tipo camisa (1S, 2M) algodón celeste oscuro con verde manzana bordado buenos amigos</t>
  </si>
  <si>
    <t>poleras varon tipo camisa (1M, 3L) algodón celeste oscuro con verde manzana bordado buenos amigos</t>
  </si>
  <si>
    <t>poleras mujer tipo camisa (L) algodón negro con rojo  bordado rain bowling</t>
  </si>
  <si>
    <t>poleras varon tipo camisa (L) algodón negro con rojo  bordado rain bowling</t>
  </si>
  <si>
    <t>poleras mujer tipo camisa (M) algodón morado con naranja bordado bufalos mojados</t>
  </si>
  <si>
    <t>poleras varon tipo camisa (1L, 3XL, 2XXL) algodón morado con naranja bordado bufalos mojados</t>
  </si>
  <si>
    <t>poleras mujer tipo camisa (L) algodón verde petroleo claro con verde petroleo oscuro bordado Rock- n-bowlers</t>
  </si>
  <si>
    <t>poleras varon tipo camisa (4L, 2XL) algodón verde petroleo claro con verde petroleo oscuro bordado Rock- n-bowlers</t>
  </si>
  <si>
    <t>poleras mujer tipo camisa (M) algodón verde petroleo claro con verde petroleo oscuro bordado pin pals</t>
  </si>
  <si>
    <t>poleras varon tipo camisa (5XL) algodón verde petroleo claro con verde petroleo oscuro bordado pin pals</t>
  </si>
  <si>
    <t>Lizbeth Luna</t>
  </si>
  <si>
    <t>poleras polo m/c c/puño mujer (3S, 4M, 4L, 1XXL)pique tumbo-&gt; cuerpo, tumbo oscuro-&gt; cuello carterita y puño bordado copelme nuevo logo</t>
  </si>
  <si>
    <t>poleras polo m/c c/puño hombre (8M, 8L, 3XL, 1XXL)pique tumbo-&gt; cuerpo, tumbo oscuro-&gt; cuello carterita y puño bordado copelme nuevo logo</t>
  </si>
  <si>
    <t>poleras polo m/c c/puño mujer (3S, 3M, 1L, 1XXL)pique azul claro-&gt; cuerpo, azul pastel-&gt; cuello carterita y puño bordado copelme nuevo logo</t>
  </si>
  <si>
    <t>poleras polo m/c c/puño hombre (7M, 4L, 3XL, 1XXL)pique azul claro-&gt; cuerpo, azul pastel-&gt; cuello carterita y puño bordado copelme nuevo logo</t>
  </si>
  <si>
    <t>poleras polo m/c c/puño mujer (M)pique blanco bordado copelme nuevo logo</t>
  </si>
  <si>
    <t>poleras polo m/c c/puño hombre (4L, 1XXL)pique averde bordado copelme nuevo logo</t>
  </si>
  <si>
    <t>Sergio Gumucio</t>
  </si>
  <si>
    <t>poleras de alemania (6M, 16L, 2XL) capa blanco logo serigrafiado</t>
  </si>
  <si>
    <t>Cortos (6M, 16L, 2XL) capa negro</t>
  </si>
  <si>
    <t>Fidelia Perez</t>
  </si>
  <si>
    <t>Manteles blancos 2,6x1,5 mtr lino melanch blanco sin logos</t>
  </si>
  <si>
    <t>Jeri Ferrufino</t>
  </si>
  <si>
    <t>El Arriero</t>
  </si>
  <si>
    <t>poleras polo mujer m/c doble manga (6S, 5M, 4L, 1XL) pique arena-&gt;cuerpo; guindo -&gt; cuello carterita y doble manga c/3 botones  bordado PI-&gt;churrasqueria ; PD-&gt; nombre</t>
  </si>
  <si>
    <t>poleras polo hombre m/c doble manga (2S, 9M, 1L, 2XL) pique arena-&gt;cuerpo; guindo -&gt; cuello carterita y doble manga c/3 botones  bordado PI-&gt;churrasqueria ; PD-&gt; nombre</t>
  </si>
  <si>
    <t>poleras polo mujer m/c c/puño (2M, 1L) pique rojo bordado PI-&gt;logo del arriero ; -&gt; nombre</t>
  </si>
  <si>
    <t>polera polo varon m/c c/puño (M) pique rojo bordado PI-&gt;logo del arriero ; -&gt; nombre</t>
  </si>
  <si>
    <t>Gorras mod. 6 paneles kaky</t>
  </si>
  <si>
    <t>Humbert Sandoval</t>
  </si>
  <si>
    <t>Faboce</t>
  </si>
  <si>
    <t>chamarras hombre con forro polar (1S, 8M, 20L, 31XL, 6XXL) prada azul marino-&gt; parte superior y mangas; rojo-&gt; parte inf.; blanco; polara azul marino bordado PI-&gt; faboce</t>
  </si>
  <si>
    <t>chamarras mujer con forro polar (10S, 12M, 8L, 2XL) prada azul marino-&gt; parte superior y mangas; rojo-&gt; parte inf.; blanco; polara azul marino bordado PI-&gt; faboce</t>
  </si>
  <si>
    <t>chamarras hombre con forro de red (5M, 2XL, 1XXL) prada azul marino-&gt; parte superior y mangas; rojo-&gt; parte inf.; blanco; forro de red azul marino bordado PI-&gt; faboce</t>
  </si>
  <si>
    <t>chamarras mujer con forro de red (L) prada azul marino-&gt; parte superior y mangas; rojo-&gt; parte inf.; blanco; forro de red azul marino bordado PI-&gt; faboce</t>
  </si>
  <si>
    <t>Alejandra</t>
  </si>
  <si>
    <t>camisas de mujer m/3/4 (6S, 6M, 3L) flyflex blanco bordado PI-&gt; Plusbelle</t>
  </si>
  <si>
    <t>Gorras mod. Sedal 1 gorras sin bordado kaki2da celeste bebe bordado frente Plusbelle</t>
  </si>
  <si>
    <t>poleras polo mujer m/c (10S, 5M)pique blanco bordado PI-&gt; plusbelle; serigraf, espalda plusbelle</t>
  </si>
  <si>
    <t>poleras polo mujer m/c(10S, 20M, 10L) pique celeste bebe bordado PI-&gt; plusbelle; serigraf, espalda plusbelle</t>
  </si>
  <si>
    <t>Rompevientos de mujer M c/bolsillos laterales taslan nylon celeste bebe bordado PI-&gt; plusbell; serigraf. Espalda-&gt;Plusbelle</t>
  </si>
  <si>
    <t xml:space="preserve">Herbert Navarro </t>
  </si>
  <si>
    <t>Club Bohemios</t>
  </si>
  <si>
    <t>Gorras mod. 6 paneles con hebilla metalica kaki 2da cabeza azul marino vicera interior volcada color rojo bordado frente diablito; atrás -&gt; bohemios</t>
  </si>
  <si>
    <t>parkas termicas (1M, 2L, 1XL, 1XXL) kaki 1ra plomo oscuro</t>
  </si>
  <si>
    <t>Gudsy</t>
  </si>
  <si>
    <t>Giselle</t>
  </si>
  <si>
    <t>poleras polo m/c mujer, efecto doble manga(4M, 5L) pique celeste bebe; carterita, doble manga cuello azul marino ojo aumentara al largo 2.5 cm</t>
  </si>
  <si>
    <t>poleras polo m/larga mujer(1M) pique celeste bebe; carterita, doble manga cuello azul marino bordado PI-&gt; logo alcaldes; MD-&gt; Dpto. juridico tributario: ojo aumentara al largo 2.5 cm</t>
  </si>
  <si>
    <t>poleras polo m/c varon, efecto doble manga(11L) pique celeste bebe; carterita, doble manga cuello azul marino bordado PI-&gt; logo alcaldes; MD-&gt; Dpto. juridico tributario: ojo aumentara al largo 2.5 cm</t>
  </si>
  <si>
    <t>poleras polo m/c varon, efecto doble manga( 1XL) pique celeste bebe; carterita, doble manga cuello azul marino bordado PI-&gt; logo alcaldes; MD-&gt; Dpto. juridico tributario: ojo aumentara al largo 2.5 cm</t>
  </si>
  <si>
    <t>poleras de mujer con cuelloV m/c(25M, 25M) tela full licra CELESTE OSCURO  bordado PI-&gt; fino light</t>
  </si>
  <si>
    <t>calzas de mujer (25S, 25M) full licra celeste oscuro c/blanco bordado PI-&gt;fino light</t>
  </si>
  <si>
    <t>rompeviento de mujer c/bolsillo M taslan calipso nylon bordado PI-&gt; fino light</t>
  </si>
  <si>
    <t>poleras tipo polo de mujer L pique calipso bordado PI-&gt; fino light</t>
  </si>
  <si>
    <t>Gorras mod tomboi kaki calipso logo fino light</t>
  </si>
  <si>
    <t>poleras polo varon m/rangla m/c doble manga "L" algodón blanco-&gt; cuerpo;  negro-&gt;mangas; rojo-&gt;cuello doble manga carterita serigraf 3M temflex</t>
  </si>
  <si>
    <t>Gorras mod 6 paneles kaki 2da negro bordado 3M temflex</t>
  </si>
  <si>
    <t>poleras polo mujer m/c (2S, 5M) pique fuccia sin logos</t>
  </si>
  <si>
    <t>polera polo mujer m/c M pique blanco sin logos</t>
  </si>
  <si>
    <t>Jhonny perez</t>
  </si>
  <si>
    <t>chalecos mod. Silvia c/forro bonge(11M, 20L, 3XL) kaki 2da kaki combinado verde bordado espalda</t>
  </si>
  <si>
    <t>poleras hombre (6L, 6M)pique kaki combinado verde bordado PI-&gt;</t>
  </si>
  <si>
    <t>Gorras mod. 6 paneles kaki 2da kaki cabeza vicera verde bordado frente</t>
  </si>
  <si>
    <t>Victor Onofre</t>
  </si>
  <si>
    <t>poleras polo mujer m/c (5M, 5L) pique verde botella bordado PI-&gt; mancomunidad</t>
  </si>
  <si>
    <t xml:space="preserve">camisas según mod. Ponds manga 3/4 (14S, 14M) flyflex blanco bordadoPI-&gt;borges; </t>
  </si>
  <si>
    <t>poleras polo mujer m/c c/puño talla regia light carterita para 2 botones(15S, 15M, 10L)pique naranja bordado PD-&gt; mimaskot PI-&gt;borges serigraf espalda mimaskot</t>
  </si>
  <si>
    <t>rompevientos con bolsillo de mujer "M" taslan nylon naranja  bordado pPI- mimaskot, serigraf espalda mimaskot</t>
  </si>
  <si>
    <t>Gorras mod. Tamboi con hebilla metalica kaki naranja bordado mimaskot</t>
  </si>
  <si>
    <t>camisas mod ponds de mujer manga 3/4 (8S, 7M) flyflex blanco bordado PI regia light</t>
  </si>
  <si>
    <t>Erick moyano/Neil Caussin</t>
  </si>
  <si>
    <t>Target</t>
  </si>
  <si>
    <t>camisas compradas varon m/larga (20L, 5XL) blanco  bordado colegio ingenieros comerciales</t>
  </si>
  <si>
    <t>camisas de mujer (10S, 10M, 5L) santo milano blanco bordado colegio ingenieros comerciales</t>
  </si>
  <si>
    <t>camisa de mujer (2S, 1M, 1L) santo milano bordado fridosa</t>
  </si>
  <si>
    <t>camisas compradas de varon 2XL bordado PI-&gt; fridosa</t>
  </si>
  <si>
    <t>mandiles mod imba con 2 bolsillos pequeños tergal celeste bebe  bordado suave</t>
  </si>
  <si>
    <t>bananeros mod ola oxford PLOMO bordado suave</t>
  </si>
  <si>
    <t>poleras compradas XL algodón blanco bordadoPI-&gt; suave</t>
  </si>
  <si>
    <t>Gorras mod 6 paneles kaki 2da celeste  bordado suave</t>
  </si>
  <si>
    <t>chalecos mod. Silvia sin forro kaki 2da bordado suave</t>
  </si>
  <si>
    <t>frazadas de 1,5 plazas compradas sin logos</t>
  </si>
  <si>
    <t>maletines sin logos</t>
  </si>
  <si>
    <t>delgadillo</t>
  </si>
  <si>
    <t>Multiinternacional</t>
  </si>
  <si>
    <t>Gorras mod. 6 paneles kaki 2da rojo bordado Archer</t>
  </si>
  <si>
    <t>mirabal</t>
  </si>
  <si>
    <t>uds 30x3 pique blanco con el borde</t>
  </si>
  <si>
    <t>poleras polo mujer m/c(40M, 40L) pique azul marino bordado PI-&gt; omo, espalda-&gt; 48 horas</t>
  </si>
  <si>
    <t>poleras polo mujer m/c(40M, 28L) pique calipso bordado PI-&gt; surf; serigraf. Espalda surf</t>
  </si>
  <si>
    <t>ANULADO</t>
  </si>
  <si>
    <t>Miriam Soto</t>
  </si>
  <si>
    <t>FDTA Valles</t>
  </si>
  <si>
    <t>Gorras kaky 2da kaky la cabeza; azul marino la vicera bordado  fundacion del valle de los 10 años; costado der.-&gt; IV feria nacional de se… muyupampa</t>
  </si>
  <si>
    <t>Guardapolvos según mod. Enviado 10L, 10M, 10XL kaki 1ra plomo oscuro bordado maxam fanexa</t>
  </si>
  <si>
    <t>Overoles simples XXL kaki 1ra plomo oscuro</t>
  </si>
  <si>
    <t>poleras polo varon m/c c/ puño "L" pique azul marino bordado PI-&gt;kimberly bolivia S.A.</t>
  </si>
  <si>
    <t>chalecos mod. Silvia c/forro "L" kaki 2da azul marino bordado PI-&gt;Kimberly boliviaS.A.; espalda -&gt; kotex, Scott,  plenitud hugies</t>
  </si>
  <si>
    <t>Gorras mod. 6 paneles kaki 2da azul marino bordado frente kimberly bolivia S.A</t>
  </si>
  <si>
    <t>Elizabeth chavez</t>
  </si>
  <si>
    <t>poleras polo m/c varon c/puño (4S, 19M, 32L, 20XL)pique rojo puño y carterita blanco bordado</t>
  </si>
  <si>
    <t>poleras polo m/c varon c/puño ( 4XXL, 1XXXL)pique rojo puño y carterita blanco bordado</t>
  </si>
  <si>
    <t>poleras polo m/c varon c/puño ( 4M, 4L, 4XL) pique azul pastel c/puño y carterita blanco bordado</t>
  </si>
  <si>
    <t>Junkers</t>
  </si>
  <si>
    <t>poleras polo varon m/c(3S, 3M, 9L) pique amarillo bordado junkers</t>
  </si>
  <si>
    <t>poleras polo mujer m/c(L) pique amarillo bordado junkers</t>
  </si>
  <si>
    <t>Gorras kaki 2da amarillo oro bordado junkers</t>
  </si>
  <si>
    <t>Mis Teens</t>
  </si>
  <si>
    <t>poleras de mujer según muestra (6S, 6M) licra de cuello blanco serigraf. trailer pecho centro</t>
  </si>
  <si>
    <t>poleras compradas de niño "10" algodón rojo serigraf. El rey de la casa soy yo pecho;  espalda-&gt; omo por que ensuciarse hace bien</t>
  </si>
  <si>
    <t>poleras compradas de niño "10" algodón amarillo serigraf. El rey de la casa soy yo pecho;  espalda-&gt; omo por que ensuciarse hace bien</t>
  </si>
  <si>
    <t>poleras compradas de niño "10" algodón naranja serigraf. El rey de la casa soy yo pecho;  espalda-&gt; omo por que ensuciarse hace bien</t>
  </si>
  <si>
    <t>poleras compradas de niño "10" algodón verde serigraf. El rey de la casa soy yo pecho;  espalda-&gt; omo por que ensuciarse hace bien</t>
  </si>
  <si>
    <t>cuadraditos de tela de algodón de 30x30</t>
  </si>
  <si>
    <t>toallitas de algodón s/logo</t>
  </si>
  <si>
    <t>felpas naranjas compradas</t>
  </si>
  <si>
    <t>portachuteras mod. rexona Lona u oxford azul marino bordado escudo de cai</t>
  </si>
  <si>
    <t>Jose Luis Almendra</t>
  </si>
  <si>
    <t>Grupo Ravi</t>
  </si>
  <si>
    <t>camisas de trabajo hombre m/larga c/ 2 bolsillos superiores 1 bolsillo para boligrafo manga izq. (3S, 11M, 7L, 2XL, 1XXL) kaki 2da azul marino bordado sobre el bolsillo Ravi</t>
  </si>
  <si>
    <t>camisas de trabajo hombre m/larga c/ 2 bolsillos superiores 1 bolsillo para boligrafo manga izq. (48S, 65M, 39L, 17XL, 4XXL) kaki 2da azul marino bordado sobre el bolsillo Ravi</t>
  </si>
  <si>
    <t>camisas de trabajo hombre m/larga c/ 2 bolsillos superiores 1 bolsillo para boligrafo manga izq. (3S, 5M, 3L, 2XL) kaki 2da bege bordado sobre el bolsillo Ravi</t>
  </si>
  <si>
    <t>Guardapolvos según mod. "S" lino melanch naranja bordado mi salud belleza y biennestar</t>
  </si>
  <si>
    <t>Maria Villca</t>
  </si>
  <si>
    <t>poleras de mujer según diseño tipo polo m/c doble manga y doble polera (2S, 13M, 3L) pique lila claro cuerpo y morado cuello , doble manga y doble polera bordado PI-&gt; trabajo social escudo</t>
  </si>
  <si>
    <t>poleras de varon según diseño tipo polo m/c doble manga y doble polera (1M, 1L) pique lila claro cuerpo y morado cuello , doble manga y doble polera bordado PI-&gt; trabajo social escudo</t>
  </si>
  <si>
    <t>Gilber Sampieri</t>
  </si>
  <si>
    <t xml:space="preserve">Sadec </t>
  </si>
  <si>
    <t xml:space="preserve">uniformes m/larga pantalon y guardapolvo (10L, 10XL) kaky 2da verde botella con combinado tumbo bordado PI-&gt; sadec </t>
  </si>
  <si>
    <t>pantalones (20M, 5L, 5XL) kaki 2da verde botella</t>
  </si>
  <si>
    <t>poleras tipo polo de varon (20M, 5L, 5XL) pique blanco-&gt;cuerpo verde botella -&gt; cuello carterita y puño bordado PI-&gt; sadec</t>
  </si>
  <si>
    <t>poleras tipo polo de varon (20M, 5L, 5XL) pique verde botella-&gt;cuerpo; blanco -&gt; cuello carterita y puño bordado PI-&gt; sadec</t>
  </si>
  <si>
    <t>Soleras de mujer según muestra XS interlook azul pastel bordado -&gt;entel; serigraf. Pecho-&gt; espalda entel</t>
  </si>
  <si>
    <t>Guardapolvos de mujer m/c según mod. (1XS, 39S, 14M, 2L, 1XL) kaki 2da azul marino  bordado PI-&gt;Ravi</t>
  </si>
  <si>
    <t>Guardapolvos de varon m/c según mod. (1M, 1L) kaki 2da azul marino  bordado PI-&gt;Ravi</t>
  </si>
  <si>
    <t>Guardapolvos de mujer m/larga según mod. (M) kaki 2da azul marino  bordado PI-&gt;Ravi</t>
  </si>
  <si>
    <t>Guardapolvos de doctor varon m/c largo hasta casi la rodilla(2M, 4L, 1XXL) kaki 2da blanco bordado PI-&gt;Ravi</t>
  </si>
  <si>
    <t>Guardapolvos de doctor mujer m/c largo hasta casi la rodilla(4S, 2M) kaki 2da blanco bordado PI-&gt;Ravi</t>
  </si>
  <si>
    <t>pantalones de trabajo varon c/bolsillos laterales en ambas piernas con cierre (14"38", 53"40", 73"42", 35"44", 11"46", 8"48", 10"50", 1"52", 1"54") kaki 1ra azul marino sin logos</t>
  </si>
  <si>
    <t>pantalones de mujer según mod. (1"34", 5"36", 7"38", 23"40", 20"42", 5"44", 3"46", 1"48") kaki 1ra azul marino sin logos</t>
  </si>
  <si>
    <t>pantalones de trabajo varon c/bolsillos laterales en ambas piernas con cierre (2"38", 1"40", 6"42", 1"44", 3"46") kaki 1ra  beige sin logos</t>
  </si>
  <si>
    <t>pantalones de mujer según mod. ("42") kaki 1ra beige sin logos</t>
  </si>
  <si>
    <t>Gissel</t>
  </si>
  <si>
    <t>Alcaldia</t>
  </si>
  <si>
    <t>polera polo hombre m/larga (3L) pique lila bordado PI-&gt; Alcaldia</t>
  </si>
  <si>
    <t>polera polo hombre m/larga (1XL) pique lila bordado PI-&gt; Alcaldia</t>
  </si>
  <si>
    <t>polera polo mujer m/larga (2L, 1M) pique lila bordado PI-&gt; Alcaldia</t>
  </si>
  <si>
    <t>polera polo mujer m/corta (M) pique lila bordado PI-&gt; Alcaldia</t>
  </si>
  <si>
    <t>polera polo hombre "XL" pique celeste bebe igual op676</t>
  </si>
  <si>
    <t>poleras de varon cuello redondo XXXL algodón blanco serigrafiado entel10 en el pecho</t>
  </si>
  <si>
    <t>poleras compradas "L" algodón blanco serigrafiado entel</t>
  </si>
  <si>
    <t>delantales de mujer según mod. Para restaurante kaki 2da azul marino bordado Hellmans</t>
  </si>
  <si>
    <t>faldones varon según mod. Kaki 2da azul marino bordado hellmans</t>
  </si>
  <si>
    <t>poleras polo varon m/c c/puño(20M, 50L) pique plomo-&gt; cuerpo; azul marino-&gt;cuello, pique carterita</t>
  </si>
  <si>
    <t>poleras polo varon m/c c/puño(30XL) pique plomo-&gt; cuerpo; azul marino-&gt;cuello, pique carterita</t>
  </si>
  <si>
    <t>poleras polo mujer m/c c/puño (20S, 50M, 30L) pique plomo-&gt; cuerpo; azul marino-&gt;cuello, pique carterita</t>
  </si>
  <si>
    <t>poleras de mujer cuello redondo según diseño m/c (20S, 50M, 30L) algodón blanco, azul marino, amarillo bordado hellmans</t>
  </si>
  <si>
    <t>poleras de varon cuello redondo según diseño m/c (20M, 50L) algodón blanco, azul marino, amarillo bordado hellmans</t>
  </si>
  <si>
    <t>poleras de varon cuello redondo según diseño m/c (30XL) algodón blanco, azul marino, amarillo bordado hellmans</t>
  </si>
  <si>
    <t>Gorras mod. 6 paneles kaki 2da azul marino bordado Hellmans</t>
  </si>
  <si>
    <t>poleras polo mujer c/puño  m/c "L" pique blanco c/2 botones bordado PI-&gt;</t>
  </si>
  <si>
    <t>poleras polo mujer c/puño  m/c "L" pique verde c/2 botones bordado PI-&gt;</t>
  </si>
  <si>
    <t>Noemi Lopez</t>
  </si>
  <si>
    <t>Asociaciones Ric</t>
  </si>
  <si>
    <t>poleras compradas (40M, 5L) azul marino bordadoPI-&gt; asociaciones ric</t>
  </si>
  <si>
    <t>Gorras Kaki2da 25 negro 25 azul pastel bordado asocia ciones ric</t>
  </si>
  <si>
    <t>Guardapolvos de varon m/Larga con abertura atrás bolsillo lado der. Tapa boton "L" kaki 2da blanco bordado 3Aipe Rio Caine, 2 Aproman, 5Apajimpa, 5Afrutar</t>
  </si>
  <si>
    <t>Guardapolvos de MUJER m/Larga con abertura atrás bolsillo lado der. Tapa boton "M" kaki 2da blanco bordado 5Aipe Rio Caine, 4 Aproman, 10Apajimpa, 10Afrutar</t>
  </si>
  <si>
    <t>Guardapolvos de varon m/Larga con abertura atrás bolsillo lado der. Tapa boton "L" kaki 2da kaki bordado unec  2 debe llevar bordado visitante</t>
  </si>
  <si>
    <t>Guardapolvos de MUJER m/Larga con abertura atrás bolsillo lado der. Tapa boton "M" kaki 2da kaki bordado unec 1 debe llevar bordado visitante</t>
  </si>
  <si>
    <t>Guardapolvos mujer m/c según img "M" tergal verde limon; café-&gt;cuello, puño, bolsillo , detalle bordadoPI-&gt;Chocapic</t>
  </si>
  <si>
    <t>Guardapolvos mujer m/larga según img "M" tergal verde limon; café-&gt;cuello, puño, bolsillo , detalle bordadoPI-&gt;Chocapic</t>
  </si>
  <si>
    <t>pantalones de mujer "40" tergal café sin logos</t>
  </si>
  <si>
    <t>Vladimir Cosio</t>
  </si>
  <si>
    <t>Fridosa</t>
  </si>
  <si>
    <t>chamarras mod trailer varon con capucha, scrach en el puño c/forro de red(66L, 22M, 4S, 31XL, 2XXL) taslan nylon azul marino bordado tipo parche PI-&gt;U Unilever</t>
  </si>
  <si>
    <t>frazadas sin logo</t>
  </si>
  <si>
    <t>poleras compradas "XL" logo suave</t>
  </si>
  <si>
    <t>Dayliane Rodriguez</t>
  </si>
  <si>
    <t>La Hoguera</t>
  </si>
  <si>
    <t>maletin mod LA HOGUERA</t>
  </si>
  <si>
    <t>monedero azul</t>
  </si>
  <si>
    <t>poleras polo mujer m/c "M" molde fino c/combinado algodón blanco y azul  bordado-&gt; omo serigraf.-&gt; dale a tu hijo un fin de semana de rey</t>
  </si>
  <si>
    <t>bolsitas mod reina tamaño 20x25cm taslan nylon turqueza bordado al frente omo</t>
  </si>
  <si>
    <t>servilletas tamaño 50x50 lino melanch arena bordado IP 7,5cm de ancho</t>
  </si>
  <si>
    <t>tela de 90x90cm serigraf IP de 70cm de ancho</t>
  </si>
  <si>
    <t>Wendy Canaviri</t>
  </si>
  <si>
    <t>poleras polo mujer m/c +5 cm al largo (15S, 7M, 6L) pique verde bordado PI-&gt;cocacola;  MD-&gt; logo</t>
  </si>
  <si>
    <t>poleras polo varon m/c (2S, 5M, 14L) pique verde bordado PI-&gt;cocacola;  MD-&gt; logo</t>
  </si>
  <si>
    <t>poleras polo varon m/c (4XL) pique verde bordado PI-&gt;cocacola;  MD-&gt; logo</t>
  </si>
  <si>
    <t>poleras polo mujer m/c c/puño c/6 botones y abertura en los lados (2S, 6M, 3L, 1XL) pique verde manzana claro bordado PI-&gt; tiens</t>
  </si>
  <si>
    <t>poleras polo varon m/c c/puño  y abertura en los lados (3M, 6L, 3XL) pique verde manzana claro bordado PI-&gt; tiens</t>
  </si>
  <si>
    <t>poleras polo mujer m/c c/puño c/6 botones y abertura en los lados (2S, 6M, 3L, 1XL) pique naranja bordado PI-&gt; tiens</t>
  </si>
  <si>
    <t>poleras polo varon m/c c/puño  y abertura en los lados (3M, 6L, 3XL) pique verde bandera bordado PI-&gt; tiens</t>
  </si>
  <si>
    <t>gorras mod. 6 paneles kaki 1ra blanco cabeza; kaki2da naranja vicera interior bordado tiens</t>
  </si>
  <si>
    <t>gorras mod. 6 paneles kaki 1ra blanco cabeza; kaki2da verde bandera vicera interior bordado tiens</t>
  </si>
  <si>
    <t>Miriam Apaza</t>
  </si>
  <si>
    <t>poleras de mujer según mod. c/cuello, puño, m/c(7M, 3L) interlook celeste bebe bordado PI-&gt;</t>
  </si>
  <si>
    <t>poleras varon polo m/c (10M, 4L, 1XL) algodón celeste bebe bordado PI-&gt;</t>
  </si>
  <si>
    <t>arreglo de pantalones de jean regularizacion se coloco cinta reflectiva</t>
  </si>
  <si>
    <t>Juan Pablo Elizabeth Chavez</t>
  </si>
  <si>
    <t>poleras polo mujer polo m/c c/puño c/8 botones (4S, 4L) pique rojo-&gt; cuerpo y cuello; blanco-&gt;puño y carteritaoculta bordado MI-&gt; bandera wipala; MD-&gt; ende; PI-&gt;corani</t>
  </si>
  <si>
    <t>poleras polo varon polo m/c c/puño c/8 botones (4L) pique rojo-&gt; cuerpo y cuello; blanco-&gt;puño y carteritaoculta bordado MI-&gt; bandera wipala; MD-&gt; ende; PI-&gt;corani</t>
  </si>
  <si>
    <t>poleras polo varon polo m/c c/puño c/8 botones ( 4XXL, 4XXXL) pique rojo-&gt; cuerpo y cuello; blanco-&gt;puño y carteritaoculta bordado MI-&gt; bandera wipala; MD-&gt; ende; PI-&gt;corani</t>
  </si>
  <si>
    <t>Jhonny Perez</t>
  </si>
  <si>
    <t>chalecos mod. Silvia c/vivos verdes (4XL, 5M, 3L) kaki2da kaki c/verde bordado canes</t>
  </si>
  <si>
    <t>poleras tipo polo varon m/c doble manga (4XL, 6L, 3M, 2S) pique verde hoja seca-&gt; cuerpo; verde pino-&gt;cuello, carterita bordado PI-&gt; canes</t>
  </si>
  <si>
    <t>gorras mod 6 paneles kaki 2da kaki  bordado en el frente lgogo de canes</t>
  </si>
  <si>
    <t>poleras de niño "4", "6", "8", "10"</t>
  </si>
  <si>
    <t>poleras cuello redondo manga rangla m/c mujer "M" algodón plomo cuerpo; azul pastel-&gt; mangas y cuello bordado MI-&gt;Ende corporacion</t>
  </si>
  <si>
    <t>poleras varon cuello redondo manga rangla m/c  (80M,20XL) algodón plomo cuerpo; azul pastel-&gt; mangas y cuello bordado MI-&gt;Ende corporacion</t>
  </si>
  <si>
    <t>chamarras de varon mod. Ignacio 2 (1M, 9L, 2XL, 1XXL) veis bordado interior Dove</t>
  </si>
  <si>
    <t>chamarras de mujer mod. Ignacio 2 (1M, 9L, 2XL, 1XXL) veis bordado  Dove</t>
  </si>
  <si>
    <t>gorras 6 paneles kaki 2da azul y rojo logo pil</t>
  </si>
  <si>
    <t>poleras compradas logo suave blanco de stock</t>
  </si>
  <si>
    <t>Karina</t>
  </si>
  <si>
    <t>poleras varon polo m/larga c/puño "XL" pique amarillo maiz-&gt;cuerpo; naranja-&gt; cuello, puño, carterita vista bordado archer</t>
  </si>
  <si>
    <t>poleras mujer polo m/larga c/puño (2M, 2L) pique amarillo maiz-&gt;cuerpo; naranja-&gt; cuello, puño, carterita vista bordado archer</t>
  </si>
  <si>
    <t>poleras varon polo m/larga c/puño "XL" pique ROJO-&gt;cuerpo; azul marino-&gt; cuello, puño, carterita vista bordado archer</t>
  </si>
  <si>
    <t>poleras mujer polo m/larga c/puño (2M, 2L) pique rojo-&gt;cuerpo; azul marino-&gt; cuello, puño, carterita vista bordado archer</t>
  </si>
  <si>
    <t xml:space="preserve">mandiles de señora mod. Yoguberry tergal rojo bordado Fridosa </t>
  </si>
  <si>
    <t>chalecos mod. Silvia doble cara "L" kaki2da rojo combinado c/negro bordado PI-&gt; Fridosa</t>
  </si>
  <si>
    <t>juegos de toallas de 3 piezas (comprar) toalla diferenes colores bordado Fridosa</t>
  </si>
  <si>
    <t>Servilletas tamaño 25x25cm tela de sabana bordado fridosa</t>
  </si>
  <si>
    <t>Esdenca Viscarra</t>
  </si>
  <si>
    <t>ACODEMAT</t>
  </si>
  <si>
    <t>Gorras mod. 6 paneles c/Scrach kaki 2da azul pastel-&gt;cabeza; vicera interior volcado blanco bordado logo Ciudades Focales cochabamba</t>
  </si>
  <si>
    <t>Ronald Wilson Hurichi Ramos</t>
  </si>
  <si>
    <t>Guardapolvos varon m/larga c/tapa boton mod. Lifebuoy c/3 bolsillos aumentar 10 cm "L" kaki 2da azul marino bordado</t>
  </si>
  <si>
    <t>poleras polo varon m/c doble manga (3L, 3XL) pique plomo bordado PI-&gt; tusoco; MD-&gt;bandera unicef; MI-&gt;progettomando</t>
  </si>
  <si>
    <t>poleras polo mujer m/c doble manga (3L) pique plomo bordado PI-&gt; tusoco; MD-&gt;bandera unicef; MI-&gt;progettomando</t>
  </si>
  <si>
    <t>poleras polo varon m/c doble manga "L"  pique plomo bordado PI-&gt; tusoco; MD-&gt;bandera unicef; MI-&gt;progettomando</t>
  </si>
  <si>
    <t>poleras polo varon m/L doble manga "L" pique plomo bordado PI-&gt; tusoco; MD-&gt;bandera unicef; MI-&gt;progettomando</t>
  </si>
  <si>
    <t>Trailer</t>
  </si>
  <si>
    <t>poleras polo mujer m/c c/puño (6S, 6M, 6L, 6XL, 6XXL) pique blanco-&gt; cuerpo; naranja-&gt;cuello carterita y puño</t>
  </si>
  <si>
    <t>poleras polo varon m/c c/puño (3M, 6L, 3XL, 3XXL) pique blanco -&gt; cuerpo;  naranja-&gt; cuello carterita y puño bordado trailer</t>
  </si>
  <si>
    <t>Lirio Santander</t>
  </si>
  <si>
    <t>Kimberly Clark</t>
  </si>
  <si>
    <t>chalecos mod. Copelme según muestra, quitar el 1er bolsillo con cierre "L" kaki 2da verde badera combinado arena bordado PI-&gt; kimberly Clark; espalda-&gt; kimberly clark tu papelera en el medio ambiente</t>
  </si>
  <si>
    <t>Servicio de serigrafiado en cubierto logo super rik</t>
  </si>
  <si>
    <t>uniformes m/c (5XL, 5XXL, 10S) kaki amarillo combinado verde bordado urrutibehety</t>
  </si>
  <si>
    <t>uniformes m/larga (5XL, 5XXL, 10S) kaki amarillo combinado verde bordado urrutibehety</t>
  </si>
  <si>
    <t>uniformes m/c (5XXL) kaki amarillo combinado verde bordado urrutibehety</t>
  </si>
  <si>
    <t>uniformes m/larga (5XXL) kaki amarillo combinado verde bordado urrutibehety</t>
  </si>
  <si>
    <t>Gorras pil mod. 6 paneles kaki azul con rojo bordado pil</t>
  </si>
  <si>
    <t>Gorras logo decurion de stock</t>
  </si>
  <si>
    <t>uniformes m/c (20S, 10M, 10L, 10XXL) kaki amarillo combinado verde bordado urrutibehety</t>
  </si>
  <si>
    <t>uniformes m/larga (20M, 10XXL) kaki amarillo combinado verde bordado urrutibehety</t>
  </si>
  <si>
    <t>poleras polo varon m/c (14S, 41M, 11L,1XL) pique negro bordado PI-&gt;sedal</t>
  </si>
  <si>
    <t>MONTO TOTAL MES OCTUBRE</t>
  </si>
  <si>
    <t>MONTO TOTAL MES SEPTIEMBRE</t>
  </si>
  <si>
    <t>MONTO TOTAL MES JULIO</t>
  </si>
  <si>
    <t>MONTO TOTAL MES ENERO</t>
  </si>
  <si>
    <t>Ricardo Rivera</t>
  </si>
  <si>
    <t>poleras polo varon m/c (2XL, 3L, 1M) pique c/plomo logo TPM, unilever, mantenimiento autonomo paso1: Limpieza inicial servicios, figura</t>
  </si>
  <si>
    <t>poleras polo varon m/c (2XL, 3L, 1M) pique c/VERDE PACAY logo TPM, unilever, mantenimiento autonomo paso1: Limpieza inicial servicios, figura</t>
  </si>
  <si>
    <t>poleras polo mujer m/c "L" pique c/verde pacay logo TPM, unilever, mantenimiento autonomo paso1: Limpieza inicial servicios, figura</t>
  </si>
  <si>
    <t>Sra. Soraida Magne</t>
  </si>
  <si>
    <t>Fraternidad Escara</t>
  </si>
  <si>
    <t>chamarras de varon polar azul marino c/cuello, cierre y vivo en el bolsillo rojo</t>
  </si>
  <si>
    <t>Gorras rojo la parte de arriba y azul marino de abajo</t>
  </si>
  <si>
    <t>Luis F. Aguilar / Angie Haik</t>
  </si>
  <si>
    <t>poleras polo varon m/c "L" pique c/amarillo logo omo sol</t>
  </si>
  <si>
    <t>poleras polo varon m/c "L" pique c/morado logo LUX</t>
  </si>
  <si>
    <t>almohaditas según muestra en polar c/crema logo Omo 25*70cm el arte</t>
  </si>
  <si>
    <t>Marco Antonio Porre de Leon</t>
  </si>
  <si>
    <t>Nuevatel</t>
  </si>
  <si>
    <t>poleras compradas (2S, 29M, 25L, 8XL, 8XXL) algodón c/negro logo en el pecho Compadres, The importance of team work ya que te agachaste para leer esto no quieres aprovechar?; busco comadre coje.. Mientras mas coje mejor!</t>
  </si>
  <si>
    <t>Gilbert Zampieri</t>
  </si>
  <si>
    <t>Sadec</t>
  </si>
  <si>
    <t>poleras polo mujer m/c, doble manga y cortante verde bandera (6S, 9M, 9L, 6XL) pique c/blanco</t>
  </si>
  <si>
    <t>poleras polo hombre m/c, con cuello doble manga y cortante verde bandera (6M, 9L, 6XL) pique c/blanco logo Sadec</t>
  </si>
  <si>
    <t>Karla Guzman</t>
  </si>
  <si>
    <t>Overoles de mujer (3M, 2S)astronauta bordado logo cohete</t>
  </si>
  <si>
    <t>Overoles de hombre (1XL, 1XXXL) astronauta bordado logo cohete</t>
  </si>
  <si>
    <t>mochilas astronauta</t>
  </si>
  <si>
    <t>Tinkus San Simon</t>
  </si>
  <si>
    <t>chamarras mod. Maxam en dos colores (30S, 30M, 20L) en prada c/rojo coordinador logos</t>
  </si>
  <si>
    <t>chamarras mod. Maxam (15M, 15L, 10XL)en prada c/rojo coordinador logos</t>
  </si>
  <si>
    <t>Rodolfo Quiroga</t>
  </si>
  <si>
    <t>Gorras mod 6 paneles kaki c/azul marino c/vicera roja logo Pil</t>
  </si>
  <si>
    <t>poleras polo varon m/c c/puño (1M, 3XL) pieque c/naranja =OP299 logo bandera nacional, unilever c/sobretela, cochabamba c/sobretela,conferencia manufacturera</t>
  </si>
  <si>
    <t>poleras polo mujer m/c c/puño (1M, 1L) pieque c/naranja =OP299 logo bandera nacional, unilever c/sobretela, cochabamba c/sobretela,conferencia manufacturera</t>
  </si>
  <si>
    <t xml:space="preserve"> serv. De bordado en poleras logo conferencia</t>
  </si>
  <si>
    <t>Marco Sanjinez</t>
  </si>
  <si>
    <t>chamarras de varon (4L, 8XL, 2M) tela de beizo c/azul pastel logo 31 años, San Simon</t>
  </si>
  <si>
    <t>pantalones de jena  que idio anteriormente</t>
  </si>
  <si>
    <t>poleras polo varon m/c "L" pique c/azul pastel, naranja logo Entel Marketing</t>
  </si>
  <si>
    <t>poleras polo mujer m/c "L" pique c/azul pastel, naranja logo Entel Marketing</t>
  </si>
  <si>
    <t>servicios de serigrafiado en poleras RKC -&gt; bicentenario</t>
  </si>
  <si>
    <t>Soleras de mujer (10S, 5M) interlook blanco c/azul pastel logo television satelital para todos</t>
  </si>
  <si>
    <t>porta coolers logo Ades</t>
  </si>
  <si>
    <t>ponchillos logo ades</t>
  </si>
  <si>
    <t>Andres Torrez</t>
  </si>
  <si>
    <t>pantalones capri mujer en tergal c/azul marino</t>
  </si>
  <si>
    <t>poleras de mujer cuello v manga O en algodón azul marino logo Surf</t>
  </si>
  <si>
    <t>poleras polo varon m/c algodón blanco logo Surf</t>
  </si>
  <si>
    <t>poleras cuello redondo varon m/c algodón azulmarino logo surf</t>
  </si>
  <si>
    <t>bananeros institucionales c/azulmarino</t>
  </si>
  <si>
    <t>gorras kaki c/azul marino</t>
  </si>
  <si>
    <t>chamarras mod. Trailer de varon c/forro polar(5S, 10M, 20L, 10XL, 5 XXL) logo decurion</t>
  </si>
  <si>
    <t>Sandra Alcons</t>
  </si>
  <si>
    <t>Servicios Limitados</t>
  </si>
  <si>
    <t>guardapolvos m/c hombre mod. Maxam con detalles c/arena "XL" kaki 2da café logo "servicios limitados"</t>
  </si>
  <si>
    <t>guardapolvos m/c hombre mod. Maxam con detalles c/cafe "XL" kaki 2da arena logo "servicios limitados"</t>
  </si>
  <si>
    <t>Gorras según mod.se debe quitar 2 cm al alto en la parte de la nuca en kaki 2 café 2 arena logo "servicios limitados"</t>
  </si>
  <si>
    <t>poleras polo varon m/c c/bolsillo en el pecho izq. En pique blanco (24S, 12M) logo "colegio bolivia"</t>
  </si>
  <si>
    <t>poleras polo mujer m/c c/bolsillo en el pecho izq. En pique blanco (24S, 12M) logo "colegio bolivia" igual a la OP320</t>
  </si>
  <si>
    <t>toallas pequeñas c/blanco logo powerade</t>
  </si>
  <si>
    <t>gorras kaki blanco con vivos calipso logo powerade</t>
  </si>
  <si>
    <t>servicios de serigrafiado en mochilas</t>
  </si>
  <si>
    <t>Denisse Crespo</t>
  </si>
  <si>
    <t>Uniformes(guardapolvo y pantalon) M/C kaki amarillo (10S, 10M) logo Urrutibehety</t>
  </si>
  <si>
    <t>Uniformes(guardapolvo y pantalon) M/C kaki amarillo ( 10L) logo Urrutibehety</t>
  </si>
  <si>
    <t>Uniformes(guardapolvo y pantalon) m/l kaki amarillo (10S, 10M) logo Urrutibehety</t>
  </si>
  <si>
    <t>Uniformes(guardapolvo y pantalon) m/larga kaki amarillo (10L) logo Urrutibehety</t>
  </si>
  <si>
    <t>pantalon extra amarillo</t>
  </si>
  <si>
    <t>Poleras varon m/c cuello V "L" en algodón negro c/cuello blanco logo sedal CO-CREATIONS</t>
  </si>
  <si>
    <t>manteles negros de 1,50x0,80</t>
  </si>
  <si>
    <t>manteles negros de 0,65x1,20</t>
  </si>
  <si>
    <t>manteles negros de 4x2,80</t>
  </si>
  <si>
    <t>camisas según diseño "L"</t>
  </si>
  <si>
    <t>pantalones según diseño "42"</t>
  </si>
  <si>
    <t>Carolina</t>
  </si>
  <si>
    <t>Look Publicidad</t>
  </si>
  <si>
    <t>Overol termico como el del astronauta XXL en prada blanco</t>
  </si>
  <si>
    <t>chalecos mod. Silvia c/forro "L" kaki azul marino Logo Pil</t>
  </si>
  <si>
    <t>Paola Frias</t>
  </si>
  <si>
    <t>Mochilas mod. #6144 de lona a cuadros c/veis</t>
  </si>
  <si>
    <t>chalecos mod. Silvia sin forro "L" en kaki c/arena</t>
  </si>
  <si>
    <t>Sandra Romero</t>
  </si>
  <si>
    <t>CRF Construstora SRL</t>
  </si>
  <si>
    <t>OVEROLES</t>
  </si>
  <si>
    <t>chamarras (3S, 5M, 20L, 8 XL) kaki c/azul marino c/forro polar mod. Piloto coboce eventos logo CRF constructora</t>
  </si>
  <si>
    <t>Zorka Villacorta</t>
  </si>
  <si>
    <t>poleras compradas c/celeste bebe logo Cambio Generacional</t>
  </si>
  <si>
    <t>gorras 6 paneles</t>
  </si>
  <si>
    <t>poleras polo mujer m/c (6XL, 14L)</t>
  </si>
  <si>
    <t>poleras polo hombre m/c (18L, 10XL, 2XXL)</t>
  </si>
  <si>
    <t>chamarras (2M, 2L) algodón brilloso c/azul pastel = OP332</t>
  </si>
  <si>
    <t>almohaditas polar c/lila bordado niña y omo todo niño tiene derecho a mas diversion bordao de 24 cm</t>
  </si>
  <si>
    <t>almohaditas polar c/celeste bordado niño y omo todo niño tiene derecho a mas diversion bordao de 24 cm</t>
  </si>
  <si>
    <t>bananeros mod ola en lona oxford c/verde limon logo Super Ri-k</t>
  </si>
  <si>
    <t>bananeros mod ola en lona oxford c/naranja logo Super Ri-k</t>
  </si>
  <si>
    <t>poleras compradas en algodón verde limon</t>
  </si>
  <si>
    <t>poleras compradas en algodón naranja logo super Ri-k</t>
  </si>
  <si>
    <t>Overoles simples c/reflectivo(6L, 10XL, 20 XXL) kaki c/plomo oscuro logo maxam fanexa</t>
  </si>
  <si>
    <t>parkas termicas (9M, 12L, 6XL) kaki c/plomo oscuro logo maxam fanexa</t>
  </si>
  <si>
    <t>Overoles simples camuflados (2L, 2XL, 2XXL) kaki camuflado s/logo</t>
  </si>
  <si>
    <t>Overoles termicos camuflados (L, XL, XXL) kaki camuflado s/logo</t>
  </si>
  <si>
    <t>Judith huayllani</t>
  </si>
  <si>
    <t>Pil distribuidora</t>
  </si>
  <si>
    <t>chalecos doble cara 1 mod silvia las otras mod sencillo "L" kaki azul marino logo pil</t>
  </si>
  <si>
    <t>chalecos Splash de stock</t>
  </si>
  <si>
    <t>Grupo Regional</t>
  </si>
  <si>
    <t>Chalecos "L" mod. Silvia kaki 2da rojo logomatarazzo</t>
  </si>
  <si>
    <t>Mandiles c/doble bolsillo igual al de pil en kaki 2da c/rojo logo matarazzo</t>
  </si>
  <si>
    <t>Gorras mod. 6 paneles c/ribet celeste turquesa igual OP340 en kaki 2da c/blanco logo powerade</t>
  </si>
  <si>
    <t>Toallas de cabeza logo sedal</t>
  </si>
  <si>
    <t>Winchas</t>
  </si>
  <si>
    <t>Sets de hebillas  dif. Colores (6 modelos)</t>
  </si>
  <si>
    <t>canastas (37 Bs) fundas (30 Bs)</t>
  </si>
  <si>
    <t>Servicio de bordado en chompas 18 docenas</t>
  </si>
  <si>
    <t>Servicio de bordado de camisas</t>
  </si>
  <si>
    <t xml:space="preserve">Vania Cadima </t>
  </si>
  <si>
    <t>Unimix</t>
  </si>
  <si>
    <t>camisas de varon (4S, 7L, 6M, 2XL)en kaki verde hoja seca logo unimix</t>
  </si>
  <si>
    <t>pantalones (6"40", 7"42", 5"44") en kaki verde hoja seca logo unimix</t>
  </si>
  <si>
    <t>sombreros en kaki verde hoja seca logo unimix OP2989</t>
  </si>
  <si>
    <t>sombreros kaki 2da azul marino logo unimix</t>
  </si>
  <si>
    <t>Sin utilidad</t>
  </si>
  <si>
    <t>Poleras polo varon (2S, 31L, 2XL) pique blanco S/logos</t>
  </si>
  <si>
    <t>Karina Negron</t>
  </si>
  <si>
    <t>poleras polo varon doble manga(1M, 6L, 1XL) pique morado cuerpo, negro el cuello logo Strike</t>
  </si>
  <si>
    <t>poleras polo mujer doble manga (1S, 5M, 2L)</t>
  </si>
  <si>
    <t>poleras polo varon doble manga(1M, 6L, 1XL) pique verde cuerpo, crema cuello logo strike</t>
  </si>
  <si>
    <t>poleras polo varon manga corta (2L, 3XL) pique negro logo strike</t>
  </si>
  <si>
    <t>Servicio de bordado en poleras</t>
  </si>
  <si>
    <t>Pantalones ( 10"46", 10"48", 5"50") en casimir tropical azul marino oscuro</t>
  </si>
  <si>
    <t>Pantalones (15"42", 10"44") en casimir tropical azul marino oscuro</t>
  </si>
  <si>
    <t>chamarra c/forro de red mod. Trailer (2M, 1L, 1XL, 3XXL) en taslan nylon azul marino logo seguridad decurion</t>
  </si>
  <si>
    <t>Overoles mod. Maxam (10M, 10L, 5XL) en kaki negro solo bordado en la espalda logo decurion</t>
  </si>
  <si>
    <t>Ramiro Nogales</t>
  </si>
  <si>
    <t>Vanesa Mora</t>
  </si>
  <si>
    <t>poleras de mujer cuello V m/c "M" tela interlak rojo logo matarazzo (10M)</t>
  </si>
  <si>
    <t>toallas pequeñas c/blanco c/2 bordados (tropical tours, Copa Airlines)</t>
  </si>
  <si>
    <t>vestidos cortos "S" en algodón blanco con detalles rojos</t>
  </si>
  <si>
    <t>Iris Ibarra</t>
  </si>
  <si>
    <t>poleras polo cuello V m/c doble manga varon "S" algodón plomo c/azul marino logo (IGM, camino al éxito, global milenium)</t>
  </si>
  <si>
    <t>poleras polo cuello V m/c doble manga mujer 24"S", 24 "M" algodón plomo c/azul marino logo (IGM, camino al éxito, global milenium)</t>
  </si>
  <si>
    <t>Cinthia Miranda</t>
  </si>
  <si>
    <t>Inflapark</t>
  </si>
  <si>
    <t>poleras tipo polo varon m/c (2S, 7M, 2L, 1XL) en pique azul pastel logo imflapark</t>
  </si>
  <si>
    <t>poleras polo de varon m/c(30M, 3L) algodón blanco cuello verde bandera logo copa ades 2010</t>
  </si>
  <si>
    <t>poleras polo mujer m/c "M" algodón blanco logo copa ades 2010</t>
  </si>
  <si>
    <t>Gorras en kaki blanco logo ades</t>
  </si>
  <si>
    <t>poleras cuello redondo manga cero varon "M" algodón blanco logo ades</t>
  </si>
  <si>
    <t>poleras cuello redondo manga cero mejer "M" algodón blanco logo ades</t>
  </si>
  <si>
    <t>capris de mujer en tergal verde bandera logo ades</t>
  </si>
  <si>
    <t>Isabel Bakir</t>
  </si>
  <si>
    <t>camisas de mujer "M" en Lino c/blanco Logo en Kotex</t>
  </si>
  <si>
    <t>pantalones de mujer "42" c/negro</t>
  </si>
  <si>
    <t>carteras pequeñas 34hojasX6</t>
  </si>
  <si>
    <t>carteras grandes 22hojasX5</t>
  </si>
  <si>
    <t>Mochilas en lona a cuadros c/veis logo lux rexona</t>
  </si>
  <si>
    <t>Lizette Garcia</t>
  </si>
  <si>
    <t>Colegio Don Bosco</t>
  </si>
  <si>
    <t>poleras polo-varon m/c con pùño c/naranja (cuerpo, cuello); verde botella(puños) logo escudo y promo 2023</t>
  </si>
  <si>
    <t>poleras polo mujer m/c c/puño en pique c/naranja (cuerpo, cuello); verde botella(puños) logo escudo y promo 2023</t>
  </si>
  <si>
    <t>Save the children</t>
  </si>
  <si>
    <t>Toallas compradas</t>
  </si>
  <si>
    <t>Isabel Bakir/Maria Silvestre</t>
  </si>
  <si>
    <t>poleras polo "M"mujer m/c c/puño pique blanco logo Kimberly bolivia S.A., Hipermaxi, Plenitud huggies, Scott Kotex</t>
  </si>
  <si>
    <t>poleras polo "M" varon m/c c/puño pique blanco logo Kimberly bolivia S.A., Hipermaxi, Plenitud huggies, Scott Kotex</t>
  </si>
  <si>
    <t>poleras polo mujer m/c c/puño (2S, 4M, 11L, 4 XL, 1XXL) en pique naranja claro logo don bosco promo 2022</t>
  </si>
  <si>
    <t>poleras polo mujer m/c c/puño (2M, 7L, 6 XL, 4XXL) en pique naranja claro logo don bosco promo 2022</t>
  </si>
  <si>
    <t>poleras polo varon m/c (25L, 20XL) logo Tumix</t>
  </si>
  <si>
    <t>Colegio Tiquipaya</t>
  </si>
  <si>
    <t>poleras de niño m/c s/puño (1"6", 27"8", 28"10", 11"12", 4"14") logo bordao 3ro primaria, en la manga der los nombres</t>
  </si>
  <si>
    <t>poleras de mujer s/puño</t>
  </si>
  <si>
    <t>Ana Maria Borda</t>
  </si>
  <si>
    <t>Farmedical</t>
  </si>
  <si>
    <t>polera polo mujer (1S, 7L) pique azul pastel logo farmedical cochabamba</t>
  </si>
  <si>
    <t>polera polo varon (1L, 2XL, 1XXL) pique azul pastel logo farmedical cochabamba</t>
  </si>
  <si>
    <t>polera polo mujer (1S, 7L) pique ROJO logo farmedical cochabamba</t>
  </si>
  <si>
    <t>polera polo varon (1L, 2XL, 1XXL) pique rojo logo farmedical cochabamba</t>
  </si>
  <si>
    <t>polera polo varon manga larga (XXL) pique 1rojo y 1 azul pastel sin logos</t>
  </si>
  <si>
    <t>Asociaciones RiC</t>
  </si>
  <si>
    <t>poleras de niño talla 12 c/azul marino</t>
  </si>
  <si>
    <t>poleras de adulto 20S, 20M</t>
  </si>
  <si>
    <t>Johanna Nacif</t>
  </si>
  <si>
    <t>camisas de varon m/L (1S, 5M, 1L) tergal crema logo colegio guido Roca Arteaga</t>
  </si>
  <si>
    <t>camisas de mujer manga3/4 (1S, 3M, 1L) lino melanch crema logo colegio guido Roca Arteaga</t>
  </si>
  <si>
    <t>poleras polo varon m/c doble manga (5M, 2L, 1XL) en pique arena(cuerpo), guindo(cuello) logo Colegio Guido roca Arteaga</t>
  </si>
  <si>
    <t>poleras polo mujer m/c doble manga (4M, 3L, 1XL) en pique arena(cuerpo), guindo(cuello) logo Colegio Guido roca Arteaga, dendur 2010, promo</t>
  </si>
  <si>
    <t>Escuela señor de mayo</t>
  </si>
  <si>
    <t>Poleras de niño 12"6", 12"8" + 12"4" en algodón vanizado blanco con detalles verdes lamitad de hombres LOGO SEÑOR  DE MAYO</t>
  </si>
  <si>
    <t xml:space="preserve">Poleras de niño 12"10", 12+6"12" en algodón vanizado blanco con detalles verdes lamitad de hombres </t>
  </si>
  <si>
    <t xml:space="preserve">Poleras de niño 12+6"14" en algodón vanizado blanco con detalles verdes lamitad de hombres </t>
  </si>
  <si>
    <t xml:space="preserve">Poleras  (12+6 S, 12+6 M, 6L, 6XL) en algodón vanizado blanco con detalles verdes lamitad de hombres </t>
  </si>
  <si>
    <t xml:space="preserve">cortos de niño 12"6", 12"8", + 12"4" en algodón vanizado blanco con detalles verdes lamitad de hombres </t>
  </si>
  <si>
    <t xml:space="preserve">cortos de niño 12"10", 12+6"12" en algodón vanizado blanco con detalles verdes lamitad de hombres </t>
  </si>
  <si>
    <t xml:space="preserve">Cortos de niño 12+6"14" en algodón vanizado blanco con detalles verdes lamitad de hombres </t>
  </si>
  <si>
    <t xml:space="preserve">Cortos  (12+6 S, 12+6 M, 6L, 6XL) en algodón vanizado blanco con detalles verdes lamitad de hombres </t>
  </si>
  <si>
    <t>servicio de serigrafiado</t>
  </si>
  <si>
    <t>uniformes m/larga (guardapolvo-pantalon) "XL" kaki amarillo logo Urrutibehety</t>
  </si>
  <si>
    <t>uniformes m/c (guardapolvo-pantalon) "XL" kaki amarillo logo Urrutibehety</t>
  </si>
  <si>
    <t>Lilian Hotman</t>
  </si>
  <si>
    <t>Dumbo</t>
  </si>
  <si>
    <t>poleras polo m/c mujer logo nuevo de dumbo</t>
  </si>
  <si>
    <t>poleras polo varon m/c (9L, 6XL, 3XXL, 3XXXL)pique rojo logo unilever 1er encuentro, facilitadores TPM cochabamba 2010, bandera</t>
  </si>
  <si>
    <t>poleras polo mujer m/c (3M)pique rojo logo unilever 1er encuentro, facilitadores TPM cochabamba 2010, bandera</t>
  </si>
  <si>
    <t>poleras polo varon m/c (18L, 3XL)pique azul pastel logo unilever 1er encuentro, facilitadores TPM cochabamba 2010, bandera</t>
  </si>
  <si>
    <t>poleras polo mujer m/c (3S)pique azul pastel logo unilever 1er encuentro, facilitadores TPM cochabamba 2010, bandera</t>
  </si>
  <si>
    <t>poleras polo varon m/c (3M, 9L, 12XL)pique amarillo logo unilever 1er encuentro, facilitadores TPM cochabamba 2010, bandera</t>
  </si>
  <si>
    <t>poleras polo varon m/c (15L, 6XL)pique naranja logo unilever 1er encuentro, facilitadores TPM cochabamba 2010, bandera</t>
  </si>
  <si>
    <t>poleras polo mujer m/c (3M)pique naranja logo unilever 1er encuentro, facilitadores TPM cochabamba 2010, bandera</t>
  </si>
  <si>
    <t>poleras polo varon m/c (3M, 3L, 12XL)pique verde bandera logo unilever 1er encuentro, facilitadores TPM cochabamba 2010, bandera</t>
  </si>
  <si>
    <t>poleras polo mujer m/c (3S, 3M)pique verde bandera logo unilever 1er encuentro, facilitadores TPM cochabamba 2010, bandera</t>
  </si>
  <si>
    <t>poleras polo varon m/c (6XL, 6XXL)pique blanco logo unilever 1er encuentro, facilitadores TPM cochabamba 2010, bandera</t>
  </si>
  <si>
    <t>poleras polo varon m/c (XL)pique negro logo unilever 1er encuentro, facilitadores TPM cochabamba 2010, bandera</t>
  </si>
  <si>
    <t>poleras polo mujer m/c (M)pique negro logo unilever 1er encuentro, facilitadores TPM cochabamba 2010, bandera</t>
  </si>
  <si>
    <t>Gorras rojas</t>
  </si>
  <si>
    <t>Gorras azul pastel</t>
  </si>
  <si>
    <t>Gorras amarillo oro</t>
  </si>
  <si>
    <t>Gorras naranja</t>
  </si>
  <si>
    <t>Gorras verde bandera</t>
  </si>
  <si>
    <t>Gorras blancas</t>
  </si>
  <si>
    <t>Gorras negras</t>
  </si>
  <si>
    <t>gorras institucionales kaki azul marino</t>
  </si>
  <si>
    <t>Walter Lazcano</t>
  </si>
  <si>
    <t>colegio Urkupiña</t>
  </si>
  <si>
    <t>poleras polo mujer m/c (20S, 18M, 2L) algodón turqueza cuerpo, azul lino el cuello</t>
  </si>
  <si>
    <t>poleras polo varon m/c (7S, 14M, 3L, 2XL) algodón turqueza cuerpo, azul lino el cuello logo</t>
  </si>
  <si>
    <t>chamarras deportivas según mod. Aprobado c/blanco logo Play Axe 2010</t>
  </si>
  <si>
    <t>poleras polo varon m/c (50+45M, 50+45L) pique amarillo logo bordado OMO</t>
  </si>
  <si>
    <t>poleras polo varon m/c (46+45M, 46+44L) pique verde logo bordado SURF</t>
  </si>
  <si>
    <t>Antonieta aldunate</t>
  </si>
  <si>
    <t>poleras polo (2M, 12L, 4XXL) pique naranja bordado Agrupacion voluntaria parque Lincon fase 1</t>
  </si>
  <si>
    <t>poleras tipo polo de mujer "s" pique turqueza claro s/logos</t>
  </si>
  <si>
    <t>Bolsones según muestra Osford negro</t>
  </si>
  <si>
    <t>Gustavo Teran</t>
  </si>
  <si>
    <t>Col. Pedro Poveda</t>
  </si>
  <si>
    <t>poleras polo mujer m/c doble manga y efecto doble polera (4S, 5M, 1 XL) Algodón calipso combinado negro logo colegio pedro poveda, promo 2010, nombre</t>
  </si>
  <si>
    <t>poleras polo varon m/c doble manga y efecto doble polera (3S, 4M, 1 XXL) Algodón calipso combinado negro logo colegio pedro poveda, promo 2010, nombre</t>
  </si>
  <si>
    <t>s/f</t>
  </si>
  <si>
    <t>mochilas negras mod. Sedal  global Oxford negro verde serigrafiado en gigantografia</t>
  </si>
  <si>
    <t>mochilas</t>
  </si>
  <si>
    <t>serv. Bordado camisas de mujer</t>
  </si>
  <si>
    <t>Carlos Lora</t>
  </si>
  <si>
    <t>Barbijos papolina algodón exterior arena interior lila</t>
  </si>
  <si>
    <t>neceseres c/verde según muestra</t>
  </si>
  <si>
    <t>neceseres según mod aprobado en lona cuadros c/celeste conribet y forro fuccia</t>
  </si>
  <si>
    <t>neceseres según mod aprobado en lona cuadros c/rosado conribet y forro fuccia</t>
  </si>
  <si>
    <t>neceseres según mod aprobado en lona cuadros c/plomo claro conribet y forro fuccia</t>
  </si>
  <si>
    <t>Alina Cuadros</t>
  </si>
  <si>
    <t>Cite</t>
  </si>
  <si>
    <t>Deportivos (chamarra y buzos) (43M, 31L, 6XL, 5XXL) en pique negro con detalles c/naranja</t>
  </si>
  <si>
    <t>Carla Sanchez</t>
  </si>
  <si>
    <t>poleras polo hombre m/c "M" c/azul marino logo scott</t>
  </si>
  <si>
    <t>poleras polo mujer "M" m/c logo scott</t>
  </si>
  <si>
    <t>Poleras polo varon m/c "M" pique amarillo de moxos logo Entel</t>
  </si>
  <si>
    <t>Poleras polo varon m/c "M" pique celeste bebe logo Entel</t>
  </si>
  <si>
    <t>Poleras polo varon m/c "M" pique azul pastel logo Entel</t>
  </si>
  <si>
    <t>Poleras polo varon m/c "M" pique blanco logo Entel</t>
  </si>
  <si>
    <t>Martha Vega</t>
  </si>
  <si>
    <t>Gorras mod. 6 paneles kaki 2da cabeza arena vicera kaki Logo USAID, FDTA valles10 años, Mani</t>
  </si>
  <si>
    <t>Poleras polo de niño #4 m/c 50% varon en pique blanco cuello puño verde logoescudo del colegio</t>
  </si>
  <si>
    <t>Poleras polo de niño #6 y 8 m/c 50% varon en pique blanco cuello puño verde logoescudo del colegio</t>
  </si>
  <si>
    <t>Poleras polo de niño #10 y 12 m/c 50% varon en pique blanco cuello puño verde logoescudo del colegio</t>
  </si>
  <si>
    <t>Poleras polo de niño #14 m/c 50% varon en pique blanco cuello puño verde logoescudo del colegio</t>
  </si>
  <si>
    <t>Poleras polo varon (6S, 6M, 3L,3XL) en pique blanco cuello puño verde logo escudo del colegio</t>
  </si>
  <si>
    <t>Poleras polo mujer (6S, 6M, 3L,3XL) en pique blanco cuello puño verde logo escudo del colegio</t>
  </si>
  <si>
    <t>Servicio de serigrafiado y bordado Pil, serigraf. Pil tu alimento para toda la vida</t>
  </si>
  <si>
    <t>Carlos Delgadillo</t>
  </si>
  <si>
    <t>Camisas de mujer m/c "L" en lino melanch blanco bordado Kimberly bolivia, plenitud huggies, Scott Kotex</t>
  </si>
  <si>
    <t>camisa de varon m/c "L" en linomelanch bordado Kimberly bolivia, plenitud huggies, Scott Kotex</t>
  </si>
  <si>
    <t xml:space="preserve">Pantalones de varon "42" lino melanch negro </t>
  </si>
  <si>
    <t xml:space="preserve">Pantalones de mujer "42" lino melanch negro </t>
  </si>
  <si>
    <t>Overoles simples c/reflectivo (6XL, 1L, 2XXL) kaki plomo oscuro bordao maxam fanexa</t>
  </si>
  <si>
    <t>parkas TERMICAS"L"  kaki</t>
  </si>
  <si>
    <t>Overoles termicos "L" kaki plomo oscuro bordado maxam fanexa</t>
  </si>
  <si>
    <t>Parkas termicas (1M, 4L, 4XL, 1XXL) plomo oscura bordao maxam fanexa</t>
  </si>
  <si>
    <t>Overoles normales sin reflectivo (1L, 4XL, 4XXL, 1XXXL) en kaki plomo oscuro bordado maxam fanexa</t>
  </si>
  <si>
    <t>poleras (2M, 8L, 8XL, 2XXL) en pique</t>
  </si>
  <si>
    <t>poleras polo m/c c/puño hombre (20S, 50M, 50L, 30XL) en pique verde bordado nuevo de dumbo</t>
  </si>
  <si>
    <t>Omar Lizarraga/Deysi Lizarraga</t>
  </si>
  <si>
    <t>Radio Taxi Troya</t>
  </si>
  <si>
    <t>chamarras mod. Maxam varon (4S, 18M, 27L, 17XL, 10XXL) en prada rojo bordado radio taxi troya</t>
  </si>
  <si>
    <t>Claudia Sanchez</t>
  </si>
  <si>
    <t>Centro Integrado Ladislao Cabrera</t>
  </si>
  <si>
    <t>poleras polo varon c/puño (4S, 12M, 3L, 1XXL), cuello y puño negro mas la cinta de buzo negro en pique blanco bordado cent. Int. Lad. Cabrera y el cristo, promo 2010, apellidos</t>
  </si>
  <si>
    <t>poleras polo mujer c/puño (6S, 4M, 1XL, 2L), cuello y puño negro mas la cinta de buzo negro en pique blanco bordado cent. Int. Lad. Cabrera y el cristo, promo 2010, apellidos</t>
  </si>
  <si>
    <t>Franco Cardozo</t>
  </si>
  <si>
    <t>Tigo</t>
  </si>
  <si>
    <t>Chamarras de mujer (4S, 2M, 1XL) en polibrillo blanco, chaque ta blanca c/franjas e c/azul pastel bordado  Tigo, ventas</t>
  </si>
  <si>
    <t>Chamarras de varon (L) en polibrillo blanco, chaque ta blanca c/franjas e c/azul pastel bordado  Tigo, ventas</t>
  </si>
  <si>
    <t>Bolsitas según mod. Aprobado en taslan nylon blanco bordado play axe 2010</t>
  </si>
  <si>
    <t>poleras tipo polo varon m/c(4M, 12L, 4XXL) en pique rojo bordado agrupacion voluntaria parque lincoln</t>
  </si>
  <si>
    <t>poleras tipo polo varon m/c (1M, 1XXL)en pique naranja bordado agrupacion voluntario parque lincoln</t>
  </si>
  <si>
    <t>poleras tipo polo varon m/c(1 TALLA ESPECIAL) en pique rojo bordado agrupacion voluntaria parque lincoln</t>
  </si>
  <si>
    <t>poleras tipo polo varon m/c ( 1talla especial)en pique naranja bordado agrupacion voluntario parque lincoln</t>
  </si>
  <si>
    <t>Andrea Torres</t>
  </si>
  <si>
    <t>poleras tipo polo mujer m/c (24M, 1L) pique amarillo oro bordado sol OMO suavizante para Santa Cruz</t>
  </si>
  <si>
    <t>poleras polo mujer m/c "M" pique amatillo oro bordado sol omo suavizante</t>
  </si>
  <si>
    <t>Short según imagen</t>
  </si>
  <si>
    <t>Poleras según imagen</t>
  </si>
  <si>
    <t>Se compro</t>
  </si>
  <si>
    <t>P/ Feria</t>
  </si>
  <si>
    <t>serv. Bordado camisas de Varon</t>
  </si>
  <si>
    <t>MONTO TOTAL MES FEBRERO</t>
  </si>
  <si>
    <t>MONTO TOTAL MES MARZO</t>
  </si>
  <si>
    <t>MONTO TOTAL MES ABRIL</t>
  </si>
  <si>
    <t>poleras polo varon m/larga con efecto de doble polera (21M, 35L, 13XL)*5 colores algodón(blanco,verde "super rik-knorr-hellman's"; turqueza claro, azul pastel, "omo surf-puro"; negro,blanco, "sedal dove-suave"; celeste bebe, azul petroleo, "ponds dove-vasenol"; "rexona axe-lux-pepsodent")</t>
  </si>
  <si>
    <t>poleras polo varon m/c doble manga y doble polera (1S, 57M, 40L, 12XL, 1 XXL)*5 colores algodón(blanco,verde "super rik-knorr-hellman's"; turqueza claro, azul pastel, "omo surf-puro"; negro,blanco, "sedal dove-suave"; celeste bebe, azul petroleo, "ponds dove-vasenol"; "rexona axe-lux-pepsodent")</t>
  </si>
  <si>
    <t>poleras polo mujer m/larga con efecto de doble polera (1S, 6M, 1L)*5 colores algodón(blanco,verde "super rik-knorr-hellman's"; turqueza claro, azul pastel, "omo surf-puro"; negro,blanco, "sedal dove-suave"; celeste bebe, azul petroleo, "ponds dove-vasenol"; "rexona axe-lux-pepsodent")</t>
  </si>
  <si>
    <t>poleras polo mujer m/c doble manga y doble polera (3S, 6M, 2L, 1XL)*5 colores algodón(blanco,verde "super rik-knorr-hellman's"; turqueza claro, azul pastel, "omo surf-puro"; negro,blanco, "sedal dove-suave"; celeste bebe, azul petroleo, "ponds dove-vasenol"; "rexona axe-lux-pepsodent")</t>
  </si>
  <si>
    <t>pantalon de jean de mujer c/3 pinzas (3"36",6"38", 3"40", 6"42", 2"44")*2 bordado solo uno en cada pantalon (omo, ades, sedal)</t>
  </si>
  <si>
    <t>pantalon de jean de varon clasico (35"38", 67"40", 46"42", 23"44", 6"46", 2"48", 1"50")*2 bordado solo uno en cada pantalon (omo, ades, sedal)</t>
  </si>
  <si>
    <t>Ediscom S.A.</t>
  </si>
  <si>
    <t>poleras de mujer cuello V c/cuello manag 3/4 en algodón negro bordado Duc</t>
  </si>
  <si>
    <t>poleras de mujer cuello V c/cuello manag 3/4 en algodón azul bordado Ediscom</t>
  </si>
  <si>
    <t>poleras de mujer cuello V c/cuello manag 3/4 en algodón turqueza bordado gigante</t>
  </si>
  <si>
    <t>Axel Pinel</t>
  </si>
  <si>
    <t>JCI Union</t>
  </si>
  <si>
    <t>poleras polo de niño m/c c/puño (2"6", 8"8") en algodón azulina el cuerpo y en pique marfil el cuello carterita doble manga y efecto doble polera serigraf. Yo tengo derecho a la vida bordado JCI union, importadora carmen</t>
  </si>
  <si>
    <t>poleras polo de niño m/c c/puño (14"10", 14"12", 6 "s") en algodón azulina el cuerpo y en pique marfil el cuello carterita doble manga y efecto doble polera serigraf. Yo tengo derecho a la vida bordado JCI union, importadora carmen</t>
  </si>
  <si>
    <t>poleras niño (2"6", 2 "8") PU= 35</t>
  </si>
  <si>
    <t>poleras niño  (1"10", 1"12")PU=39</t>
  </si>
  <si>
    <t>poleras talla S PU= 39</t>
  </si>
  <si>
    <t>Edgar Mercado</t>
  </si>
  <si>
    <t>Sema Urcupiña</t>
  </si>
  <si>
    <t>poleras polo mujer c/puño (9S,2M, 2+1L) en pique verde bandera bordado Urcupiña promo bicentenario</t>
  </si>
  <si>
    <t>poleras polo mujer c/puño "M" en pique verde bandera s/bordado</t>
  </si>
  <si>
    <t>poleras polo varon c/puño (13+2M, 1L, 1XL, 1XXL) en pique verde manzana bordado Urcupiña promo bicentenario</t>
  </si>
  <si>
    <t>polera  polo niño c/puño "1 año" bordado Urcupiña promo bicentenario</t>
  </si>
  <si>
    <t>Pantalones de jean licrado de mujer (9"38", 4"40", 4 "42") en jean licrado 9 azul clasico, 8 black blue bordao copelme</t>
  </si>
  <si>
    <t>camisas e mujer aumentar 10 cm al largo(3S, 5M, 1L) tela fly flex blanco bordado GMI</t>
  </si>
  <si>
    <t>poleras polo mujer m/c aumentar 5cm al largo (3S, 5M, 1L) en pique amarillo bordado GMI</t>
  </si>
  <si>
    <t>Mandiles para doctora de mujer S, tela santo milano blanco bordado copelme</t>
  </si>
  <si>
    <t>Mandiles para doctora de varon S, tela santo milano blanco bordado copelme</t>
  </si>
  <si>
    <t>camisas de varon m/c (1M, 8L) tela kaki arena Plasme , nombre</t>
  </si>
  <si>
    <t>camisas de mujer m/c S tela kaki arena Plasme , nombre</t>
  </si>
  <si>
    <t>camisas varon m/larga (2M, 3L) tela kaki arena bordado GMI copelme, nombre</t>
  </si>
  <si>
    <t>Guardapolvos según mod. Sadec (7S, 13M, 5L) kaki amarillo oro logo copelme y nombre</t>
  </si>
  <si>
    <t>Gorras Kaki amarillo /plomo bordado copelme</t>
  </si>
  <si>
    <t>guaradapolvos mod. Sadec (35S, 40M, 8L, 4XL, 1XXXL) en kaki azul pastel detalle plomo bordado copelme y nombre</t>
  </si>
  <si>
    <t>camisas m/larga c/2bolsillos en el pecho kaki azul pastel detalles plomo bordado copelme y nombre</t>
  </si>
  <si>
    <t>Gorras Kaki azul pastel con plomo bordado copelme</t>
  </si>
  <si>
    <t>camisas m/larga (2XL, 2XXL) kaki verde hoja seca bordado GMI, copelme y nombres</t>
  </si>
  <si>
    <t>camisas d mujer "M" tela tergal blanco bordado Scott</t>
  </si>
  <si>
    <t>poleras polo varon m/c (1s, 5M, 17L, 14XL, 3XXL) tela pique azul marino serigraf, Convencion</t>
  </si>
  <si>
    <t>poleras polo mujer m/c (8S, 12M, 8L, 2XL) tela pique azul marino serigraf, Convencion</t>
  </si>
  <si>
    <t>poleras cuello redondo varon m/c  doble manga(1S, 5M, 17L, 14XL, 3XXL) tela algodón blanco serigraf, Convencion</t>
  </si>
  <si>
    <t>poleras cuello redondo mujer m/c doble manga (8S, 12M, 8L, 2XL) tela algodón blanco serigraf, Convencion</t>
  </si>
  <si>
    <t>Carola Zotillo</t>
  </si>
  <si>
    <t>poleras cuello V c/cuello de varon (5S, 10M, 3L, 1XL) tela algodón rojo cuerpo y doblemanga; negro mangas..bordado centro integrado ladislao cabrera con el cristo + promo 2010</t>
  </si>
  <si>
    <t>poleras cuello V c/cuello de mujer (4S, 3M) tela algodón rojo cuerpo y doblemanga; negro mangas..bordado centro integrado ladislao cabrera con el cristo + promo 2010</t>
  </si>
  <si>
    <t>poleras de mujer cuello redondo m/c m/rangla(16M, 14L) algodón blanco c/mangas verde bandera</t>
  </si>
  <si>
    <t>poleras de mujer cuello Vc/cuello manga rangla 3/4 (16M, 14L) algodón blanco c/mangas verde bandera bordadoelige mucho mas elige ades, ades</t>
  </si>
  <si>
    <t>mochilas mod según imagen tela lona celeste bebe/blanco logo omo/surf</t>
  </si>
  <si>
    <t>bolsones mod. Según imagen tela lona celeste bebe lgogo Omo</t>
  </si>
  <si>
    <t>Poleras cuello V y cuello verde (6S, 8M, 5XL, 5XXL) algodón blanco el cuerpo, verde cuello manga 2 serigrafiado pando</t>
  </si>
  <si>
    <t>cortos con franja (6S, 8M, 5XL, 5XXL) algodón blanco con franjas al costado rojo, verde el efecto doble short</t>
  </si>
  <si>
    <t>Gabriela Pacheco</t>
  </si>
  <si>
    <t>neceseres guindo trabajar c/molde 6063 en gasa blanco guindo sin logo</t>
  </si>
  <si>
    <t>Jaime Carmona</t>
  </si>
  <si>
    <t>camisas de varon m/c c/2 bolsillos en el pecho "M" kaki azul marino el cuerpo y kaki verde bandera la manga y cuello bordado nissan, taller mecanico jaime motors</t>
  </si>
  <si>
    <t>Chalecos azul marino con 4bordados nissan, jaime carmona, ..</t>
  </si>
  <si>
    <t>mochilas servicio de bordado  serigrafia sedal en planchas</t>
  </si>
  <si>
    <t>SERIGRAFIA en planchas pu= 0,50 Bs</t>
  </si>
  <si>
    <t>Raul gutierrez, lesly chumacero/jesus reyes</t>
  </si>
  <si>
    <t>Gorras mod. 6 paneles blancas kaki 1ra bordado Morenada fancesa, concretec</t>
  </si>
  <si>
    <t>Gorras color azulmarino kaki 1ra bordado Morenada fancesa, concretec</t>
  </si>
  <si>
    <t>Gorras color negro kaki 1ra bordado Morenada fancesa, concretec</t>
  </si>
  <si>
    <t>Gorras color rojo kaki 1ra bordado Morenada fancesa, concretec</t>
  </si>
  <si>
    <t>Luis Solares</t>
  </si>
  <si>
    <t>Gorras reposicion color arena bordado Fancesa, Cofan</t>
  </si>
  <si>
    <t>Gorras 6 paneles</t>
  </si>
  <si>
    <t>Guardapolvos mod. Sadec (19S, 37M, 22L, 6 XL) en kaki cuerpo verde manzana el detalle verde botella bordado RECME, copelme</t>
  </si>
  <si>
    <t>pantalones(12"36",20"38",19"40", 18"42", 10"44", 4"46", 1"52")en kaki verde botella</t>
  </si>
  <si>
    <t>Gorras VERDE MANZANA</t>
  </si>
  <si>
    <t>Bolsitas en tela galleta blanco bordado YPFB</t>
  </si>
  <si>
    <t>Ponchillos en tergal en verde bandera serigrafia Logo Ades</t>
  </si>
  <si>
    <t>Ponchillos en tergal en blanco serigrafia Logo Ades</t>
  </si>
  <si>
    <t>Ana Canaviri</t>
  </si>
  <si>
    <t>poleras de varon según modelo (1S, 7M, 2L, 1XL, 1XXL, 1"14") ALGODÓN verde limon el cuerpo combinado blanco bordado</t>
  </si>
  <si>
    <t>poleras de mujer según modelo (1S, 1L, 3"14") ALGODÓN verde limon el cuerpo combinado blanco bordado</t>
  </si>
  <si>
    <t>Mochilas con un solo tiro en lona blanco combinado verde bandera bordado ades</t>
  </si>
  <si>
    <t>minipoleras en algodón blanco cuerpo,…. Las mangas con serigrafiado molde 6179</t>
  </si>
  <si>
    <t>neceseres mod rexona bordado rexona men</t>
  </si>
  <si>
    <t>Camisas de varon c/2 bolsillos en el pecho(16M, 20L, 4XL, 3XXL) en kaki 2da verde manzana bordado Recme, nombre , copelme</t>
  </si>
  <si>
    <t>gorras en kaki 2da verde manazana verde botella bordado copelme</t>
  </si>
  <si>
    <t>Chaquetas "L" kaki plomo c/detalles naranja bordado GMI, seguridad industrial</t>
  </si>
  <si>
    <t>camisas compradas "L" (3celeste azulino, 4 arena, 1 MOSTAZA) bordado GMI, nombre</t>
  </si>
  <si>
    <t>pantalones de jean (42"36", 95"38", 132"40", 88"42", 54 "44", 13"46", 5"48", 1"50") bordado copelme en jean azul clasico</t>
  </si>
  <si>
    <t>Pantalones para guardias c/reflectivo en una pierna (1"38", 3"40", 3"42", 1"46", 2"48") en kaki negro</t>
  </si>
  <si>
    <t>camisas para guardias de seguridad (1S, 2M, 5L, 2XL) en kaki negro bordado GMI, nombre, con reflectivo en pecho y espalda</t>
  </si>
  <si>
    <t>Parkas mod. (1S, 2M, 5L, 2XL)</t>
  </si>
  <si>
    <t>Guardapolvos c/boton visto c/2 bolsillos inferiores y uno en el pecho izq. "M" en kaki 2 celeste bebe y 2 amarillo oro bordado GMI</t>
  </si>
  <si>
    <t>Guardapolvos de chef según muestra "XXXL" en kaki 1 blanco 1 bordao copelme, nombre</t>
  </si>
  <si>
    <t>Faldones kaki 1 blanco 1 arena</t>
  </si>
  <si>
    <t>cofias kaki blanco bordado copelme</t>
  </si>
  <si>
    <t>calatrabas kaki arena bordado copelme</t>
  </si>
  <si>
    <t>Guardapolvos de cocina (2S, 6M, 2L, 2XL) en kaki blanco  c/vivos rojos bordao copelme</t>
  </si>
  <si>
    <t>Guardapolvos de cocina (2S, 6M, 2L, 2XL) en kaki arena  c/vivos naranjas bordao copelme</t>
  </si>
  <si>
    <t>Chalecos mod. Silvia (25M, 21L, 14XL, 1XXL) AMARILLO</t>
  </si>
  <si>
    <t>chaquetas de manga larga con una cinta color arena en un brazo (17M, 18L, 14XL, 1XXL) en kaki verde botella bordado copelme, nombre</t>
  </si>
  <si>
    <t>camisas varon m/larga c/reflectivo en el pecho y la espalda (1M, 13L, 5XL) EN JEAN AZUL CLASICO BORDADO COPELME, NOMBRE</t>
  </si>
  <si>
    <t>chalecos mod silvia (2M, 12L, 1XL) en jean azul clasico bordado copelme , nombre</t>
  </si>
  <si>
    <t>Juan Carlos Roman</t>
  </si>
  <si>
    <t>Muebles Romar</t>
  </si>
  <si>
    <t>poleras polo mujer m/c c/puño (4M, 1S) PIQUE BLANCO BORDADO ROMAR</t>
  </si>
  <si>
    <t>poleras polo varon m/c c/puño (3M, 1L) PIQUE BLANCO BORDADO ROMAR</t>
  </si>
  <si>
    <t>poleras polo varon m/c c/puño ( 1XL, 1XXL) PIQUE BLANCO BORDADO ROMAR</t>
  </si>
  <si>
    <t>poleras polo mujer m/c c/doble manga (2M, 1S) PIQUE rojo BORDADO ROMAR</t>
  </si>
  <si>
    <t>poleras polo varon m/c c/doble manga (1M, 1L) PIQUE rojo BORDADO ROMAR</t>
  </si>
  <si>
    <t>poleras polo varon m/c c/doble manga ( 1XL, 1XXL) PIQUE rojo BORDADO ROMAR</t>
  </si>
  <si>
    <t>Alejandro Gumucio/Boriz Albornoz</t>
  </si>
  <si>
    <t>Shorts según muestra en kaki negro bordado plan B</t>
  </si>
  <si>
    <t>Shorts según muestra en kaki arena bordado plan B</t>
  </si>
  <si>
    <t>poleras cuello V m/larga varon(2L, 3XL, 4XXL, 1XXXL) algodón vanizado negro bordado plan B</t>
  </si>
  <si>
    <t>poleras cuello V m/larga varon(2L, 3XL, 4XXL, 1XXXL) algodón vanizado blanco bordado plan B</t>
  </si>
  <si>
    <t>Marcelo Guardia/Alberto Narvaez/Ronald Rodriguez</t>
  </si>
  <si>
    <t>poleras polo varon m/c m/rangla (9XL, 11XXL, 1XXXL) algodón blanco, mangas cuello y carterita azul marino bordado Inst Amerins 20 años, Serigraf 90</t>
  </si>
  <si>
    <t>poleras polo varon m/c m/rangla (4M) algodón blanco, mangas cuello y carterita azul marino bordado Inst Amerins 20 años, Serigraf 90</t>
  </si>
  <si>
    <t>poleras polo mujer m/c m/rangla (7S, 16M, 4L) algodón blanco, mangas cuello y carterita azul marino bordado Inst Amerins 20 años, Serigraf 90</t>
  </si>
  <si>
    <t>Mandiles en kaki rojo bordado Matarazzo</t>
  </si>
  <si>
    <t>Chalecos mod. Silvia "L" kaki Azul pastel bordado Bella Holandesa</t>
  </si>
  <si>
    <t>Poleras polo mujer, m/c, aumentar 8 cm al largo "M" pique blanco bordado UNEC</t>
  </si>
  <si>
    <t>poleras polo varon m/c (3M, 13L, 3XL)pique blanco bordado UNEC</t>
  </si>
  <si>
    <t>cubiertos(1000cuchara-1000tenedor-1000cuchillo)</t>
  </si>
  <si>
    <t>Almohadas en forma de L en Oxford rojo 3x0,60 metros sin logos</t>
  </si>
  <si>
    <t>Capuchones en Oxford Rojosin logos</t>
  </si>
  <si>
    <t>Camisas de mujer (10S, 11M, 7L) blanco bordado Lux</t>
  </si>
  <si>
    <t>camisas de varon m,L color blanco bordado Lux</t>
  </si>
  <si>
    <t>Buzos deportivos chamarra y buzo (6S, 26M, 9L, 1XL) en algodón brilloso negro serigraf(Bs 4). Rexona man</t>
  </si>
  <si>
    <t>poleras cuello redondo m/c de mujer(7S, 32M, 10L, 1XL)</t>
  </si>
  <si>
    <t>Gorras kaki cabeza-&gt;arena ; vicera interior-&gt; plomo oscuro</t>
  </si>
  <si>
    <t>Gorras kaki cabeza-&gt;verde hoja seca ; vicera interior-&gt; plomo oscuro</t>
  </si>
  <si>
    <t>Gorras kaki cabeza-&gt;amarillo oro ; vicera interior-&gt; plomo oscuro</t>
  </si>
  <si>
    <t>Gorras kaki cabeza-&gt;plomo oscuro ; vicera interior-&gt;amarillo oro</t>
  </si>
  <si>
    <t>Gorras kaki cabeza-&gt;verde botella ; vicera interior-&gt; arena</t>
  </si>
  <si>
    <t>Gorras jean azul clasico</t>
  </si>
  <si>
    <t>Gorras kaki cabeza-&gt;naranja ; vicera interior-&gt; plomo oscuro</t>
  </si>
  <si>
    <t>Gorras kaki cabeza-&gt;plomo oscuro ; vicera interior-&gt;naranja</t>
  </si>
  <si>
    <t>Gorras kaki cabeza-&gt;azul pastel ; vicera interior-&gt; plomo</t>
  </si>
  <si>
    <t>Gorras kaki kaki</t>
  </si>
  <si>
    <t xml:space="preserve">Chaqueta "L" kaki plomo con detalles naranjas </t>
  </si>
  <si>
    <t xml:space="preserve">Chaqueta "L" kaki azul pastel con detalles plomos </t>
  </si>
  <si>
    <t xml:space="preserve">Chaqueta "L" kaki verde botella con detalles arena </t>
  </si>
  <si>
    <t xml:space="preserve">Chaqueta 1"M",1"XL" kaki kaki </t>
  </si>
  <si>
    <t>pantalones jean (1"36", 2"42", 2"44", 3"46", 1"48") bordado Isotipo copelme bolsillo de atrás</t>
  </si>
  <si>
    <t>Janeina Rivero</t>
  </si>
  <si>
    <t>Don Café</t>
  </si>
  <si>
    <t>chalecos mod. Jaime motors los bolsillos superiores s/ tapa y mas cortos (14M, 14L, 2XL) kaki rojo conbinado oscuro bordado pecho-&gt;don café</t>
  </si>
  <si>
    <t>Gorras en kaki cabeza-&gt;rojo; vicera int-&gt; plomo oscuro bordado don café</t>
  </si>
  <si>
    <t>Grupo E</t>
  </si>
  <si>
    <t>poleras mujer cuello caido  m/c "S" algodón licrado naranja/azul pastel sin logo</t>
  </si>
  <si>
    <t>poleras mujer cuello caido  m/c "S" algodón licrado rojo/amarillo pastel sin logo</t>
  </si>
  <si>
    <t>poleras mujer cuello caido  m/c "S" algodón licrado rosado/fuccia pastel sin logo</t>
  </si>
  <si>
    <t>calzas "S" algodón licrado (2azul pastel, 2 amarillos, 2 fuccia) bordado sofia en su pierna</t>
  </si>
  <si>
    <t>chamarras mod trailer mujer c/forro polar 3S, 3M en taslan nylon blanco bordado sofia</t>
  </si>
  <si>
    <t>Fernando Lanes</t>
  </si>
  <si>
    <t>chalecos mod. Papelera vinto c/ detalles verde bandera c/4 bolsillos en kaki azul marino todo el cuerpo bordado papelera vinto</t>
  </si>
  <si>
    <t>Gorras mod. 6 paneles kaki negro</t>
  </si>
  <si>
    <t>poleras polo varon m/c c/ puño "M" pique verde bandera-&gt;cuerpo, blanco-&gt; cuello puño y carterita bordado Icnorte, scott huggies kotex plenitud, kimberly</t>
  </si>
  <si>
    <t>poleras polo mujer m/c c/ puño "M" pique verde bandera-&gt;cuerpo, blanco-&gt; cuello puño y carterita bordado Icnorte, scott huggies kotex plenitud, kimberly</t>
  </si>
  <si>
    <t>Maria Numberg</t>
  </si>
  <si>
    <t>poleras polo varon m/c c/puño (66M, 90L) pique blanco bordado kimberly bolivia s.a.; huggies plenitud; scott kotex</t>
  </si>
  <si>
    <t>poleras polo varon m/c c/puño (35XL) pique blanco bordado kimberly bolivia s.a.; huggies plenitud; scott kotex</t>
  </si>
  <si>
    <t>poleras polo varon m/c c/puño (35XL) pique azul marino bordado kimberly bolivia s.a.; huggies plenitud; scott kotex</t>
  </si>
  <si>
    <t>poleras polo varon m/c c/puño ( 35XL) pique azul marino bordado kimberly bolivia s.a.; huggies plenitud; scott kotex</t>
  </si>
  <si>
    <t>poleras polo varon m/c c/puño (M) pique rojo bordado kimberly bolivia s.a.; huggies plenitud; scott kotex</t>
  </si>
  <si>
    <t>poleras polo mujer m/c c/puño (10S, 57M, 37L) pique blanco bordado kimberly bolivia s.a.; huggies plenitud; scott kotex</t>
  </si>
  <si>
    <t>poleras polo mujer m/c c/puño (10S, 59M, 33L) pique azul marino bordado kimberly bolivia s.a.; huggies plenitud; scott kotex</t>
  </si>
  <si>
    <t>poleras polo mujer m/c c/puño (M) pique rojo bordado kimberly bolivia s.a.; huggies plenitud; scott kotex</t>
  </si>
  <si>
    <t>Pantalones mod. Decurion de varon (2"42", 4"44", 8"46", 5"48", 1"50", 2"52") en kaki azul marino aumentar al largo 3 cm</t>
  </si>
  <si>
    <t>Pantalones mod. Decurion de varon (2"42", 4"44", 8"46", 5"48", 1"50", 2"52") en kaki negro  aumentar al largo 3 cm</t>
  </si>
  <si>
    <t>parkas (1M, 8L, 1XL, 10 XXL, 2XXXXL) KAKI</t>
  </si>
  <si>
    <t>Servicios de bordado en camisas</t>
  </si>
  <si>
    <t>Guely Arevelo</t>
  </si>
  <si>
    <t>guardapolvos según muestra (6XS, 2M, 4L) kaki naranja logo mi salud</t>
  </si>
  <si>
    <t>camisas de varon m/c "M" negro bordado sedal</t>
  </si>
  <si>
    <t>capas de peluqueria taslan nylon</t>
  </si>
  <si>
    <t>Guardapolvos para estilistas "M" tergal negro</t>
  </si>
  <si>
    <t>Alejandro Gumucio</t>
  </si>
  <si>
    <t>Buzos deportivos (chamarra y pantalon) según muestra Plan B (6XL, 2L, 1M, 1 Especial) polibrillo blanco logo plan B</t>
  </si>
  <si>
    <t>MONTO TOTAL MES MAYO</t>
  </si>
  <si>
    <t>MONTO TOTAL MES JUNIO</t>
  </si>
  <si>
    <t>MONTO TOTAL MES NOVIEMBRE</t>
  </si>
  <si>
    <t>MONTO TOTAL MES DICIEMBRE</t>
  </si>
  <si>
    <t>Gorras mod. Copelme kaki azul marino bordado decurion</t>
  </si>
  <si>
    <t>chamarras mod. Trailer varon(12M, 12L, 12XL, 4XXL) en taslan azul marino c/forro polar logo decurion bordaDo en el pecho izq. NO EN LA ESPALDA</t>
  </si>
  <si>
    <t>Pantalones varon (12"44") azul marino bordado decurion en una pierna</t>
  </si>
  <si>
    <t>Pantalones varon (12"46", 12"48", 4"50", 4"52") azul marino bordado decurion en una pierna</t>
  </si>
  <si>
    <t>uniformes m/larga (guardapolvo-pantalon) "S" kaki amarillo logo Urrutibehety</t>
  </si>
  <si>
    <t>uniformes m/c (guardapolvo-pantalon) "S" kaki amarillo logo Urrutibehety</t>
  </si>
  <si>
    <t>uniformes m/larga (guardapolvo-pantalon) "M" kaki amarillo logo Urrutibehety</t>
  </si>
  <si>
    <t>uniformes m/c (guardapolvo-pantalon) "M" kaki amarillo logo Urrutibehety</t>
  </si>
  <si>
    <t>uniformes m/larga (guardapolvo-pantalon) "XXL" kaki amarillo logo Urrutibehety</t>
  </si>
  <si>
    <t>uniformes m/c (guardapolvo-pantalon) "XXL" kaki amarillo logo Urrutibehety</t>
  </si>
  <si>
    <t>uniformes m/c (guardapolvo-pantalon)según detalle (40 entrepierna, 70 pierna ancho, 126 cintura, 130 pecho) kaki amarillo logo Urrutibehety</t>
  </si>
  <si>
    <t>Guardapolvos XXXL en kaki amarillo</t>
  </si>
  <si>
    <t>Sergio Virreira</t>
  </si>
  <si>
    <t>Poleras polo varon "L" pique rojo bordado en la manga bandera nacional "bolivia"</t>
  </si>
  <si>
    <t>Poleras polo varon "L" pique amarillo bordado en la manga bandera nacional "bolivia"</t>
  </si>
  <si>
    <t>Poleras polo varon "L" pique verde bordado en la manga bandera nacional "bolivia"</t>
  </si>
  <si>
    <t>Overoles simples "L" kaki kaki</t>
  </si>
  <si>
    <t>Pantalon de vestir mod decurion "46" kaki kaki</t>
  </si>
  <si>
    <t>Reynaldo Ledezma</t>
  </si>
  <si>
    <t>UNION CENTRAL</t>
  </si>
  <si>
    <t>poleras varon polo con efecto doble polera y doble manga con avertura  a los costados (3"14" 11S, 26M, 12L) en algodón vanizado arena-&gt;cuerpo, negro cuello carterita efecto doble bordado escudo, puma serigraf. Espalda"orgullosas de ser de la capital union central x 100pre 2010</t>
  </si>
  <si>
    <t>Veronica chavez</t>
  </si>
  <si>
    <t>poleras varon cuello V m/c efecto doble manga (6M, 6P, 6G) en pique rojo; cuello y doble manga color azul bordado global milenium</t>
  </si>
  <si>
    <t>poleras mujer cuello V m/c efecto doble manga (6M, 13P, 3XXG) en pique rojo cuello y doble manga color azul bordado global milenium</t>
  </si>
  <si>
    <t>poleras varon cuello V m/c efecto doble manga (3M) en pique azul marino cuello y doble manga color rojo bordado global milenium</t>
  </si>
  <si>
    <t>poleras mujer cuello V m/c efecto doble manga (4M, 2G) en pique azul marino cuello y doble manga color azul bordado global milenium</t>
  </si>
  <si>
    <t>camisas de varon(2S, 11M, 14 L, 2XL) kaki plomoc/detalles amarillos, bordado Ecom-&gt;pecho izq. Copelme-&gt;espalda; nombre-&gt;manga der.</t>
  </si>
  <si>
    <t>chaleco M kaki plomoc/detalles amarillos, bordado Ecom-&gt;pecho izq. Copelme-&gt;espalda; nombre-&gt;manga der.</t>
  </si>
  <si>
    <t>camisas de mujer aumentar 10 cm al largo (1S, 1M) kaki naranja c/detalles plomos, bordado GMI-&gt;pecho izq. Seguridad Industrial-&gt;espalda; nombre-&gt;manga der.</t>
  </si>
  <si>
    <t>camisas de varon L kaki naranja c/detalles plomos, bordado GMI-&gt;pecho izq. Seguridad Industrial-&gt;espalda; nombre-&gt;manga der.</t>
  </si>
  <si>
    <t>Fabiola García</t>
  </si>
  <si>
    <t>poleras de varon XL pique plomo con bordados, unilever, mantenimiento eutonomo paso1.., tpm, figuritas</t>
  </si>
  <si>
    <t>poleras polo varon m/c(3L, 8XL, 2XXL) pique rojo bordado Agogo-&gt;pecho izq.</t>
  </si>
  <si>
    <t>poleras polo mujer m/c M pique rojo bordado Agogo-&gt;pecho izq.</t>
  </si>
  <si>
    <t>poleras compradas "M" Algodón Plomo Oscuro serigraf. 3M mundial 2010</t>
  </si>
  <si>
    <t>camisas de varon XXL verde arayas</t>
  </si>
  <si>
    <t>camisa de mujer logo Knorr serigraf. XL</t>
  </si>
  <si>
    <t>Mandiles</t>
  </si>
  <si>
    <t>Gorros De chef</t>
  </si>
  <si>
    <t>Maria Selenne</t>
  </si>
  <si>
    <t>poleras tipo polo varon L pique negro serigraf. Hipermaxi-&gt;pecho izq. Doble seguridad y kotex</t>
  </si>
  <si>
    <t>Cristian Miranda</t>
  </si>
  <si>
    <t>poleras polo de varon m/c (5S, 5L, 3M) pique azul marino bordado criskamir</t>
  </si>
  <si>
    <t>poleras polo de varon m/c (5S, 5L, 2M) pique guindo  bordado criskamir</t>
  </si>
  <si>
    <t>poleras polo varon m/c (1S, 3M, 3L, 1XL) en pique bordado movimarket</t>
  </si>
  <si>
    <t>pantalones clasicos de varon(3"40", 8"42", 7"38", 7"44", 4"46", 5"48") jean azul clasico bordado en bolsillos-&gt;omo, movimarket</t>
  </si>
  <si>
    <t>pantalones de mujer "42" jean azul clasico bordado en bolsillos-&gt;omo, movimarket</t>
  </si>
  <si>
    <t>camisas de varon comprados negro bordado movimarket</t>
  </si>
  <si>
    <t>camisas de mujer(M, L, XL)negro bordado movimarket</t>
  </si>
  <si>
    <t>Chistian Iriarte</t>
  </si>
  <si>
    <t>Parkas mod. Maxam con mangas desmontables(14"16", 24S, 55M, 23L, 6XL) prada plomo y kaki 1ra oscuro bordado maxam en la espalda</t>
  </si>
  <si>
    <t xml:space="preserve">David Pozo </t>
  </si>
  <si>
    <t>Granos Aceite</t>
  </si>
  <si>
    <t>Poleras polo varon m/c con puño (12M, 24L, 12XL) pique cuerpo mostaza, cuello puño carterita verde botella</t>
  </si>
  <si>
    <t>Poleras polo mujer m/c con puño (12M, 12L) pique cuerpo mostaza, cuello puño carterita verde botella</t>
  </si>
  <si>
    <t>Gorras mod. 6 paneles kaki 2da cabeza-&gt;verde manzana, vicera int volcada-&gt;verde botella logo Gramos</t>
  </si>
  <si>
    <t>Gorras mod. 6 paneles kaki 2da cabeza-&gt;verde botella, vicera int volcada-&gt;verde manzana logo Gramos</t>
  </si>
  <si>
    <t>ponchillos según mod. Azul pastel con ribet amarillo bordado gramos</t>
  </si>
  <si>
    <t>mandiles cruzados verde manzana con ribet rojo bordado gramos</t>
  </si>
  <si>
    <t>chamarras deportivas según mod. Aprobado(1S, 4M, 25L, 9XL, 2XXL) polibrillo blanco bordado play axe 2010</t>
  </si>
  <si>
    <t>Chalecos mod. Silvia con bolsillos superiores izq. Y bolsillos de boligrafos "M" kaki amarillo combinado plomo logo Ecom-&gt;pecho izq., copelme-&gt;espalda</t>
  </si>
  <si>
    <t>Overol "XL" kaki 1ra verde hoja seca bordado pecho izq. CRF</t>
  </si>
  <si>
    <t>Overol según muestra kaki 1ra verde hoja seca bordado pecho izq. CRF</t>
  </si>
  <si>
    <t>Jhonny Miranda</t>
  </si>
  <si>
    <t>chalecos mod. Silvia con forro c/portaboligrafos combinado naranja serigraf. Espalda -&gt; trailer</t>
  </si>
  <si>
    <t>piezas de gasa de 3 metros de largo blanco sin logos</t>
  </si>
  <si>
    <t>piezas de tela de 1,93 metros de largo en tela raso plateado</t>
  </si>
  <si>
    <t>servicio de serigrafia en tuppers logo super ri-k</t>
  </si>
  <si>
    <t xml:space="preserve">servicio de serigrafia en tuppers logo super ri-k y </t>
  </si>
  <si>
    <t>servicio borrado de logo</t>
  </si>
  <si>
    <t>Servicio de envio</t>
  </si>
  <si>
    <t>Overoles simples (20XL, 5L, 5M) kaki 1ra plomo oscuro logos maxan fanexa</t>
  </si>
  <si>
    <t>Janaina</t>
  </si>
  <si>
    <t>Banderines en taslan nylon rojo bordaod don café</t>
  </si>
  <si>
    <t>Bananeros mod. Ola en oxford negro sin bolsilllo delantero sin logos</t>
  </si>
  <si>
    <t>chalecos mod. Silvia c/forro bonge c/rojo (50XL, 46L) kaki 2da rojo bordado pechi Izq.-&gt;Nacional; pecho der.-&gt; exceicio; espalda -&gt;nacional</t>
  </si>
  <si>
    <t>poleras varon (4L, 4XL) azul pastel,(10L, 11XL)verde bordado calacala 2010; espalda-&gt; Que facil es interpretar la vida cuando se tiene corazon de grillo!</t>
  </si>
  <si>
    <t>poleras niños  (2"5", 4"6", 2"8", 2"10", 3"14", 2"M")naranja bordado calacala 2010; espalda-&gt; Que facil es interpretar la vida cuando se tiene corazon de grillo!</t>
  </si>
  <si>
    <t>poleras mujer  (1L) rojo, (2M, 2L) azul, (14M, 5L)verde bordado calacala 2010; espalda-&gt; Que facil es interpretar la vida cuando se tiene corazon de grillo!</t>
  </si>
  <si>
    <t>Veronica Medrano</t>
  </si>
  <si>
    <t>Grafos Publicidad</t>
  </si>
  <si>
    <t>Neceseres mod. Banco union en lona osford verde limon y turqueza logo al frente OMO por que ensuciarse hace bien</t>
  </si>
  <si>
    <t>Poleras de varon m/c cuelloV c/bolsillo en el pecho izq. (1S, 4M, 19L, 4XL, 2XXL) algodón blanco-&gt;cuerpo, azul marino-&gt;cuello y detalle manga, bordado en el bolsillo OMO</t>
  </si>
  <si>
    <t>poleras polo mujer m/c c/efecto doblemanga larga (30M, 30L) algodón naranja-&gt;cuerpo, blanco-&gt;manga carterita bordado pecho izq.-&gt;Super ri-k; Serigraf. Espalda Super ri-k</t>
  </si>
  <si>
    <t>chamarras de mujerc/forro polara c/capucha (13M, 12L) taslan nylon-&gt;naranja polar azul bordado pecho izq.-&gt;Super ri-k; Serigraf. Espalda Super ri-k</t>
  </si>
  <si>
    <t>pantalones de mujer (13"38", 4"40", 4"42", 4"44") tergal azul marino bordado pierna der.-&gt;</t>
  </si>
  <si>
    <t>poleras polo mujer m/c c/efecto doblemanga larga (30M, 30L) algodón blanco-&gt;cuerpo, naranja-&gt;manga carterita bordado pecho izq.-&gt;Super ri-k; Serigraf. Espalda Super ri-k</t>
  </si>
  <si>
    <t>Lopez Saul</t>
  </si>
  <si>
    <t>Maria Eugenia rodriguez</t>
  </si>
  <si>
    <t>poleras mujer m/c según muestra (8P, 3M) pique turqueza</t>
  </si>
  <si>
    <t>polera polo hombre m/c CCC-&gt;pecho lado Izq.</t>
  </si>
  <si>
    <t>Gorras kaki 2da negro bordado Rojas-Silva 2010 hilo verde limon</t>
  </si>
  <si>
    <t>poleras polo varon m/c "L" pique azul marino bordado mantenimiento Autonomo paso 1…; manga der-&gt; unilever, pecho inf. der-&gt;figuras unilever</t>
  </si>
  <si>
    <t>Chamarras de varon mod. Trailer (6S, 10M, 10 L, 10XL) taslan nylon  blanco bordado powerade, URC</t>
  </si>
  <si>
    <t>Chamarras mujer según modelo con forro polar (6S, 1 XL) bordado pecho Izq.-&gt;Strike</t>
  </si>
  <si>
    <t>Chamarras varon según modelo con forro polar (1L, 4 XL)prada engomada negro bordado pecho Izq.-&gt;Strike</t>
  </si>
  <si>
    <t>Veronica</t>
  </si>
  <si>
    <t>Servicio de bordado en tela kaki blanco logo Splat de omo de 6x6 cm</t>
  </si>
  <si>
    <t>uniformes (guardapolvo y pantalon) m/c (6S, 6M) kaki amarillo oro bordado urrutibehety</t>
  </si>
  <si>
    <t>uniformes (guardapolvo y pantalon) m/larga (6S, 6M) kaki amarillo oro bordado urrutibehety</t>
  </si>
  <si>
    <t xml:space="preserve">Rosario </t>
  </si>
  <si>
    <t>Spectrolab</t>
  </si>
  <si>
    <t>Guardapolvos para doctor m/larga para hombre (20L, 1M, 3XL) kaki 1ra blanco bordado Spectrolab en el bolsillo Izq.</t>
  </si>
  <si>
    <t>Overoles simples c/reflectivo mod maxam (2M, 4L) kaki 1ra plomo</t>
  </si>
  <si>
    <t>Overoles termicos c/reflectivo mod maxam (2M, 4L) kaki 1ra plomo</t>
  </si>
  <si>
    <t>chalecos c/reflectivo (2M, 4L) naranja</t>
  </si>
  <si>
    <t>Gorras mod. 6 paneles kaki blanco bordado powerade al frente</t>
  </si>
  <si>
    <t>Toallas pequeñas tela toalla blanca bordado powerade</t>
  </si>
  <si>
    <t>poleras hombre cuello cadete, como del overol astronauta m/c "L" serigrafiado toyota, zofraco, cochabmaba ATM</t>
  </si>
  <si>
    <t>poleras mujer cuello cadete, como del overol astronauta m/c (3S, 2M) serigrafiado toyota, zofraco, cochabmaba ATM</t>
  </si>
  <si>
    <t>guardapolvo mod. Tipo chef para mujer con vivo en solapa de 2 cm en tela tocuyo (12S, 6M, 4L) kaki 2da verde Knorr bordado Knorr en el pecho serigrafia en la espalda Knorr realza el sabor de tus comidas</t>
  </si>
  <si>
    <t>guardapolvo mod. Tipo chef para mujer con vivo en solapa de 2 cm en tela tocuyo (4S, 18M, 6L) kaki 2da verde Knorr bordado Knorr en el pecho serigrafia en la espalda Knorr realza el sabor de tus comidas</t>
  </si>
  <si>
    <t>Mirian Soto</t>
  </si>
  <si>
    <t>Guardapolvos de mujer m/larga con bolsillo en el pecholado izq. "M" kaki blanco + 6 cm al largo bordado Aiperiolaime, Apruman</t>
  </si>
  <si>
    <t>Guardapolvos de varon m/larga con bolsillo en el pecholado izq. "L" kaki blanco bordado Aiperiolaime, Apruman</t>
  </si>
  <si>
    <t>poleras polo varon m/c con puño"L" algodón blanco cuello puño y carterita verde bandera</t>
  </si>
  <si>
    <t>poleras polo mujer m/3/4 "L" algodón blanco cuello puño y carterita verde bandera bordado Ades pecho izq.</t>
  </si>
  <si>
    <t xml:space="preserve"> Tiens</t>
  </si>
  <si>
    <t>Bananeros mod Ola Oxford negro bordado tiens</t>
  </si>
  <si>
    <t>Barbijos papolina algodón exterior azul marino</t>
  </si>
  <si>
    <t>Poleras varon m/c cuello redondo "M" algodón azul marino bordado omo; serigraf. Omo..</t>
  </si>
  <si>
    <t>Lesly Chumacero</t>
  </si>
  <si>
    <t>Gorras mod. 6 paneles kaki2da azul marino bordado frente-&gt;morenada fancesa; atrás-&gt;concretec</t>
  </si>
  <si>
    <t>Gorras mod. 6 paneles kaki2da negro bordado frente-&gt;morenada fancesa; atrás-&gt;concretec</t>
  </si>
  <si>
    <t>chamarras de varon mod trailer (3M, 3L, 3XL, 1XXL)taslan nylon negro forro red bordado logo vila galindo, nombres</t>
  </si>
  <si>
    <t>chamarras de mujer mod trailer (4S, 3M)taslan nylon negro forro red bordado logo vila galindo, nombres</t>
  </si>
  <si>
    <t>Reposicion camisas de mujer "XL" lino melanch Blanco bordado kimberly, plenitud huggies, Scott Cotex</t>
  </si>
  <si>
    <t>Reposicion camisas de mujer "L" lino melanch Blanco bordado Scott</t>
  </si>
  <si>
    <t>chalecos forro polar y fibra termica "L" kaki azul marino combinado rojo bordao pil, serigraf. Pil</t>
  </si>
  <si>
    <t>chamarras de varon mod. Trailer con forro polar "L" taslan nylon azul marino</t>
  </si>
  <si>
    <t>chamarras de mujer mod. Trailer con forro polar "M" taslan nylon azul marino</t>
  </si>
  <si>
    <t>maletines según modelo lona azul marino</t>
  </si>
  <si>
    <t>Overoles simples "L" kaki2da azul marino</t>
  </si>
  <si>
    <t>Parkas termicas ""L" azul marino</t>
  </si>
  <si>
    <t>Guardapolvos de chef mujer sin ningun bolsillo "M" kaki2da blanco cuello verde bordado Knorr usar molde copelme</t>
  </si>
  <si>
    <t>chamarras de varon mod trailer forro red("L")taslan nylon azul marino bordado pil</t>
  </si>
  <si>
    <t>chamarras de mujer mod trailer forro red "M"taslan nylon azul marino bordado pil</t>
  </si>
  <si>
    <t>bufandas según mod. Con flecos a los extremos tela polar azul marino bordado pil</t>
  </si>
  <si>
    <t>Portachuteras según muestra entregada lona oxford negro serigraf. Rexona</t>
  </si>
  <si>
    <t>poleras cuello VARON V m/larga con tres franjas en la manga "XXL" algodón negro vanizado serigraf. Plan B</t>
  </si>
  <si>
    <t>poleras cuello VARON V m/larga con tres franjas en la manga "XXL" algodón blanco vanizado serigraf. Plan B</t>
  </si>
  <si>
    <t>polera cuello V mujer m/larga "M" algodón negro vanizado serigraf, Plan B</t>
  </si>
  <si>
    <t>polera cuello V mujer m/larga "M" algodón blanco vanizado serigraf, Plan B</t>
  </si>
  <si>
    <t>poleras hombre cuello cadete 3S, 2XS, como del overol astronauta m/c "L" serigrafiado toyota, zofraco, cochabmaba ATM</t>
  </si>
  <si>
    <t>Guardapolvos c/boton visto c/2 bolsillos inferiores y uno en el pecho izq. "M" en kaki 1 celeste bebe y 1 amarillo oro bordado GMI</t>
  </si>
  <si>
    <t>Marisol Cadima/Sandra Delgadillo</t>
  </si>
  <si>
    <t>Mochilas mod. Rexona con las modificaciones en Oxford negro bordado Omo Surf</t>
  </si>
  <si>
    <t>Fernando Alanes</t>
  </si>
  <si>
    <t>chalecos mod. Silvia c/4bolsillos 10S, 10L kaki 2da azul marino-&gt;cuerpo; verde bandera-&gt; vivos en espalda y bolsillo bordado papelera vinto, carmen, perla, perla</t>
  </si>
  <si>
    <t>Gorras mod. 6 paneles kaki 2da azul marino</t>
  </si>
  <si>
    <t>Manteles 1,5x1,5 metros aguayo sin logos</t>
  </si>
  <si>
    <t>Manteles 1,5x1,5 metros en tocuyo sin logos</t>
  </si>
  <si>
    <t>Bolsitas tamaño 12x20cm en tocuyo-&gt;cuerpo; kaki 2da verde bandera-&gt;detalle y cinta bordado Knorr</t>
  </si>
  <si>
    <t>Bolsitas tamaño 12x20cm en  kaki 2da verde bandera-&gt;cuerpo; tocuyo-&gt;detalle y cinta bordado Knorr</t>
  </si>
  <si>
    <t>vestidos según imagen "m" algodón licrado verde Knorr(2 c/detalles de tocuyo, 4 c/ detalles aguayo)bordao Knorr</t>
  </si>
  <si>
    <t>Gorras mod. 6 paneles kaki2da azul marino, rojo bordao Pil</t>
  </si>
  <si>
    <t>Chalecos mod. Silvia c/bolsillos superiores "L" kaki 2da Azul marino bordaod pil pecho; espalda-&gt; Pil</t>
  </si>
  <si>
    <t>bananeros institucionales c/azulmarino bordado pil</t>
  </si>
  <si>
    <t>Dra. Ruth Magne</t>
  </si>
  <si>
    <t>Maletines mod. Pil oxford azul marino bordado curso nacional de formadores en educacion inclusiva cbba junio 2010, Ric, Save the children, Junta de andalucia</t>
  </si>
  <si>
    <t>Vanessa Lizarazu/Dario Abasto</t>
  </si>
  <si>
    <t>poleras polo mujer manga 3/4 "M" pique negro; mangas, cuello y carterita-&gt;blanco bordadoSedal Co-creations</t>
  </si>
  <si>
    <t>Pantalones de mujer "40" tergal negro</t>
  </si>
  <si>
    <t>Bolsones mod. Simpson Oxford negro</t>
  </si>
  <si>
    <t>poleras polo varon m/c (5M, 15L) pique naranja bordado entel</t>
  </si>
  <si>
    <t>poleras polo varon m/c (5M, 15L) pique azul marino bordado entel</t>
  </si>
  <si>
    <t>poleras polo mujer m/c (3M, 2L) pique naranja bordado entel</t>
  </si>
  <si>
    <t>poleras polo mujer m/c (2M, 3L) pique azul marino bordado entel</t>
  </si>
  <si>
    <t>poleras polo varon m/c (8m, 4L) pique azul marino bordado fuerza legionaria nacionalista, manga Izq.-&gt; por un hombre nuevo y una nueva sociedad, manga der-&gt; bandera nacional</t>
  </si>
  <si>
    <t>Gorras mod. 6 paneles c/hebilla metalica kaki azul marino bordao Imflapark</t>
  </si>
  <si>
    <t>Guardapolvos según imagen botones al costado derecho "M" tergal blanco detalle azul pastel, bordado Dove</t>
  </si>
  <si>
    <t xml:space="preserve">pantalones de mujer "40" tergal azul pastel </t>
  </si>
  <si>
    <t>poleras polo mujer m/c c/puño c/bolsillo pecho izq. (25S, 36M, 53L) pique cuerpo-&gt;amarillo yema; cuello, puño, carterita-&gt; azul marino</t>
  </si>
  <si>
    <t>poleras polo mujer m/c c/puño c/bolsillo pecho izq. (9XL, 2XXL) pique cuerpo-&gt;amarillo yema; cuello, puño, carterita-&gt; azul marino</t>
  </si>
  <si>
    <t>poleras polo varon m/c c/puño c/bolsillo pecho izq. (54M, 142L) pique cuerpo-&gt;amarillo yema; cuello, puño, carterita-&gt; azul marino bordado bolsillo-&gt;…</t>
  </si>
  <si>
    <t>poleras polo varon m/c c/puño c/bolsillo pecho izq. (76XL, 22XXL, 1XXXL) pique cuerpo-&gt;amarillo yema; cuello, puño, carterita-&gt; azul marino bordado bolsillo-&gt;…</t>
  </si>
  <si>
    <t>camisas varon mod. Gedesa m/c c/bolsillo superior (22M, 40L, 5XL, 9XXL) popelina celeste cielo bordado: bolsillo-&gt;Surf; m/der-&gt;movimarkert</t>
  </si>
  <si>
    <t>camisas varon mod. Gedesa m/larga c/bolsillo superior (3S, 29M, 60L, 29XL) popelina celeste cielo bordado: bolsillo-&gt;Surf; m/der-&gt;movimarkert</t>
  </si>
  <si>
    <t>camisas mujer m/c aumentar 10cm al largo (2S, 8M, 2L) popelina celeste cielo bordado: bolsillo-&gt;Surf; m/der-&gt;movimarkert</t>
  </si>
  <si>
    <t>camisas mujer m/larga aumentar 10cm al largo (3M, 2L, 4XL) popelina celeste cielo bordado: bolsillo-&gt;Surf; m/der-&gt;movimarkert</t>
  </si>
  <si>
    <t>camisas varon mod. Gedesa m/c c/bolsillo superior (2M, 2L) popelina arena bordado: bolsillo-&gt;Surf; m/der-&gt;movimarkert</t>
  </si>
  <si>
    <t>camisas varon mod. Gedesa m/larga c/bolsillo superior (4L, 2XL) popelina arena bordado: bolsillo-&gt;Surf; m/der-&gt;movimarkert</t>
  </si>
  <si>
    <t>poleras polo varon m/c doble manga (6S, 12M, 20L, 2XL) pique verde botella-&gt;cuerpo; cuello, doble manga, carterita-&gt; verde musgo bordado Surf</t>
  </si>
  <si>
    <t>Chalecos mod. Pil (18M, 78L, 28XL) kaki2da rojo combinado plomo claro bordado surf, omo serigraf.-&gt;surf</t>
  </si>
  <si>
    <t>Gorras mod. 6 paneles kaki2da rojo con plomo claro bordado surf</t>
  </si>
  <si>
    <t>Ruth Magne</t>
  </si>
  <si>
    <t>Parkas termicas XXL prada plomo polar oscuro bordado maxam fanexa</t>
  </si>
  <si>
    <t>Overoles simples (1S, 2L, 1XL, 2XXL) kaki 1ra plomo oscuro bordado maxam fanexa</t>
  </si>
  <si>
    <t>Overoles simples (1L, 1XXL) kaki 1ra rojo</t>
  </si>
  <si>
    <t>poleras polo varon m/c (2L, 1XL, 2XXL) pique rojo</t>
  </si>
  <si>
    <t>poleras cuello redondo varon m/c (2L, 1XL, 2XXL) algodón rojo</t>
  </si>
  <si>
    <t>poleras cuello redondo varon m/c (2L, 1XL, 2XXL) algodón plomo</t>
  </si>
  <si>
    <t>Parkas tropicales (2L, 1XL, 2XXL) prada plomo oscuro</t>
  </si>
  <si>
    <t>Bolsitas tamaño 12x20 cm kaki 2da verde bordado Knorr=OP525</t>
  </si>
  <si>
    <t>Bolsones oxford bordado Dove</t>
  </si>
  <si>
    <t>poleras polo m/c doble manga de varon (17S, 53M, 20 L)pique cuerpo rojo, cuello doble manga y carterita blanco bordado Surf, hipermaxi, serigraf omo</t>
  </si>
  <si>
    <t>poleras polo varob m/c doble manga (11S, 40M, 11L) pique cuerpo naranja, cuello doble manga y carterita verde bandera bordado surf , fidalga, serigrafiado omo</t>
  </si>
  <si>
    <t>poleras polo varob m/c doble manga (3S, 8M, 4L) pique cuerpo azul marino, cuello doble manga y carterita blanco bordado surf , plaza, serigrafiado omo</t>
  </si>
  <si>
    <t>poleras polo varob m/c doble manga (5S, 28M, 12L) pique cuerpo verde bandera, cuello doble manga y carterita blanco bordado 3M-&gt;slam; 2L-&gt;tocales; resto-&gt; IC norte , plaza, serigrafiado omo</t>
  </si>
  <si>
    <t>Ponchillos sin bolsillos mod. Pil en tergal rojo ribet blanco bordado Surf, Hipermaxi, serigraf. Omo</t>
  </si>
  <si>
    <t>Ponchillos sin bolsillos mod. Pil en tergal naranja ribet verde bandera bordado Surf, fidalga, serigraf. Omo</t>
  </si>
  <si>
    <t>Ponchillos sin bolsillos mod. Pil en tergal azul marino ribet blanco bordado Surf, plaza, serigraf. Omo</t>
  </si>
  <si>
    <t>Ponchillos sin bolsillos mod. Pil en tergal verde bandera ribet blanco bordado Surf, 60-&gt;ic norte, 15-&gt; slam, 10-&gt; tocales, serigraf. Omo</t>
  </si>
  <si>
    <t>poleras polo mujer m/c "M" algodón blanco, cuello carterita rojo serigraf. Maizena</t>
  </si>
  <si>
    <t>chamarras mujer c/forro polar con capucha (23M, 3L) taslan nylon verde bandera; polar blanco bordado Ades serigraf. Ades</t>
  </si>
  <si>
    <t>chamarras mujer c/forro polar con capucha "M" taslan nylon verde oscuro; polar rojo bordado Knorr serigraf. Knorr</t>
  </si>
  <si>
    <t>Cecilia Sanchez</t>
  </si>
  <si>
    <t>poleras polo varon m/c c/puño "L" pique Cuerpo blanco; cuello puño y carterita-&gt; verde bandera bordado pecho izq-&gt; IC norte ; pecho der.-&gt; Scott, huggies, kotex, plenitud</t>
  </si>
  <si>
    <t>Unitepc</t>
  </si>
  <si>
    <t>Servicio de bordado en camisas</t>
  </si>
  <si>
    <t>Servicio de bordado en chompas de mujer color café</t>
  </si>
  <si>
    <t>Servicio de bordado en chompas cuello V de varon bordado Unitepc</t>
  </si>
  <si>
    <t>serivicio de bordado en deportivos unitep pecho</t>
  </si>
  <si>
    <t>serivicio de bordado en deportivos unitep espalda</t>
  </si>
  <si>
    <t>serivicio de bordado en deportivos ciec pecho</t>
  </si>
  <si>
    <t>serivicio de bordado en deportivos cosmos espalda</t>
  </si>
  <si>
    <t>Gorras mod. Powerade kaki 2da blanco detalle turqueza bordado powerade</t>
  </si>
  <si>
    <t>STOCK</t>
  </si>
  <si>
    <t>Gorras mod 6 paneles kaki 2da blanco-&gt;cabeza; verde-&gt;vicera interior, bordado logo tiens</t>
  </si>
  <si>
    <t>Gorras mod 6 paneles kaki 2da blanco-&gt;cabeza; naranja-&gt;vicera interior, bordado logo tiens</t>
  </si>
  <si>
    <t>bolsones de jean según muestra jean azul</t>
  </si>
  <si>
    <t>Alavaro Garia Mesa</t>
  </si>
  <si>
    <t>Logo Digital</t>
  </si>
  <si>
    <t>Gorras según modelo kaki 2da azul pastel calipso bordado frente-&gt;YPFB refinacion</t>
  </si>
  <si>
    <t>poleras polo varon m/c (40S, 100M, 100L, 10XL) pique calipso bordado PI-&gt; YPFB refinacion</t>
  </si>
  <si>
    <t>poleras cuello redondo varon según diseño, m/c(60S, 100M, 150L, 40XL) algodón azul pastel, azul marino bordado YPFB refinacion S.A.</t>
  </si>
  <si>
    <t>Remberto Quina</t>
  </si>
  <si>
    <t>Sicme</t>
  </si>
  <si>
    <t>chalecos mod. Silvia c/bolsillos superiores al lado izq 2divisiones para boligrafos el bolsillo grande debe crecer 2cm hacia el bolsillo (6M, 14L) kaki 1ra negro bordado PI-&gt;Sicme, espalda-&gt; tramontina montero margiriu</t>
  </si>
  <si>
    <t>chalecos mod. Silvia c/bolsillos superiores al lado izq 2divisiones para boligrafos el bolsillo grande debe crecer 2cm hacia el bolsillo (6M, 14L) kaki 1ra azul marino bordado PI-&gt;Sicme, espalda-&gt; tramontina montero margiriu</t>
  </si>
  <si>
    <t xml:space="preserve">Gorras según mod. Kaki2dacabeza-&gt; azul marino; combinado rojo blanco bordado 25 F-&gt;tramontina, A-&gt;sicma;25 F-&gt;Sicme, A-&gt; tramontina </t>
  </si>
  <si>
    <t xml:space="preserve">Gorras según mod. Kaki2da cabeza-&gt; rojo; combinado azul marino y blanco bordado 25 F-&gt;tramontina, A-&gt;sicma;25 F-&gt;Sicme, A-&gt; tramontina </t>
  </si>
  <si>
    <t>ponchillos según diseño lino melanch azul marino y rojo bordado pecho centro omo</t>
  </si>
  <si>
    <t>camisas compradas "M" kaki bordado omo</t>
  </si>
  <si>
    <t>capas de niño c/borde de tela de peluche tela raso rojo sin logos</t>
  </si>
  <si>
    <t>pantalones de stock (11"40",)</t>
  </si>
  <si>
    <t>pantalones de stock ( 6"46")</t>
  </si>
  <si>
    <t>escarapelas según modcinta azul marino 2430 diseño gragon, 2430 princesa</t>
  </si>
  <si>
    <t>cenefas de 6x0,13 mtr tergal azul marino</t>
  </si>
  <si>
    <t>cenefas de 4x0,13 mtr tergal azul marino</t>
  </si>
  <si>
    <t>pantalones e trabajo de mujer c/cinta reflectiva en ambas piernas (1"36", 2"44") kaki 1ra blanco</t>
  </si>
  <si>
    <t>pantalones clasicos de hombre c/cinta reflectiva en ambas piernas (1"42", 2"44", 1"40", 1"46")jean azul clasico</t>
  </si>
  <si>
    <t>pantalones de trabajo de varon c/cinta reflectiva en ambas piernas (2"42") kaki 1ra kaki</t>
  </si>
  <si>
    <t>Guardapolvos mod. Multiagro (4M, 2L) kaki1ra blanco bordado PI-&gt;unilever</t>
  </si>
  <si>
    <t>trajes (pantalon, camisa, gorra) según imagen "M" tergal azul y blanco bordado en el pecho-&gt;omo; gorra-&gt;omo</t>
  </si>
  <si>
    <t>trajes de mago (toga y gorro) "M" tergal rojo bordado omo</t>
  </si>
  <si>
    <t>Horti Argandoña</t>
  </si>
  <si>
    <t>poleras polo mujer m/c (6M, 8L) pique fuccia oscuro bordado PI-&gt;CI</t>
  </si>
  <si>
    <t>poleras polo mujer m/c (16XL, 2XXL) pique fuccia oscuro bordado PI-&gt;CI</t>
  </si>
  <si>
    <t>poleras polo mujer m/c (extra) pique fuccia oscuro bordado PI-&gt;CI</t>
  </si>
  <si>
    <t>Jorge Lazarte</t>
  </si>
  <si>
    <t>Coboce Eventos</t>
  </si>
  <si>
    <t>Overoles (2M, 1L)</t>
  </si>
  <si>
    <t>chalecos doble cara mod. Silvia (2M, 3L)</t>
  </si>
  <si>
    <t>pantalones de jean clasicos (1"38", 1"40", 3"42")</t>
  </si>
  <si>
    <t>poleras (3M, 4L)</t>
  </si>
  <si>
    <t>sombreros</t>
  </si>
  <si>
    <t>Willian Villca</t>
  </si>
  <si>
    <t>poleras polo de mujer (5M, 7S) pique fuccia bordado PI-&gt;logo pujllay</t>
  </si>
  <si>
    <t>poleras de niño polo (2"8", 1"4")pique fuccia bordado PI-&gt;logo pujllay</t>
  </si>
  <si>
    <t>poleras varon m/c (4L, 37M, 5+6S) pique calipso bordado PI-&gt;logo pujllay</t>
  </si>
  <si>
    <t>poleras polo mujer m/c (10M, 6S) pique calipso bordadoPI-&gt;logo pujllay</t>
  </si>
  <si>
    <t>poleras de niño "8" pique calipso bordado PI-&gt;logo pujllay</t>
  </si>
  <si>
    <t>chalecos según mod. Con forro cuello cadete bolsillo superior c/broche (2S, 4L, 2XXL) kaki 2da plomo combinado azul marino bordado PI-&gt;grupo ravi</t>
  </si>
  <si>
    <t>Gorras institucionales kaki2da azul marino c/rojo bordado Pil</t>
  </si>
  <si>
    <t>poleras compradas de niño "10" algodón 25 rojo, 25 amarillo, 25 naranja, 25 verde serigraf. Yosoy el rey de la casa</t>
  </si>
  <si>
    <t>poleras polo mujer m/c "M" pique negro bordado PI-&gt;sedal</t>
  </si>
  <si>
    <t>Jenny Rimasa</t>
  </si>
  <si>
    <t>promo 90 asm</t>
  </si>
  <si>
    <t>poleras polo varon m/c doble manga (5M, 9L) pique negro-&gt;cuerpo; doblemanga rojo; carterita interior rojo y amarillo bordado ASM promo90-&gt;PI; MD-&gt;bandera alemana; espalda-&gt; Freundefur immer amigos por siempre</t>
  </si>
  <si>
    <t>poleras polo varon m/c doble manga (2XXL, 1XL) pique negro-&gt;cuerpo; doblemanga rojo; carterita interior rojo y amarillo bordado ASM promo90-&gt;PI; MD-&gt;bandera alemana; espalda-&gt; Freundefur immer amigos por siempre</t>
  </si>
  <si>
    <t>poleras polo mujer m/c doble manga aumentar 3cm al largo (4S, 15M, 11L) pique negro-&gt;cuerpo; doblemanga rojo; carterita interior rojo y amarillo bordado ASM promo90-&gt;PI; MD-&gt;bandera alemana; espalda-&gt; Freundefur immer amigos por siempre</t>
  </si>
  <si>
    <t>poleras polo mujer m/c doble manga aumentar 3cm al largo (4XL, 1XXL) pique negro-&gt;cuerpo; doblemanga rojo; carterita interior rojo y amarillo bordado ASM promo90-&gt;PI; MD-&gt;bandera alemana; espalda-&gt; Freundefur immer amigos por siempre</t>
  </si>
  <si>
    <t>Morrales mod. Simpsom lona pescado negro bordado tapa sedal</t>
  </si>
  <si>
    <t>ximena/Sonia Sambrana</t>
  </si>
  <si>
    <t>Unitep</t>
  </si>
  <si>
    <t>poleras polo mujer m/c según muestra scott (36S, 48M, 36L)pique blanco, c/ vivos morados bordado PI y espalda-&gt; Unitep medicina y odontologia</t>
  </si>
  <si>
    <t>poleras polo varon m/c s/mod. Scott (36M, 48L) pique blanco c/vivo morado bordado PI y espalda-&gt; Unitep medicina y odontologia</t>
  </si>
  <si>
    <t>poleras polo varon m/c s/mod. Scott (36XL) pique blanco c/vivo morado bordado PI y espalda-&gt; Unitep medicina y odontologia</t>
  </si>
  <si>
    <t>poleras de mujer s/mod. (24S, 24M, 12L) pique verde c/vivo blanco bordado PI y espalda UNITEP</t>
  </si>
  <si>
    <t>poleras de varon s/mod. (12M, 24L) pique verde c/vivo blanco bordado PI y espalda UNITEP</t>
  </si>
  <si>
    <t>poleras de varon s/mod. (24XL) pique verde c/vivo blanco bordado PI y espalda UNITEP</t>
  </si>
  <si>
    <t>poleras mujer mod. Papelera vinto "L" algodón morado bordado PI, espalda unitep</t>
  </si>
  <si>
    <t>poleras varon mod. Papelera vinto (6L, 6M) algodón calipso oscuro bordado PI, espalda unitep</t>
  </si>
  <si>
    <t>Gorras mod. Tiens c/pasador metalico kaki 2da blanco combinado rosado vicera volcalda</t>
  </si>
  <si>
    <t>Fino</t>
  </si>
  <si>
    <t>camisas de mujer manga 3/4 mod. Ponds (6S, 2M, 2L) flyflex blanco</t>
  </si>
  <si>
    <t>Jhenny Mendez</t>
  </si>
  <si>
    <t>Overoles simples c/reflectivo (3M, 3L, 1XL) kaki 1ra rojo bordado maxam fanexa; espalda-&gt; maxam</t>
  </si>
  <si>
    <t>Parkas termicas (5L, 1XL, 1XXL) kaki 1ra plomo oscuro bordado PD-&gt; maxam, PI-&gt;fanexa; espalda-&gt; maxam</t>
  </si>
  <si>
    <t>Walter Martinez</t>
  </si>
  <si>
    <t>poleras polo varon m/c "L" pique azul marino</t>
  </si>
  <si>
    <t>camisas varon compradas con arreglos según diseño m/larga(14M, 6L, 3XL, 1XXL) negro bordado LD-&gt;sedal</t>
  </si>
  <si>
    <t>camisas mujer mod. Fino (molde 10) m/c(18S, 24M, 6L, 1XL)flyflex negro bordado PI-&gt;sedal</t>
  </si>
  <si>
    <t>morrales, bolsones mod. Simpsom, modificacion en el interior debe tener encajonado con cierre lona acuadros negro bordado tapa-&gt;sedal</t>
  </si>
  <si>
    <t>Mirko Rojas</t>
  </si>
  <si>
    <t>chalecos según mod. c/cinta reflectiva (2M, 4L, 3XL) kaki 2da plomo bordado  BI-&gt;unilever; BD-&gt;nombre; espalda-&gt;SHE, TPM, tipo de sangre</t>
  </si>
  <si>
    <t>banderas triangulares de 1x0,8 mtr TERGAL azul logo urban race rush de40x40</t>
  </si>
  <si>
    <t>bandera meta en tela cuadriculada blanco y negro 1x0,8 mtr TERGAL blanco y negro logo urban race rush de 40x40</t>
  </si>
  <si>
    <t>soleras de varon según mod.</t>
  </si>
  <si>
    <t>palos de escoba</t>
  </si>
  <si>
    <t>serigraf. Adicionales</t>
  </si>
  <si>
    <t>frazadas de 1,5 plazas sin logos</t>
  </si>
  <si>
    <t>Martha cespedez</t>
  </si>
  <si>
    <t>Martha</t>
  </si>
  <si>
    <t>poleras polo varon m/c c/puño(1M, 1L) pique naranja color entero bordado PI-&gt;</t>
  </si>
  <si>
    <t>poleras polo varon m/c c/puño(3XXL) pique naranja color entero bordado PI-&gt;</t>
  </si>
  <si>
    <t>poleras polo mujer m/c c/puño(1S, 1M, 1L) pique naranja color entero bordado PI-&gt;</t>
  </si>
  <si>
    <t>poleras de mujer XXXL pique azul bordado PI-copelme</t>
  </si>
  <si>
    <t>poleras de varon XL pique azul bordado PI-copelme</t>
  </si>
  <si>
    <t>Gregorio Rojas</t>
  </si>
  <si>
    <t>chamarras de varon mod. Faboce, el puño con media liga sin scrach sin broches el bolsillo con vivo forro polar, bolsillo interior sin cierre (2L, 3M) prada rojo, azul blanco forro polar azul marino bordado PI-&gt; sindicato faboce</t>
  </si>
  <si>
    <t>Ruben</t>
  </si>
  <si>
    <t>poleras polo mujer m/c,c/bolsillo en el pecho izq. c/puño (2S, 5M, 7L) pique amarillo, cuello carterita y puño-&gt; azul marino bordado bolsillo-&gt;Gobierno sacaba</t>
  </si>
  <si>
    <t>poleras polo mujer m/c,c/bolsillo en el pecho izq. c/puño (5XL, 1XXXL) pique amarillo, cuello carterita y puño-&gt; azul marino bordado bolsillo-&gt;Gobierno sacaba</t>
  </si>
  <si>
    <t>poleras polo varon m/c,c/bolsillo en el pecho izq. c/puño (3M, 10L) pique amarillo, cuello carterita y puño-&gt; azul marino bordado bolsillo-&gt;Gobierno sacaba</t>
  </si>
  <si>
    <t>poleras polo varon m/c,c/bolsillo en el pecho izq. c/puño (12XL, 3XXL,  2XXXL) pique amarillo, cuello carterita y puño-&gt; azul marino bordado bolsillo-&gt;Gobierno sacaba</t>
  </si>
  <si>
    <t>parkas mod CRF c/forro polar () taslan nylon azul marino bordado PI-&gt;kotex</t>
  </si>
  <si>
    <t>poleras polo varon c/puño,() pique azul marino bordado PI-&gt;kotex</t>
  </si>
  <si>
    <t>chalecos mod silvia con forro "M" kaki 2da azul marino bordado PI-&gt;huggies; espalda-&gt;kimberly bolivia S.A.</t>
  </si>
  <si>
    <t>bananeros mod ola lona oxford verde bordado huggies</t>
  </si>
  <si>
    <t>Maria Rosely/Vladimir Cosio</t>
  </si>
  <si>
    <t>guardapolvos según mod. (6L, 6XL) tergal blanco bordado PI-&gt; fridosa</t>
  </si>
  <si>
    <t>pantalones según mod. (6L, 6XL)tergal blanco</t>
  </si>
  <si>
    <t>Cofias tergal blanco bordado frente-&gt;fridosa</t>
  </si>
  <si>
    <t>Uniforme de criada según muestra</t>
  </si>
  <si>
    <t>maletines mod la hoguera lona zul marino tapa bolsillo delantero color naranja bordado frente-&gt;</t>
  </si>
  <si>
    <t>Liliam Hoffman</t>
  </si>
  <si>
    <t>camisas de mujer según mod. "M" amarillo bordado PI-&gt; dumbo</t>
  </si>
  <si>
    <t>mandiles mod knorr el ribet blanco tergal azul marino</t>
  </si>
  <si>
    <t>poleras compradas</t>
  </si>
  <si>
    <t>manteles 1,2x1,2 mtr</t>
  </si>
  <si>
    <t>poleras polo mujer m/c</t>
  </si>
  <si>
    <t>Overoles 23 de varon(11M, 10L, 1XL, 1S) y 2 mujer(M) taslan negro con agarradores verdes</t>
  </si>
  <si>
    <t>poleras polo de varon m/c doble manga( 6M, 11L) pique blanco; cuello, doble manga carterita-&gt;naranja, serigraf. Trailer y el chaco es lindo</t>
  </si>
  <si>
    <t>poleras polo de varon m/c doble manga(2XXL, 6XL) pique blanco; cuello, doble manga carterita-&gt;naranja serigraf. Trailer y el chaco es lindo</t>
  </si>
  <si>
    <t>Gorras mod 6 paneles tergal color verdebandera vicera amarilla bordado Scotch Bride</t>
  </si>
  <si>
    <t>ponchillos mod pil sin bolsillos molde 29 tergal verde bandera serigrafiado en el pecho alcentro Scotch Brite</t>
  </si>
  <si>
    <t>Mandiles mod. Knorr c/2 bolsillos molde #4 tergal verde bandera logo serigrafiado alcentro Scotch bride</t>
  </si>
  <si>
    <t>poleras varon cuello redondo de stock 2M, 1L algodón blanco bordado PI-&gt;fridosa embutidos</t>
  </si>
  <si>
    <t>poleras varon cuello redondo de stock "S" algodón blanco bordado PI-&gt;fridosa embutidos</t>
  </si>
  <si>
    <t>pantalones de trabajo c/2 bolsillos laterales "42" de varon kaki 1ra azul marino sin logos</t>
  </si>
  <si>
    <t>Jhonny</t>
  </si>
  <si>
    <t>Laser SRL</t>
  </si>
  <si>
    <t>Overoles de varon según muestra (3"46", 4"48", 3"50", 2"55", 2"56") kaki2da azulpastel y rojo bordado PI-&gt; ; espalda; BD-&gt;</t>
  </si>
  <si>
    <t>Gorras mod. 6 paneles kaki2da azul pastel vicera interor rojo bordado</t>
  </si>
  <si>
    <t>chalecos de mujer 40M, 40L, 10XL kaki 2da azul marino espalda combinado naranja aumentar 3 cm al largo</t>
  </si>
  <si>
    <t>soleras de mujer igual OP769 "M" algodón blanco con azul pastel serigrafiado rush</t>
  </si>
  <si>
    <t>soleras de varon igual OP769 "M" algodón blanco con azul pastel serigrafiado rush</t>
  </si>
  <si>
    <t>chalecos según mod. Varon "M" kaki 2da negro combinado plomo claro bordado PI-&gt; Ravi</t>
  </si>
  <si>
    <t>chalecos mod. Silvia c/cinta reflectiva (1L, 1XXL) jean azul clasico bordado PI-&gt;Ende corporacion; PD-&gt; H.medrano</t>
  </si>
  <si>
    <t>camisa "L" jean azul clasico bordado PI-&gt;Ende corporacion, PD-&gt; H.medrano</t>
  </si>
  <si>
    <t xml:space="preserve">pantalon clasico "42" jean clasico azul </t>
  </si>
  <si>
    <t>manteles 2,5x1,9 mtr tergal blanco sin logos</t>
  </si>
  <si>
    <t>Sandra Delgadillo</t>
  </si>
  <si>
    <t>poleras polo hombre m/c (120L, 80M) algodón blanco cuello tejido y carterita azul pastel</t>
  </si>
  <si>
    <t>compra de adornos sin logos</t>
  </si>
  <si>
    <t>pantalones según mod. OP703(1"48", 7"40", 9"42", 1"48") kaki 1ra azulmarino</t>
  </si>
  <si>
    <t>pantalones según mod. OP703( 1"46", 1"50") kaki 1ra azulmarino</t>
  </si>
  <si>
    <t>pantalones de mujer según mod. OP703(1"36", 1"38") kaki 1ra azulmarino</t>
  </si>
  <si>
    <t>pantalones de varon con pinzas "48" kaki 1ra azul marino</t>
  </si>
  <si>
    <t>guardapolvo segunmod. OP702 de mujer "L" kaki 2da azul marino bordado PI-&gt; sobre el bolsillo Grupo ravi</t>
  </si>
  <si>
    <t>Camisas de varon m/c OP697 (1M, 1L) kaki 2da azul marino bordado PI-&gt; grupo ravi (sobre el bolsillo)</t>
  </si>
  <si>
    <t>Camisas de varon m/c OP697 (1XL) kaki 2da azul marino bordado PI-&gt; grupo ravi (sobre el bolsillo)</t>
  </si>
  <si>
    <t>camisas de varon m/larga OP697 (1P, 1S) kaki 2da azul marino</t>
  </si>
  <si>
    <t>Guardapolvo de doctor mujer OP697 "L" kaki 2da blanco</t>
  </si>
  <si>
    <t>Lic. Manolo Montenegro</t>
  </si>
  <si>
    <t>BOA</t>
  </si>
  <si>
    <t>Viceras mod. Pond´s unica kaki 2da azul pastel bordado en elfrente BOA boliviana de aviacion</t>
  </si>
  <si>
    <t>Escarapelas igual OP751 unica cinta roja 3600 lgo princesa, 1800 logo dragon</t>
  </si>
  <si>
    <t>Roberto Peña</t>
  </si>
  <si>
    <t>maletines según mod. Unica lona a cuadros negro kaki 2da plomo oscuro bordado en la tapa + (reducir la profundidad de 36 a 30 cm,  reducir el ancho de 51 a 47 cm, la red interna aumentar 6 cm de alto,  usar correa de 4 cm, la tapa del botiquin aumentar 10 cm, aumentar ancho del botiquin 5 cm)</t>
  </si>
  <si>
    <t>uniformes m/larga guardapolvo pantalon (7S, 7M) kaki amarillo vivos verdes bordado urrutibehety</t>
  </si>
  <si>
    <t>uniformes m/c guardapolvo pantalon (7S, 7M) kaki amarillo vivos verdes bordado urrutibehety</t>
  </si>
  <si>
    <t>Grupo trailer</t>
  </si>
  <si>
    <t>Bolsones mod, cumpleaños de sra martha (plomo) bordado trailer</t>
  </si>
  <si>
    <t>Bolsones mod, china (azul) bordado trailer</t>
  </si>
  <si>
    <t>poleras blancas m/c varon doble manga "L" pique blanco</t>
  </si>
  <si>
    <t>poleras blancas m/c mujer doble manga 1M, 1L pique blanco</t>
  </si>
  <si>
    <t>maletines según muestra (grande) lona a cuadros negro logo trailer</t>
  </si>
  <si>
    <t>Mochilas mod. Sedal según OP626 unica lona azul marino bordado Kotex, plenitud, Scott, Huggies, kimberly bolivia</t>
  </si>
  <si>
    <t>Bolsones mod. Lona con dibujos</t>
  </si>
  <si>
    <t>Bolsones mod.2 Lona con dibujos</t>
  </si>
  <si>
    <t>Dr. Daniel Niño de Guzman</t>
  </si>
  <si>
    <t>Serviciode bordado en 2 batas y 2 guardapolvos blancos logo bolsillo-&gt;unilever; Dr Daniel Niño de Guzman; Dr. Jaime Valenzuela</t>
  </si>
  <si>
    <t>Gorras sin pellon según muestra trailer kaki 100 algodón azul marino vicera vista rojo</t>
  </si>
  <si>
    <t>Gorras sin pellon según muestra trailer kaki 100 algodón rojo vicera vista azul marino</t>
  </si>
  <si>
    <t>Chalecos mod.silvia con combinado en la espalda varon "M"kaki2da negro</t>
  </si>
  <si>
    <t>chalecos de mujer mod silvia combinado naranja en la espalda "M" kaki 2danegro</t>
  </si>
  <si>
    <t>chalecos de mujer mod Trailer combinado naranja en la espalda "M" kaki 2danegro</t>
  </si>
  <si>
    <t>Gorras mod. 6 paneles kaki 2da azul marino bordado-&gt;; sin pellon c/scrach</t>
  </si>
  <si>
    <t>Gorras Institucionales  kaki2da azul marino con rojo bordado pil</t>
  </si>
  <si>
    <t>Poleras compradas(30M, 50L, 20XL) algodón azul marino bordado PI-&gt; ri-k, serigraf-&gt;Ri-k</t>
  </si>
  <si>
    <t>chalecos mod silvia c/forro (10M, 40L, 10XL) kaki 2da azul marino combinado naranja bordado Ri-k; serigraf.-&gt; espalda ri-k</t>
  </si>
  <si>
    <t>Gorras mod. 6paneles kaki2da naranja azul marino vicera interior bordado ri-k</t>
  </si>
  <si>
    <t>Juan Pablo Flores</t>
  </si>
  <si>
    <t>poleras polo varon m/c c/puño (10S, 30M, 30L, 30XL) pique blanco, cuello azul marino, puño rojo y blanco bordadoPI-&gt; San Rafael</t>
  </si>
  <si>
    <t>Carla Villalobos</t>
  </si>
  <si>
    <t>Tiny Tots</t>
  </si>
  <si>
    <t>poleras de niñom/rangla m/c, cuello redondo (12"2", 24"4") algodón blanco manga der-&gt; verde viva; manga Izq.-&gt;naranja serigraf. PI-&gt;Tiny tots jardin maternal</t>
  </si>
  <si>
    <t>poleras de niñom/rangla m/c, cuello redondo (36"6", 24"8") algodón blanco manga der-&gt; verde viva; manga Izq.-&gt;naranja serigraf. PI-&gt;Tiny tots jardin maternal</t>
  </si>
  <si>
    <t>poleras de mujer m/rangla m/c, cuello redondo (4M, 4L, 4XL) algodón blanco manga der-&gt; verde viva; manga Izq.-&gt;naranja serigraf. PI-&gt;Tiny tots jardin maternal</t>
  </si>
  <si>
    <t>Bruno Peñaranda</t>
  </si>
  <si>
    <t>OESER</t>
  </si>
  <si>
    <t>poleras polo varon m/c c/puño c/bolsillo (21L, 20XL) pique plomo oscuro, pique guindo-&gt;manga puño y cuello serigraf MD-&gt;OESER; bordado en el bolsillo-&gt;logo</t>
  </si>
  <si>
    <t>poleras polo mujer m/c c/puño c/bolsillo (M) pique plomo oscuro, pique guindo-&gt;manga puño y cuello serigraf MD-&gt;OESER; bordado en el bolsillo-&gt;logo</t>
  </si>
  <si>
    <t>Fabiola Zeballos</t>
  </si>
  <si>
    <t>poleras polo mujer m/c (5S, 5M) pique negro bordado PI-&gt;Coro Fino 2010</t>
  </si>
  <si>
    <t>poleras polo varon m/c (4M, 11L) pique negro bordado PI-&gt;Coro Fino 2010</t>
  </si>
  <si>
    <t>Pantalones varon ("40") azul marino bordado decurion en una pierna</t>
  </si>
  <si>
    <t>Pantalones varon (11"48", 2"50", 3"52") azul marino bordado decurion en una pierna</t>
  </si>
  <si>
    <t>chamarras con polar azul marino (2M, 5XL, 5XXL) bordado seguridad decurion</t>
  </si>
  <si>
    <t>Gorras bordado seguridad decurion</t>
  </si>
  <si>
    <t>chamarras de varon mod trailer (chamarra azul pastel) sin el doblez en el pecho sin broches, el bolsillo solo debe tener un vivo con forro polar con bolsillo interior, con cierre en los bolsillos laterales (4S, 31M, 12L, 4XL) prada rojo. Azul, blanco, forro polar azul bordado PI-&gt;sindicato faboce</t>
  </si>
  <si>
    <t>poleras polo mujer m/c (40M, 40L) pique azul marino bordado PI-&gt;omo Serigraf-&gt;48 horas</t>
  </si>
  <si>
    <t>poleras polo mujer m/c (40M, 28L) pique calipso bordado PI-&gt; Surf, serigrafiado-&gt;surf en la espalda</t>
  </si>
  <si>
    <t>poleras polo varon m/c (2M, 2L, 1XL) pique negro logo coro fino 2010 igual OP814</t>
  </si>
  <si>
    <t>Juan Carlos luna</t>
  </si>
  <si>
    <t>El Palacio de las Pinturas</t>
  </si>
  <si>
    <t>chalecos mod Silvia c/forro(20L,10XL) bordado PI-&gt;Sinteplast; espalda-&gt; Sinteplast</t>
  </si>
  <si>
    <t>piso para arbol de navidad unica polar rojo verde sin logos</t>
  </si>
  <si>
    <t>bolsones mod china adicionar el neceser en jean jean azul 100% algodón</t>
  </si>
  <si>
    <t>Maletin negro grande = OP 801</t>
  </si>
  <si>
    <t>Servicio de bordado en cinturones de toalla toalla blanca bordado Chromart BTL/outdoors</t>
  </si>
  <si>
    <t>Silvia Mercado</t>
  </si>
  <si>
    <t>Chalecos cod. Copelme quitar el bolsillo lado der. El bolsillo izq. Debe ser mas angosto(para celular) y 2 o 3 espacios para boligrafos en la espalda debe haber un bolsillo grande con cierre en la parte inferior (13M) kaki2da verde… bordado PD Fundacion valles; espalda-&gt;isologo fundacion valles</t>
  </si>
  <si>
    <t>Chalecos cod. Copelme quitar el bolsillo lado der. El bolsillo izq. Debe ser mas angosto(para celular) y 2 o 3 espacios para boligrafos en la espalda debe haber un bolsillo grande con cierre en la parte inferior (14XXL, 13XXXXL) kaki2da verde… bordado PD Fundacion valles; espalda-&gt;isologo fundacion valles</t>
  </si>
  <si>
    <t>Comprp</t>
  </si>
  <si>
    <t>Compro</t>
  </si>
  <si>
    <t>Pantalones Urrutibehety XXL</t>
  </si>
  <si>
    <t>Juan Pablo Perez</t>
  </si>
  <si>
    <t>pantalon de trabajo c/cinta reflectiva (25cm) en ambas piernas "44" kaki1ra kaki sin logos</t>
  </si>
  <si>
    <t>sombrero de jardinero kaki2daplomo oscuro logo frente bordado grupo A&amp;P</t>
  </si>
  <si>
    <t>bananeros trailer Oxford azulmarino bordado trailer</t>
  </si>
  <si>
    <t>Muestra de chamarra según muestra "L"</t>
  </si>
  <si>
    <t>Guardapolvos varon m/larga mod. Multiagro aumentar 10 cm al largo (3S, 9M, 6L, 5XL) kaki 1ra blanco bordadoPI-&gt;unilever encima del bolsillo nombre</t>
  </si>
  <si>
    <t>Guardapolvos varon m/larga mod. Multiagro aumentar 10 cm al largo (3L) kaki 1ra azul marino bordadoPI-&gt;unilever encima del bolsillo nombre</t>
  </si>
  <si>
    <t>Guardapolvos mujer m/larga mod. Multiagro respetar el largo (2S, 3M, 2L, 1XL) kaki 1ra blanco bordadoPI-&gt;unilever encima del bolsillo nombre</t>
  </si>
  <si>
    <t>Guardapolvos mujer m/larga mod. Sedal aumentar 20 cm al largo (S) kaki 1ra blanco bordadoPI-&gt;unilever encima del bolsillo nombre</t>
  </si>
  <si>
    <t>chaleco arreglo 2XXL</t>
  </si>
  <si>
    <t>Pantalon de mujer intercambio  de uno de varon por uno de mujer "42"</t>
  </si>
  <si>
    <t>pantalones de varon "40", 2"46" kaki1ra azul marino  bordado ravi</t>
  </si>
  <si>
    <t>camisas 1XL, 1M kaki 2da azul marino bordado ravi</t>
  </si>
  <si>
    <t>guardapolvo de varon m/c "L" kaki2da blanco sin logo</t>
  </si>
  <si>
    <t>pantalon de mujer reposicion "34" kaki1ra azul marino</t>
  </si>
  <si>
    <t>chamarras según muestra c/2 bolsillos con cierre todos los cierres deben ser ocultos (24M, 60L, 22XL, 5XXL) polibrillo negro, tela sintetico de puño negro bordado PI-&gt; sedal igual que en las camisas negras</t>
  </si>
  <si>
    <t>PARA EL MES:  ENERO</t>
  </si>
  <si>
    <t>PARA EL MES:  FEBRERO</t>
  </si>
  <si>
    <t>PARA EL MES:  MARZO</t>
  </si>
  <si>
    <t>PARA EL MES:  ABRIL</t>
  </si>
  <si>
    <t>PARA EL MES:  MAYO</t>
  </si>
  <si>
    <t>PARA EL MES: JUNIO</t>
  </si>
  <si>
    <t>PARA EL MES:  JULIO</t>
  </si>
  <si>
    <t>PARA EL MES:  AGOSTO</t>
  </si>
  <si>
    <t>PARA EL MES:  SEPTIEMBRE</t>
  </si>
  <si>
    <t>PARA EL MES: OCTUBRE</t>
  </si>
  <si>
    <t>PARA EL MES:  NOVIEMBRE</t>
  </si>
  <si>
    <t>PARA EL MES: DICIEMBRE</t>
  </si>
  <si>
    <t>Sefuridad Decurrion</t>
  </si>
  <si>
    <t>Pantalon de vestir mod decurion kaki</t>
  </si>
  <si>
    <t>Pantalon de vestir mod decurion kaki kaki Especial</t>
  </si>
</sst>
</file>

<file path=xl/styles.xml><?xml version="1.0" encoding="utf-8"?>
<styleSheet xmlns="http://schemas.openxmlformats.org/spreadsheetml/2006/main">
  <numFmts count="8">
    <numFmt numFmtId="164" formatCode="_(* #,##0.00_);_(* \(#,##0.00\);_(* &quot;-&quot;??_);_(@_)"/>
    <numFmt numFmtId="165" formatCode="000###"/>
    <numFmt numFmtId="166" formatCode="[$-C0A]d\-mmm\-yy;@"/>
    <numFmt numFmtId="167" formatCode="0###"/>
    <numFmt numFmtId="168" formatCode="[$-C0A]dd\-mmm\-yy;@"/>
    <numFmt numFmtId="169" formatCode="0.0"/>
    <numFmt numFmtId="170" formatCode="_(* #,##0.0_);_(* \(#,##0.0\);_(* &quot;-&quot;?_);_(@_)"/>
    <numFmt numFmtId="171" formatCode="_(* #,##0.0_);_(* \(#,##0.0\);_(* &quot;-&quot;??_);_(@_)"/>
  </numFmts>
  <fonts count="40">
    <font>
      <sz val="10"/>
      <name val="Arial"/>
    </font>
    <font>
      <sz val="8"/>
      <name val="Arial"/>
      <family val="2"/>
    </font>
    <font>
      <sz val="18"/>
      <name val="Arial"/>
      <family val="2"/>
    </font>
    <font>
      <sz val="10"/>
      <color indexed="62"/>
      <name val="Arial"/>
      <family val="2"/>
    </font>
    <font>
      <i/>
      <sz val="10"/>
      <color indexed="18"/>
      <name val="Arial"/>
      <family val="2"/>
    </font>
    <font>
      <b/>
      <sz val="6"/>
      <color indexed="18"/>
      <name val="Arial"/>
      <family val="2"/>
    </font>
    <font>
      <b/>
      <sz val="7"/>
      <color indexed="18"/>
      <name val="Arial"/>
      <family val="2"/>
    </font>
    <font>
      <sz val="7"/>
      <color indexed="18"/>
      <name val="Arial"/>
      <family val="2"/>
    </font>
    <font>
      <b/>
      <sz val="10"/>
      <name val="Arial"/>
      <family val="2"/>
    </font>
    <font>
      <b/>
      <i/>
      <sz val="10"/>
      <name val="Arial"/>
      <family val="2"/>
    </font>
    <font>
      <sz val="9"/>
      <name val="Arial"/>
      <family val="2"/>
    </font>
    <font>
      <sz val="10"/>
      <color indexed="18"/>
      <name val="Lucida Calligraphy"/>
      <family val="4"/>
    </font>
    <font>
      <sz val="10"/>
      <color rgb="FF000099"/>
      <name val="Lucida Calligraphy"/>
      <family val="4"/>
    </font>
    <font>
      <sz val="20"/>
      <color indexed="62"/>
      <name val="Lucida Calligraphy"/>
      <family val="4"/>
    </font>
    <font>
      <sz val="8"/>
      <color indexed="8"/>
      <name val="Arial"/>
      <family val="2"/>
    </font>
    <font>
      <b/>
      <sz val="10"/>
      <color indexed="18"/>
      <name val="Lucida Calligraphy"/>
      <family val="4"/>
    </font>
    <font>
      <sz val="8"/>
      <color theme="1"/>
      <name val="Arial"/>
      <family val="2"/>
    </font>
    <font>
      <sz val="7"/>
      <name val="Arial"/>
      <family val="2"/>
    </font>
    <font>
      <sz val="10"/>
      <color theme="1"/>
      <name val="Lucida Calligraphy"/>
      <family val="4"/>
    </font>
    <font>
      <b/>
      <sz val="8"/>
      <color theme="1"/>
      <name val="Arial"/>
      <family val="2"/>
    </font>
    <font>
      <sz val="7"/>
      <color theme="1"/>
      <name val="Arial"/>
      <family val="2"/>
    </font>
    <font>
      <b/>
      <i/>
      <sz val="11"/>
      <name val="Arial"/>
      <family val="2"/>
    </font>
    <font>
      <b/>
      <i/>
      <sz val="12"/>
      <name val="Arial"/>
      <family val="2"/>
    </font>
    <font>
      <b/>
      <sz val="12"/>
      <name val="Arial"/>
      <family val="2"/>
    </font>
    <font>
      <b/>
      <sz val="10"/>
      <color theme="1"/>
      <name val="Lucida Calligraphy"/>
      <family val="4"/>
    </font>
    <font>
      <b/>
      <i/>
      <sz val="9"/>
      <name val="Arial"/>
      <family val="2"/>
    </font>
    <font>
      <b/>
      <sz val="11"/>
      <color theme="1"/>
      <name val="Arial"/>
      <family val="2"/>
    </font>
    <font>
      <b/>
      <i/>
      <sz val="8"/>
      <name val="Arial"/>
      <family val="2"/>
    </font>
    <font>
      <sz val="9"/>
      <color theme="1"/>
      <name val="Arial"/>
      <family val="2"/>
    </font>
    <font>
      <sz val="10"/>
      <name val="Arial Narrow"/>
      <family val="2"/>
    </font>
    <font>
      <sz val="10"/>
      <color theme="1"/>
      <name val="Arial Narrow"/>
      <family val="2"/>
    </font>
    <font>
      <sz val="9"/>
      <name val="Arial Narrow"/>
      <family val="2"/>
    </font>
    <font>
      <b/>
      <sz val="14"/>
      <color indexed="16"/>
      <name val="Hobo Std"/>
      <family val="3"/>
    </font>
    <font>
      <sz val="20"/>
      <color rgb="FF002060"/>
      <name val="Hobo Std"/>
      <family val="3"/>
    </font>
    <font>
      <b/>
      <sz val="9"/>
      <color theme="1"/>
      <name val="Arial"/>
      <family val="2"/>
    </font>
    <font>
      <b/>
      <sz val="8"/>
      <name val="Arial"/>
      <family val="2"/>
    </font>
    <font>
      <sz val="8"/>
      <name val="Arial Narrow"/>
      <family val="2"/>
    </font>
    <font>
      <sz val="9"/>
      <color theme="1"/>
      <name val="Arial Narrow"/>
      <family val="2"/>
    </font>
    <font>
      <b/>
      <sz val="10"/>
      <color theme="1"/>
      <name val="Arial"/>
      <family val="2"/>
    </font>
    <font>
      <sz val="10"/>
      <color rgb="FFFF0000"/>
      <name val="Arial"/>
      <family val="2"/>
    </font>
  </fonts>
  <fills count="14">
    <fill>
      <patternFill patternType="none"/>
    </fill>
    <fill>
      <patternFill patternType="gray125"/>
    </fill>
    <fill>
      <patternFill patternType="solid">
        <fgColor theme="6" tint="0.59999389629810485"/>
        <bgColor indexed="64"/>
      </patternFill>
    </fill>
    <fill>
      <patternFill patternType="solid">
        <fgColor rgb="FFFFFF99"/>
        <bgColor indexed="64"/>
      </patternFill>
    </fill>
    <fill>
      <patternFill patternType="solid">
        <fgColor theme="6" tint="0.39997558519241921"/>
        <bgColor indexed="64"/>
      </patternFill>
    </fill>
    <fill>
      <patternFill patternType="solid">
        <fgColor theme="5" tint="0.39997558519241921"/>
        <bgColor indexed="64"/>
      </patternFill>
    </fill>
    <fill>
      <patternFill patternType="solid">
        <fgColor theme="2" tint="-0.249977111117893"/>
        <bgColor indexed="64"/>
      </patternFill>
    </fill>
    <fill>
      <patternFill patternType="solid">
        <fgColor theme="7" tint="0.39997558519241921"/>
        <bgColor indexed="64"/>
      </patternFill>
    </fill>
    <fill>
      <patternFill patternType="solid">
        <fgColor theme="9" tint="0.59999389629810485"/>
        <bgColor indexed="64"/>
      </patternFill>
    </fill>
    <fill>
      <patternFill patternType="solid">
        <fgColor rgb="FFF0A2E1"/>
        <bgColor indexed="64"/>
      </patternFill>
    </fill>
    <fill>
      <patternFill patternType="solid">
        <fgColor theme="9" tint="0.39997558519241921"/>
        <bgColor indexed="64"/>
      </patternFill>
    </fill>
    <fill>
      <patternFill patternType="solid">
        <fgColor theme="6" tint="0.79998168889431442"/>
        <bgColor indexed="64"/>
      </patternFill>
    </fill>
    <fill>
      <patternFill patternType="solid">
        <fgColor rgb="FF89FFFF"/>
        <bgColor indexed="64"/>
      </patternFill>
    </fill>
    <fill>
      <patternFill patternType="solid">
        <fgColor rgb="FFFFFF00"/>
        <bgColor indexed="64"/>
      </patternFill>
    </fill>
  </fills>
  <borders count="23">
    <border>
      <left/>
      <right/>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bottom style="thin">
        <color indexed="64"/>
      </bottom>
      <diagonal/>
    </border>
    <border>
      <left style="medium">
        <color indexed="64"/>
      </left>
      <right/>
      <top style="medium">
        <color indexed="64"/>
      </top>
      <bottom style="medium">
        <color indexed="64"/>
      </bottom>
      <diagonal/>
    </border>
    <border>
      <left style="thin">
        <color indexed="64"/>
      </left>
      <right style="thin">
        <color indexed="64"/>
      </right>
      <top style="medium">
        <color indexed="64"/>
      </top>
      <bottom/>
      <diagonal/>
    </border>
    <border>
      <left/>
      <right style="medium">
        <color indexed="64"/>
      </right>
      <top style="medium">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
      <left/>
      <right style="medium">
        <color indexed="64"/>
      </right>
      <top style="medium">
        <color indexed="64"/>
      </top>
      <bottom/>
      <diagonal/>
    </border>
  </borders>
  <cellStyleXfs count="2">
    <xf numFmtId="0" fontId="0" fillId="0" borderId="0"/>
    <xf numFmtId="0" fontId="18" fillId="0" borderId="0"/>
  </cellStyleXfs>
  <cellXfs count="372">
    <xf numFmtId="0" fontId="0" fillId="0" borderId="0" xfId="0"/>
    <xf numFmtId="0" fontId="2" fillId="0" borderId="0" xfId="0" applyFont="1"/>
    <xf numFmtId="0" fontId="3" fillId="0" borderId="0" xfId="0" applyFont="1"/>
    <xf numFmtId="0" fontId="4" fillId="0" borderId="0" xfId="0" applyFont="1"/>
    <xf numFmtId="0" fontId="0" fillId="0" borderId="0" xfId="0" applyFill="1"/>
    <xf numFmtId="0" fontId="0" fillId="0" borderId="0" xfId="0" applyAlignment="1">
      <alignment horizontal="left"/>
    </xf>
    <xf numFmtId="0" fontId="2" fillId="0" borderId="0" xfId="0" applyFont="1" applyAlignment="1">
      <alignment vertical="justify"/>
    </xf>
    <xf numFmtId="0" fontId="1" fillId="0" borderId="0" xfId="0" applyFont="1"/>
    <xf numFmtId="0" fontId="5" fillId="0" borderId="3" xfId="0" applyFont="1" applyBorder="1" applyAlignment="1">
      <alignment horizontal="justify" vertical="center"/>
    </xf>
    <xf numFmtId="0" fontId="6" fillId="0" borderId="3" xfId="0" applyFont="1" applyBorder="1" applyAlignment="1">
      <alignment horizontal="justify" vertical="center"/>
    </xf>
    <xf numFmtId="0" fontId="6" fillId="0" borderId="10" xfId="0" applyFont="1" applyBorder="1" applyAlignment="1">
      <alignment horizontal="justify" vertical="center"/>
    </xf>
    <xf numFmtId="0" fontId="6" fillId="0" borderId="3" xfId="0" applyFont="1" applyBorder="1" applyAlignment="1">
      <alignment horizontal="left" vertical="center"/>
    </xf>
    <xf numFmtId="0" fontId="6" fillId="0" borderId="12" xfId="0" applyFont="1" applyBorder="1" applyAlignment="1">
      <alignment horizontal="justify" vertical="center"/>
    </xf>
    <xf numFmtId="0" fontId="7" fillId="0" borderId="0" xfId="0" applyFont="1"/>
    <xf numFmtId="0" fontId="1" fillId="0" borderId="6" xfId="0" applyFont="1" applyBorder="1"/>
    <xf numFmtId="0" fontId="1" fillId="0" borderId="6" xfId="0" applyFont="1" applyFill="1" applyBorder="1"/>
    <xf numFmtId="0" fontId="6" fillId="0" borderId="3" xfId="0" applyFont="1" applyFill="1" applyBorder="1" applyAlignment="1">
      <alignment horizontal="justify" vertical="center"/>
    </xf>
    <xf numFmtId="0" fontId="1" fillId="0" borderId="13" xfId="0" applyFont="1" applyFill="1" applyBorder="1"/>
    <xf numFmtId="0" fontId="8" fillId="0" borderId="0" xfId="0" applyFont="1"/>
    <xf numFmtId="0" fontId="11" fillId="0" borderId="0" xfId="0" applyFont="1"/>
    <xf numFmtId="0" fontId="1" fillId="0" borderId="2" xfId="0" applyFont="1" applyFill="1" applyBorder="1" applyAlignment="1">
      <alignment horizontal="left" vertical="center"/>
    </xf>
    <xf numFmtId="0" fontId="14" fillId="0" borderId="2" xfId="0" applyFont="1" applyFill="1" applyBorder="1" applyAlignment="1">
      <alignment horizontal="justify" vertical="center"/>
    </xf>
    <xf numFmtId="0" fontId="14" fillId="0" borderId="2" xfId="0" applyFont="1" applyFill="1" applyBorder="1"/>
    <xf numFmtId="0" fontId="14" fillId="0" borderId="4" xfId="0" applyFont="1" applyFill="1" applyBorder="1" applyAlignment="1">
      <alignment vertical="center"/>
    </xf>
    <xf numFmtId="0" fontId="14" fillId="0" borderId="2" xfId="0" applyFont="1" applyFill="1" applyBorder="1" applyAlignment="1">
      <alignment horizontal="left" vertical="center"/>
    </xf>
    <xf numFmtId="0" fontId="14" fillId="0" borderId="2" xfId="0" applyFont="1" applyFill="1" applyBorder="1" applyAlignment="1">
      <alignment horizontal="right" vertical="center"/>
    </xf>
    <xf numFmtId="0" fontId="1" fillId="0" borderId="2" xfId="0" applyFont="1" applyFill="1" applyBorder="1" applyAlignment="1">
      <alignment horizontal="right" vertical="center"/>
    </xf>
    <xf numFmtId="0" fontId="14" fillId="0" borderId="2" xfId="0" applyFont="1" applyFill="1" applyBorder="1" applyAlignment="1">
      <alignment vertical="center"/>
    </xf>
    <xf numFmtId="0" fontId="1" fillId="0" borderId="2" xfId="0" applyFont="1" applyFill="1" applyBorder="1" applyAlignment="1">
      <alignment vertical="center"/>
    </xf>
    <xf numFmtId="0" fontId="14" fillId="2" borderId="2" xfId="0" applyFont="1" applyFill="1" applyBorder="1" applyAlignment="1">
      <alignment vertical="center"/>
    </xf>
    <xf numFmtId="0" fontId="1" fillId="0" borderId="5" xfId="0" applyFont="1" applyFill="1" applyBorder="1" applyAlignment="1">
      <alignment horizontal="justify" vertical="center"/>
    </xf>
    <xf numFmtId="0" fontId="6" fillId="3" borderId="3" xfId="0" applyFont="1" applyFill="1" applyBorder="1" applyAlignment="1">
      <alignment horizontal="justify" vertical="center"/>
    </xf>
    <xf numFmtId="0" fontId="9" fillId="0" borderId="3" xfId="0" applyFont="1" applyBorder="1" applyAlignment="1">
      <alignment horizontal="center" vertical="center"/>
    </xf>
    <xf numFmtId="0" fontId="5" fillId="0" borderId="3" xfId="0" applyFont="1" applyBorder="1" applyAlignment="1">
      <alignment horizontal="left" vertical="center"/>
    </xf>
    <xf numFmtId="0" fontId="1" fillId="2" borderId="2" xfId="0" applyFont="1" applyFill="1" applyBorder="1" applyAlignment="1">
      <alignment vertical="center"/>
    </xf>
    <xf numFmtId="0" fontId="11" fillId="0" borderId="0" xfId="0" applyFont="1" applyAlignment="1">
      <alignment vertical="top"/>
    </xf>
    <xf numFmtId="0" fontId="11" fillId="0" borderId="0" xfId="0" applyFont="1" applyAlignment="1">
      <alignment horizontal="left"/>
    </xf>
    <xf numFmtId="2" fontId="1" fillId="0" borderId="2" xfId="0" applyNumberFormat="1" applyFont="1" applyFill="1" applyBorder="1" applyAlignment="1">
      <alignment horizontal="right" vertical="center"/>
    </xf>
    <xf numFmtId="0" fontId="16" fillId="0" borderId="2" xfId="0" applyFont="1" applyFill="1" applyBorder="1" applyAlignment="1">
      <alignment vertical="center"/>
    </xf>
    <xf numFmtId="0" fontId="16" fillId="0" borderId="2" xfId="0" applyFont="1" applyFill="1" applyBorder="1" applyAlignment="1">
      <alignment horizontal="right" vertical="center"/>
    </xf>
    <xf numFmtId="0" fontId="1" fillId="0" borderId="5" xfId="0" applyFont="1" applyFill="1" applyBorder="1" applyAlignment="1">
      <alignment horizontal="right" vertical="center"/>
    </xf>
    <xf numFmtId="0" fontId="1" fillId="0" borderId="1" xfId="0" applyFont="1" applyFill="1" applyBorder="1" applyAlignment="1">
      <alignment horizontal="right" vertical="center"/>
    </xf>
    <xf numFmtId="0" fontId="1" fillId="0" borderId="5" xfId="0" applyFont="1" applyFill="1" applyBorder="1" applyAlignment="1">
      <alignment vertical="center"/>
    </xf>
    <xf numFmtId="0" fontId="1" fillId="0" borderId="5" xfId="0" applyFont="1" applyFill="1" applyBorder="1" applyAlignment="1">
      <alignment horizontal="left" vertical="center"/>
    </xf>
    <xf numFmtId="0" fontId="1" fillId="4" borderId="2" xfId="0" applyFont="1" applyFill="1" applyBorder="1" applyAlignment="1">
      <alignment horizontal="right" vertical="center"/>
    </xf>
    <xf numFmtId="0" fontId="1" fillId="4" borderId="2" xfId="0" applyFont="1" applyFill="1" applyBorder="1" applyAlignment="1">
      <alignment vertical="center"/>
    </xf>
    <xf numFmtId="165" fontId="1" fillId="0" borderId="2" xfId="0" applyNumberFormat="1" applyFont="1" applyFill="1" applyBorder="1" applyAlignment="1">
      <alignment horizontal="right" vertical="center"/>
    </xf>
    <xf numFmtId="165" fontId="1" fillId="0" borderId="5" xfId="0" applyNumberFormat="1" applyFont="1" applyFill="1" applyBorder="1" applyAlignment="1">
      <alignment horizontal="right" vertical="center"/>
    </xf>
    <xf numFmtId="165" fontId="1" fillId="0" borderId="2" xfId="0" applyNumberFormat="1" applyFont="1" applyFill="1" applyBorder="1" applyAlignment="1">
      <alignment vertical="center"/>
    </xf>
    <xf numFmtId="165" fontId="1" fillId="0" borderId="2" xfId="0" applyNumberFormat="1" applyFont="1" applyFill="1" applyBorder="1" applyAlignment="1">
      <alignment horizontal="left" vertical="center"/>
    </xf>
    <xf numFmtId="165" fontId="14" fillId="0" borderId="2" xfId="0" applyNumberFormat="1" applyFont="1" applyFill="1" applyBorder="1" applyAlignment="1">
      <alignment vertical="center"/>
    </xf>
    <xf numFmtId="165" fontId="14" fillId="0" borderId="2" xfId="0" applyNumberFormat="1" applyFont="1" applyFill="1" applyBorder="1" applyAlignment="1">
      <alignment horizontal="right" vertical="center"/>
    </xf>
    <xf numFmtId="165" fontId="14" fillId="0" borderId="2" xfId="0" applyNumberFormat="1" applyFont="1" applyFill="1" applyBorder="1" applyAlignment="1">
      <alignment horizontal="left" vertical="center"/>
    </xf>
    <xf numFmtId="164" fontId="1" fillId="0" borderId="2" xfId="0" applyNumberFormat="1" applyFont="1" applyFill="1" applyBorder="1" applyAlignment="1">
      <alignment horizontal="right" vertical="center"/>
    </xf>
    <xf numFmtId="164" fontId="1" fillId="0" borderId="2" xfId="0" applyNumberFormat="1" applyFont="1" applyFill="1" applyBorder="1"/>
    <xf numFmtId="164" fontId="1" fillId="0" borderId="5" xfId="0" applyNumberFormat="1" applyFont="1" applyFill="1" applyBorder="1" applyAlignment="1">
      <alignment horizontal="right" vertical="center"/>
    </xf>
    <xf numFmtId="164" fontId="14" fillId="0" borderId="2" xfId="0" applyNumberFormat="1" applyFont="1" applyFill="1" applyBorder="1"/>
    <xf numFmtId="164" fontId="1" fillId="0" borderId="2" xfId="0" applyNumberFormat="1" applyFont="1" applyFill="1" applyBorder="1" applyAlignment="1">
      <alignment vertical="center"/>
    </xf>
    <xf numFmtId="164" fontId="14" fillId="0" borderId="2" xfId="0" applyNumberFormat="1" applyFont="1" applyFill="1" applyBorder="1" applyAlignment="1">
      <alignment horizontal="right" vertical="center"/>
    </xf>
    <xf numFmtId="164" fontId="1" fillId="0" borderId="1" xfId="0" applyNumberFormat="1" applyFont="1" applyFill="1" applyBorder="1" applyAlignment="1">
      <alignment horizontal="right" vertical="center"/>
    </xf>
    <xf numFmtId="0" fontId="13" fillId="0" borderId="0" xfId="0" applyFont="1" applyAlignment="1">
      <alignment horizontal="center"/>
    </xf>
    <xf numFmtId="0" fontId="6" fillId="5" borderId="3" xfId="0" applyFont="1" applyFill="1" applyBorder="1" applyAlignment="1">
      <alignment horizontal="justify" vertical="center"/>
    </xf>
    <xf numFmtId="0" fontId="6" fillId="6" borderId="3" xfId="0" applyFont="1" applyFill="1" applyBorder="1" applyAlignment="1">
      <alignment horizontal="justify" vertical="center"/>
    </xf>
    <xf numFmtId="0" fontId="6" fillId="7" borderId="3" xfId="0" applyFont="1" applyFill="1" applyBorder="1" applyAlignment="1">
      <alignment horizontal="justify" vertical="center"/>
    </xf>
    <xf numFmtId="0" fontId="6" fillId="8" borderId="3" xfId="0" applyFont="1" applyFill="1" applyBorder="1" applyAlignment="1">
      <alignment horizontal="justify" vertical="center"/>
    </xf>
    <xf numFmtId="0" fontId="19" fillId="9" borderId="3" xfId="1" applyFont="1" applyFill="1" applyBorder="1" applyAlignment="1">
      <alignment horizontal="center" vertical="center"/>
    </xf>
    <xf numFmtId="0" fontId="12" fillId="0" borderId="0" xfId="0" applyFont="1" applyAlignment="1">
      <alignment horizontal="left" vertical="center"/>
    </xf>
    <xf numFmtId="166" fontId="1" fillId="0" borderId="8" xfId="0" applyNumberFormat="1" applyFont="1" applyFill="1" applyBorder="1" applyAlignment="1">
      <alignment horizontal="left" vertical="center"/>
    </xf>
    <xf numFmtId="0" fontId="17" fillId="0" borderId="0" xfId="0" applyFont="1"/>
    <xf numFmtId="0" fontId="17" fillId="0" borderId="0" xfId="0" applyFont="1" applyAlignment="1">
      <alignment vertical="justify"/>
    </xf>
    <xf numFmtId="0" fontId="17" fillId="0" borderId="2" xfId="0" applyFont="1" applyFill="1" applyBorder="1" applyAlignment="1">
      <alignment vertical="center"/>
    </xf>
    <xf numFmtId="0" fontId="20" fillId="0" borderId="2" xfId="0" applyFont="1" applyFill="1" applyBorder="1" applyAlignment="1">
      <alignment vertical="center"/>
    </xf>
    <xf numFmtId="2" fontId="9" fillId="0" borderId="10" xfId="0" applyNumberFormat="1" applyFont="1" applyBorder="1" applyAlignment="1">
      <alignment vertical="center"/>
    </xf>
    <xf numFmtId="2" fontId="9" fillId="7" borderId="3" xfId="0" applyNumberFormat="1" applyFont="1" applyFill="1" applyBorder="1" applyAlignment="1">
      <alignment horizontal="center" vertical="center"/>
    </xf>
    <xf numFmtId="2" fontId="9" fillId="8" borderId="3" xfId="0" applyNumberFormat="1" applyFont="1" applyFill="1" applyBorder="1" applyAlignment="1">
      <alignment horizontal="center" vertical="center"/>
    </xf>
    <xf numFmtId="2" fontId="18" fillId="9" borderId="3" xfId="1" applyNumberFormat="1" applyFill="1" applyBorder="1" applyAlignment="1">
      <alignment vertical="center"/>
    </xf>
    <xf numFmtId="0" fontId="23" fillId="0" borderId="3" xfId="0" applyFont="1" applyBorder="1" applyAlignment="1">
      <alignment horizontal="center" vertical="center"/>
    </xf>
    <xf numFmtId="2" fontId="24" fillId="9" borderId="3" xfId="1" applyNumberFormat="1" applyFont="1" applyFill="1" applyBorder="1" applyAlignment="1">
      <alignment vertical="center"/>
    </xf>
    <xf numFmtId="2" fontId="9" fillId="0" borderId="3" xfId="0" applyNumberFormat="1" applyFont="1" applyFill="1" applyBorder="1" applyAlignment="1">
      <alignment horizontal="center" vertical="center"/>
    </xf>
    <xf numFmtId="2" fontId="9" fillId="5" borderId="3" xfId="0" applyNumberFormat="1" applyFont="1" applyFill="1" applyBorder="1" applyAlignment="1">
      <alignment horizontal="center" vertical="center"/>
    </xf>
    <xf numFmtId="2" fontId="9" fillId="6" borderId="3" xfId="0" applyNumberFormat="1" applyFont="1" applyFill="1" applyBorder="1" applyAlignment="1">
      <alignment horizontal="center" vertical="center"/>
    </xf>
    <xf numFmtId="2" fontId="9" fillId="0" borderId="3" xfId="0" applyNumberFormat="1" applyFont="1" applyBorder="1" applyAlignment="1">
      <alignment horizontal="center" vertical="center"/>
    </xf>
    <xf numFmtId="2" fontId="9" fillId="3" borderId="3" xfId="0" applyNumberFormat="1" applyFont="1" applyFill="1" applyBorder="1" applyAlignment="1">
      <alignment horizontal="center" vertical="center"/>
    </xf>
    <xf numFmtId="2" fontId="25" fillId="3" borderId="3" xfId="0" applyNumberFormat="1" applyFont="1" applyFill="1" applyBorder="1" applyAlignment="1">
      <alignment horizontal="center" vertical="center"/>
    </xf>
    <xf numFmtId="2" fontId="25" fillId="5" borderId="3" xfId="0" applyNumberFormat="1" applyFont="1" applyFill="1" applyBorder="1" applyAlignment="1">
      <alignment horizontal="center" vertical="center"/>
    </xf>
    <xf numFmtId="2" fontId="25" fillId="0" borderId="3" xfId="0" applyNumberFormat="1" applyFont="1" applyBorder="1" applyAlignment="1">
      <alignment horizontal="center" vertical="center"/>
    </xf>
    <xf numFmtId="167" fontId="1" fillId="0" borderId="2" xfId="0" applyNumberFormat="1" applyFont="1" applyFill="1" applyBorder="1" applyAlignment="1">
      <alignment vertical="center"/>
    </xf>
    <xf numFmtId="167" fontId="1" fillId="0" borderId="2" xfId="0" applyNumberFormat="1" applyFont="1" applyFill="1" applyBorder="1" applyAlignment="1">
      <alignment horizontal="right" vertical="center"/>
    </xf>
    <xf numFmtId="2" fontId="21" fillId="8" borderId="3" xfId="0" applyNumberFormat="1" applyFont="1" applyFill="1" applyBorder="1" applyAlignment="1">
      <alignment horizontal="center" vertical="center"/>
    </xf>
    <xf numFmtId="2" fontId="26" fillId="9" borderId="3" xfId="1" applyNumberFormat="1" applyFont="1" applyFill="1" applyBorder="1" applyAlignment="1">
      <alignment vertical="center"/>
    </xf>
    <xf numFmtId="166" fontId="1" fillId="0" borderId="7" xfId="0" applyNumberFormat="1" applyFont="1" applyFill="1" applyBorder="1" applyAlignment="1">
      <alignment horizontal="left" vertical="center"/>
    </xf>
    <xf numFmtId="167" fontId="1" fillId="0" borderId="1" xfId="0" applyNumberFormat="1" applyFont="1" applyFill="1" applyBorder="1" applyAlignment="1">
      <alignment vertical="center"/>
    </xf>
    <xf numFmtId="0" fontId="1" fillId="0" borderId="1" xfId="0" applyFont="1" applyFill="1" applyBorder="1" applyAlignment="1">
      <alignment horizontal="left" vertical="center"/>
    </xf>
    <xf numFmtId="0" fontId="17" fillId="0" borderId="1" xfId="0" applyFont="1" applyFill="1" applyBorder="1" applyAlignment="1">
      <alignment vertical="center"/>
    </xf>
    <xf numFmtId="2" fontId="1" fillId="0" borderId="1" xfId="0" applyNumberFormat="1" applyFont="1" applyFill="1" applyBorder="1" applyAlignment="1">
      <alignment horizontal="right" vertical="center"/>
    </xf>
    <xf numFmtId="166" fontId="1" fillId="0" borderId="8" xfId="0" applyNumberFormat="1" applyFont="1" applyFill="1" applyBorder="1" applyAlignment="1">
      <alignment horizontal="center" vertical="center"/>
    </xf>
    <xf numFmtId="0" fontId="1" fillId="4" borderId="2" xfId="0" applyFont="1" applyFill="1" applyBorder="1" applyAlignment="1">
      <alignment horizontal="left" vertical="center"/>
    </xf>
    <xf numFmtId="167" fontId="1" fillId="4" borderId="2" xfId="0" applyNumberFormat="1" applyFont="1" applyFill="1" applyBorder="1" applyAlignment="1">
      <alignment vertical="center"/>
    </xf>
    <xf numFmtId="2" fontId="27" fillId="3" borderId="3" xfId="0" applyNumberFormat="1" applyFont="1" applyFill="1" applyBorder="1" applyAlignment="1">
      <alignment horizontal="center" vertical="center"/>
    </xf>
    <xf numFmtId="2" fontId="27" fillId="5" borderId="3" xfId="0" applyNumberFormat="1" applyFont="1" applyFill="1" applyBorder="1" applyAlignment="1">
      <alignment horizontal="center" vertical="center"/>
    </xf>
    <xf numFmtId="2" fontId="27" fillId="6" borderId="3" xfId="0" applyNumberFormat="1" applyFont="1" applyFill="1" applyBorder="1" applyAlignment="1">
      <alignment horizontal="center" vertical="center"/>
    </xf>
    <xf numFmtId="2" fontId="27" fillId="0" borderId="3" xfId="0" applyNumberFormat="1" applyFont="1" applyBorder="1" applyAlignment="1">
      <alignment horizontal="center" vertical="center"/>
    </xf>
    <xf numFmtId="166" fontId="1" fillId="0" borderId="7" xfId="0" applyNumberFormat="1" applyFont="1" applyFill="1" applyBorder="1" applyAlignment="1">
      <alignment horizontal="center" vertical="center"/>
    </xf>
    <xf numFmtId="0" fontId="1" fillId="0" borderId="1" xfId="0" applyFont="1" applyFill="1" applyBorder="1" applyAlignment="1">
      <alignment vertical="center"/>
    </xf>
    <xf numFmtId="166" fontId="1" fillId="4" borderId="8" xfId="0" applyNumberFormat="1" applyFont="1" applyFill="1" applyBorder="1" applyAlignment="1">
      <alignment horizontal="center" vertical="center"/>
    </xf>
    <xf numFmtId="166" fontId="1" fillId="0" borderId="16" xfId="0" applyNumberFormat="1" applyFont="1" applyFill="1" applyBorder="1" applyAlignment="1">
      <alignment horizontal="center" vertical="center"/>
    </xf>
    <xf numFmtId="167" fontId="1" fillId="0" borderId="15" xfId="0" applyNumberFormat="1" applyFont="1" applyFill="1" applyBorder="1" applyAlignment="1">
      <alignment vertical="center"/>
    </xf>
    <xf numFmtId="0" fontId="1" fillId="0" borderId="15" xfId="0" applyFont="1" applyFill="1" applyBorder="1" applyAlignment="1">
      <alignment horizontal="left" vertical="center"/>
    </xf>
    <xf numFmtId="0" fontId="1" fillId="0" borderId="15" xfId="0" applyFont="1" applyFill="1" applyBorder="1" applyAlignment="1">
      <alignment vertical="center"/>
    </xf>
    <xf numFmtId="0" fontId="1" fillId="0" borderId="14" xfId="0" applyFont="1" applyBorder="1"/>
    <xf numFmtId="0" fontId="16" fillId="0" borderId="2" xfId="0" applyFont="1" applyFill="1" applyBorder="1" applyAlignment="1">
      <alignment horizontal="left" vertical="center"/>
    </xf>
    <xf numFmtId="168" fontId="1" fillId="0" borderId="7" xfId="0" applyNumberFormat="1" applyFont="1" applyFill="1" applyBorder="1" applyAlignment="1">
      <alignment horizontal="justify" vertical="center"/>
    </xf>
    <xf numFmtId="168" fontId="1" fillId="0" borderId="8" xfId="0" applyNumberFormat="1" applyFont="1" applyFill="1" applyBorder="1" applyAlignment="1">
      <alignment horizontal="justify" vertical="center"/>
    </xf>
    <xf numFmtId="168" fontId="0" fillId="0" borderId="8" xfId="0" applyNumberFormat="1" applyFill="1" applyBorder="1" applyAlignment="1">
      <alignment horizontal="justify" vertical="center"/>
    </xf>
    <xf numFmtId="168" fontId="1" fillId="0" borderId="16" xfId="0" applyNumberFormat="1" applyFont="1" applyFill="1" applyBorder="1" applyAlignment="1">
      <alignment horizontal="justify" vertical="center"/>
    </xf>
    <xf numFmtId="165" fontId="1" fillId="0" borderId="1" xfId="0" applyNumberFormat="1" applyFont="1" applyFill="1" applyBorder="1" applyAlignment="1">
      <alignment vertical="center"/>
    </xf>
    <xf numFmtId="165" fontId="0" fillId="0" borderId="2" xfId="0" applyNumberFormat="1" applyFill="1" applyBorder="1" applyAlignment="1">
      <alignment vertical="center"/>
    </xf>
    <xf numFmtId="165" fontId="1" fillId="0" borderId="15" xfId="0" applyNumberFormat="1" applyFont="1" applyFill="1" applyBorder="1" applyAlignment="1">
      <alignment vertical="center"/>
    </xf>
    <xf numFmtId="2" fontId="1" fillId="0" borderId="1" xfId="0" applyNumberFormat="1" applyFont="1" applyFill="1" applyBorder="1" applyAlignment="1">
      <alignment vertical="center"/>
    </xf>
    <xf numFmtId="2" fontId="1" fillId="0" borderId="2" xfId="0" applyNumberFormat="1" applyFont="1" applyFill="1" applyBorder="1" applyAlignment="1">
      <alignment vertical="center"/>
    </xf>
    <xf numFmtId="2" fontId="1" fillId="0" borderId="15" xfId="0" applyNumberFormat="1" applyFont="1" applyFill="1" applyBorder="1" applyAlignment="1">
      <alignment vertical="center"/>
    </xf>
    <xf numFmtId="169" fontId="1" fillId="0" borderId="1" xfId="0" applyNumberFormat="1" applyFont="1" applyFill="1" applyBorder="1" applyAlignment="1">
      <alignment vertical="center"/>
    </xf>
    <xf numFmtId="169" fontId="1" fillId="0" borderId="2" xfId="0" applyNumberFormat="1" applyFont="1" applyFill="1" applyBorder="1" applyAlignment="1">
      <alignment vertical="center"/>
    </xf>
    <xf numFmtId="168" fontId="1" fillId="2" borderId="8" xfId="0" applyNumberFormat="1" applyFont="1" applyFill="1" applyBorder="1" applyAlignment="1">
      <alignment horizontal="justify" vertical="center"/>
    </xf>
    <xf numFmtId="165" fontId="1" fillId="2" borderId="2" xfId="0" applyNumberFormat="1" applyFont="1" applyFill="1" applyBorder="1" applyAlignment="1">
      <alignment vertical="center"/>
    </xf>
    <xf numFmtId="0" fontId="1" fillId="2" borderId="2" xfId="0" applyFont="1" applyFill="1" applyBorder="1" applyAlignment="1">
      <alignment horizontal="left" vertical="center"/>
    </xf>
    <xf numFmtId="0" fontId="9" fillId="0" borderId="17" xfId="0" applyFont="1" applyBorder="1" applyAlignment="1">
      <alignment horizontal="center" vertical="center"/>
    </xf>
    <xf numFmtId="0" fontId="23" fillId="0" borderId="17" xfId="0" applyFont="1" applyBorder="1" applyAlignment="1">
      <alignment horizontal="center" vertical="center"/>
    </xf>
    <xf numFmtId="2" fontId="9" fillId="0" borderId="18" xfId="0" applyNumberFormat="1" applyFont="1" applyBorder="1" applyAlignment="1">
      <alignment vertical="center"/>
    </xf>
    <xf numFmtId="2" fontId="9" fillId="0" borderId="17" xfId="0" applyNumberFormat="1" applyFont="1" applyFill="1" applyBorder="1" applyAlignment="1">
      <alignment horizontal="center" vertical="center"/>
    </xf>
    <xf numFmtId="2" fontId="9" fillId="5" borderId="17" xfId="0" applyNumberFormat="1" applyFont="1" applyFill="1" applyBorder="1" applyAlignment="1">
      <alignment horizontal="center" vertical="center"/>
    </xf>
    <xf numFmtId="2" fontId="9" fillId="6" borderId="17" xfId="0" applyNumberFormat="1" applyFont="1" applyFill="1" applyBorder="1" applyAlignment="1">
      <alignment horizontal="center" vertical="center"/>
    </xf>
    <xf numFmtId="2" fontId="25" fillId="0" borderId="17" xfId="0" applyNumberFormat="1" applyFont="1" applyBorder="1" applyAlignment="1">
      <alignment horizontal="center" vertical="center"/>
    </xf>
    <xf numFmtId="2" fontId="9" fillId="7" borderId="17" xfId="0" applyNumberFormat="1" applyFont="1" applyFill="1" applyBorder="1" applyAlignment="1">
      <alignment horizontal="center" vertical="center"/>
    </xf>
    <xf numFmtId="2" fontId="9" fillId="8" borderId="17" xfId="0" applyNumberFormat="1" applyFont="1" applyFill="1" applyBorder="1" applyAlignment="1">
      <alignment horizontal="center" vertical="center"/>
    </xf>
    <xf numFmtId="2" fontId="18" fillId="9" borderId="17" xfId="1" applyNumberFormat="1" applyFill="1" applyBorder="1" applyAlignment="1">
      <alignment vertical="center"/>
    </xf>
    <xf numFmtId="2" fontId="27" fillId="3" borderId="17" xfId="0" applyNumberFormat="1" applyFont="1" applyFill="1" applyBorder="1" applyAlignment="1">
      <alignment horizontal="center" vertical="center"/>
    </xf>
    <xf numFmtId="2" fontId="27" fillId="5" borderId="17" xfId="0" applyNumberFormat="1" applyFont="1" applyFill="1" applyBorder="1" applyAlignment="1">
      <alignment horizontal="center" vertical="center"/>
    </xf>
    <xf numFmtId="2" fontId="27" fillId="6" borderId="17" xfId="0" applyNumberFormat="1" applyFont="1" applyFill="1" applyBorder="1" applyAlignment="1">
      <alignment horizontal="center" vertical="center"/>
    </xf>
    <xf numFmtId="2" fontId="27" fillId="0" borderId="17" xfId="0" applyNumberFormat="1" applyFont="1" applyBorder="1" applyAlignment="1">
      <alignment horizontal="center" vertical="center"/>
    </xf>
    <xf numFmtId="2" fontId="26" fillId="9" borderId="17" xfId="1" applyNumberFormat="1" applyFont="1" applyFill="1" applyBorder="1" applyAlignment="1">
      <alignment vertical="center"/>
    </xf>
    <xf numFmtId="166" fontId="1" fillId="0" borderId="16" xfId="0" applyNumberFormat="1" applyFont="1" applyFill="1" applyBorder="1" applyAlignment="1">
      <alignment horizontal="left" vertical="center"/>
    </xf>
    <xf numFmtId="0" fontId="1" fillId="0" borderId="15" xfId="0" applyFont="1" applyFill="1" applyBorder="1" applyAlignment="1">
      <alignment horizontal="right" vertical="center"/>
    </xf>
    <xf numFmtId="2" fontId="1" fillId="0" borderId="15" xfId="0" applyNumberFormat="1" applyFont="1" applyFill="1" applyBorder="1" applyAlignment="1">
      <alignment horizontal="right" vertical="center"/>
    </xf>
    <xf numFmtId="0" fontId="17" fillId="0" borderId="15" xfId="0" applyFont="1" applyFill="1" applyBorder="1" applyAlignment="1">
      <alignment vertical="center"/>
    </xf>
    <xf numFmtId="166" fontId="1" fillId="0" borderId="8" xfId="0" applyNumberFormat="1" applyFont="1" applyFill="1" applyBorder="1" applyAlignment="1">
      <alignment vertical="center"/>
    </xf>
    <xf numFmtId="166" fontId="1" fillId="0" borderId="8" xfId="0" applyNumberFormat="1" applyFont="1" applyFill="1" applyBorder="1" applyAlignment="1">
      <alignment horizontal="right" vertical="center"/>
    </xf>
    <xf numFmtId="166" fontId="1" fillId="0" borderId="9" xfId="0" applyNumberFormat="1" applyFont="1" applyFill="1" applyBorder="1" applyAlignment="1">
      <alignment horizontal="center" vertical="center"/>
    </xf>
    <xf numFmtId="164" fontId="1" fillId="0" borderId="15" xfId="0" applyNumberFormat="1" applyFont="1" applyFill="1" applyBorder="1" applyAlignment="1">
      <alignment vertical="center"/>
    </xf>
    <xf numFmtId="170" fontId="1" fillId="0" borderId="1" xfId="0" applyNumberFormat="1" applyFont="1" applyFill="1" applyBorder="1" applyAlignment="1">
      <alignment vertical="center"/>
    </xf>
    <xf numFmtId="170" fontId="1" fillId="0" borderId="2" xfId="0" applyNumberFormat="1" applyFont="1" applyFill="1" applyBorder="1" applyAlignment="1">
      <alignment vertical="center"/>
    </xf>
    <xf numFmtId="170" fontId="1" fillId="0" borderId="15" xfId="0" applyNumberFormat="1" applyFont="1" applyFill="1" applyBorder="1" applyAlignment="1">
      <alignment vertical="center"/>
    </xf>
    <xf numFmtId="164" fontId="10" fillId="3" borderId="2" xfId="0" applyNumberFormat="1" applyFont="1" applyFill="1" applyBorder="1"/>
    <xf numFmtId="164" fontId="10" fillId="0" borderId="2" xfId="0" applyNumberFormat="1" applyFont="1" applyBorder="1"/>
    <xf numFmtId="164" fontId="10" fillId="5" borderId="2" xfId="0" applyNumberFormat="1" applyFont="1" applyFill="1" applyBorder="1"/>
    <xf numFmtId="164" fontId="10" fillId="3" borderId="2" xfId="0" applyNumberFormat="1" applyFont="1" applyFill="1" applyBorder="1" applyAlignment="1">
      <alignment horizontal="left"/>
    </xf>
    <xf numFmtId="164" fontId="10" fillId="5" borderId="2" xfId="0" applyNumberFormat="1" applyFont="1" applyFill="1" applyBorder="1" applyAlignment="1">
      <alignment horizontal="left"/>
    </xf>
    <xf numFmtId="164" fontId="10" fillId="6" borderId="2" xfId="0" applyNumberFormat="1" applyFont="1" applyFill="1" applyBorder="1" applyAlignment="1">
      <alignment horizontal="left"/>
    </xf>
    <xf numFmtId="164" fontId="10" fillId="0" borderId="1" xfId="0" applyNumberFormat="1" applyFont="1" applyFill="1" applyBorder="1"/>
    <xf numFmtId="164" fontId="10" fillId="7" borderId="1" xfId="0" applyNumberFormat="1" applyFont="1" applyFill="1" applyBorder="1"/>
    <xf numFmtId="164" fontId="10" fillId="8" borderId="1" xfId="0" applyNumberFormat="1" applyFont="1" applyFill="1" applyBorder="1"/>
    <xf numFmtId="164" fontId="28" fillId="9" borderId="1" xfId="1" applyNumberFormat="1" applyFont="1" applyFill="1" applyBorder="1" applyAlignment="1">
      <alignment vertical="center"/>
    </xf>
    <xf numFmtId="164" fontId="10" fillId="3" borderId="1" xfId="0" applyNumberFormat="1" applyFont="1" applyFill="1" applyBorder="1"/>
    <xf numFmtId="164" fontId="10" fillId="5" borderId="1" xfId="0" applyNumberFormat="1" applyFont="1" applyFill="1" applyBorder="1"/>
    <xf numFmtId="164" fontId="10" fillId="6" borderId="1" xfId="0" applyNumberFormat="1" applyFont="1" applyFill="1" applyBorder="1"/>
    <xf numFmtId="164" fontId="10" fillId="0" borderId="2" xfId="0" applyNumberFormat="1" applyFont="1" applyFill="1" applyBorder="1"/>
    <xf numFmtId="164" fontId="10" fillId="7" borderId="2" xfId="0" applyNumberFormat="1" applyFont="1" applyFill="1" applyBorder="1"/>
    <xf numFmtId="164" fontId="10" fillId="8" borderId="2" xfId="0" applyNumberFormat="1" applyFont="1" applyFill="1" applyBorder="1"/>
    <xf numFmtId="164" fontId="28" fillId="9" borderId="2" xfId="1" applyNumberFormat="1" applyFont="1" applyFill="1" applyBorder="1" applyAlignment="1">
      <alignment vertical="center"/>
    </xf>
    <xf numFmtId="164" fontId="10" fillId="6" borderId="2" xfId="0" applyNumberFormat="1" applyFont="1" applyFill="1" applyBorder="1"/>
    <xf numFmtId="164" fontId="10" fillId="3" borderId="15" xfId="0" applyNumberFormat="1" applyFont="1" applyFill="1" applyBorder="1"/>
    <xf numFmtId="164" fontId="10" fillId="5" borderId="15" xfId="0" applyNumberFormat="1" applyFont="1" applyFill="1" applyBorder="1"/>
    <xf numFmtId="164" fontId="10" fillId="6" borderId="15" xfId="0" applyNumberFormat="1" applyFont="1" applyFill="1" applyBorder="1"/>
    <xf numFmtId="164" fontId="10" fillId="0" borderId="15" xfId="0" applyNumberFormat="1" applyFont="1" applyBorder="1"/>
    <xf numFmtId="164" fontId="10" fillId="7" borderId="15" xfId="0" applyNumberFormat="1" applyFont="1" applyFill="1" applyBorder="1"/>
    <xf numFmtId="164" fontId="10" fillId="8" borderId="15" xfId="0" applyNumberFormat="1" applyFont="1" applyFill="1" applyBorder="1"/>
    <xf numFmtId="164" fontId="28" fillId="9" borderId="15" xfId="1" applyNumberFormat="1" applyFont="1" applyFill="1" applyBorder="1" applyAlignment="1">
      <alignment vertical="center"/>
    </xf>
    <xf numFmtId="164" fontId="1" fillId="5" borderId="2" xfId="0" applyNumberFormat="1" applyFont="1" applyFill="1" applyBorder="1" applyAlignment="1">
      <alignment horizontal="left"/>
    </xf>
    <xf numFmtId="164" fontId="1" fillId="3" borderId="2" xfId="0" applyNumberFormat="1" applyFont="1" applyFill="1" applyBorder="1"/>
    <xf numFmtId="164" fontId="1" fillId="0" borderId="2" xfId="0" applyNumberFormat="1" applyFont="1" applyBorder="1"/>
    <xf numFmtId="2" fontId="14" fillId="0" borderId="2" xfId="0" applyNumberFormat="1" applyFont="1" applyFill="1" applyBorder="1" applyAlignment="1">
      <alignment horizontal="right" vertical="center"/>
    </xf>
    <xf numFmtId="2" fontId="14" fillId="0" borderId="2" xfId="0" applyNumberFormat="1" applyFont="1" applyFill="1" applyBorder="1" applyAlignment="1">
      <alignment vertical="center"/>
    </xf>
    <xf numFmtId="164" fontId="1" fillId="6" borderId="2" xfId="0" applyNumberFormat="1" applyFont="1" applyFill="1" applyBorder="1" applyAlignment="1">
      <alignment horizontal="left"/>
    </xf>
    <xf numFmtId="164" fontId="1" fillId="6" borderId="2" xfId="0" applyNumberFormat="1" applyFont="1" applyFill="1" applyBorder="1"/>
    <xf numFmtId="0" fontId="14" fillId="4" borderId="2" xfId="0" applyFont="1" applyFill="1" applyBorder="1" applyAlignment="1">
      <alignment horizontal="left" vertical="center"/>
    </xf>
    <xf numFmtId="0" fontId="14" fillId="4" borderId="2" xfId="0" applyFont="1" applyFill="1" applyBorder="1" applyAlignment="1">
      <alignment horizontal="right" vertical="center"/>
    </xf>
    <xf numFmtId="0" fontId="14" fillId="4" borderId="2" xfId="0" applyFont="1" applyFill="1" applyBorder="1" applyAlignment="1">
      <alignment vertical="center"/>
    </xf>
    <xf numFmtId="2" fontId="14" fillId="4" borderId="2" xfId="0" applyNumberFormat="1" applyFont="1" applyFill="1" applyBorder="1" applyAlignment="1">
      <alignment horizontal="right" vertical="center"/>
    </xf>
    <xf numFmtId="0" fontId="9" fillId="0" borderId="3" xfId="0" applyFont="1" applyFill="1" applyBorder="1" applyAlignment="1">
      <alignment horizontal="center" vertical="center"/>
    </xf>
    <xf numFmtId="0" fontId="23" fillId="0" borderId="3" xfId="0" applyFont="1" applyFill="1" applyBorder="1" applyAlignment="1">
      <alignment horizontal="center" vertical="center"/>
    </xf>
    <xf numFmtId="2" fontId="9" fillId="0" borderId="10" xfId="0" applyNumberFormat="1" applyFont="1" applyFill="1" applyBorder="1" applyAlignment="1">
      <alignment vertical="center"/>
    </xf>
    <xf numFmtId="0" fontId="14" fillId="2" borderId="2" xfId="0" applyFont="1" applyFill="1" applyBorder="1" applyAlignment="1">
      <alignment horizontal="left" vertical="center"/>
    </xf>
    <xf numFmtId="0" fontId="14" fillId="2" borderId="2" xfId="0" applyFont="1" applyFill="1" applyBorder="1" applyAlignment="1">
      <alignment horizontal="right" vertical="center"/>
    </xf>
    <xf numFmtId="2" fontId="14" fillId="2" borderId="2" xfId="0" applyNumberFormat="1" applyFont="1" applyFill="1" applyBorder="1" applyAlignment="1">
      <alignment horizontal="right" vertical="center"/>
    </xf>
    <xf numFmtId="170" fontId="1" fillId="0" borderId="11" xfId="0" applyNumberFormat="1" applyFont="1" applyFill="1" applyBorder="1" applyAlignment="1">
      <alignment vertical="center"/>
    </xf>
    <xf numFmtId="0" fontId="16" fillId="0" borderId="2" xfId="0" applyFont="1" applyFill="1" applyBorder="1"/>
    <xf numFmtId="0" fontId="14" fillId="0" borderId="2" xfId="0" applyFont="1" applyFill="1" applyBorder="1" applyAlignment="1">
      <alignment vertical="center" wrapText="1"/>
    </xf>
    <xf numFmtId="1" fontId="14" fillId="0" borderId="2" xfId="0" applyNumberFormat="1" applyFont="1" applyFill="1" applyBorder="1" applyAlignment="1">
      <alignment horizontal="right" vertical="center"/>
    </xf>
    <xf numFmtId="0" fontId="1" fillId="10" borderId="2" xfId="0" applyFont="1" applyFill="1" applyBorder="1" applyAlignment="1">
      <alignment vertical="center"/>
    </xf>
    <xf numFmtId="0" fontId="1" fillId="10" borderId="2" xfId="0" applyFont="1" applyFill="1" applyBorder="1" applyAlignment="1">
      <alignment horizontal="left" vertical="center"/>
    </xf>
    <xf numFmtId="2" fontId="16" fillId="0" borderId="2" xfId="0" applyNumberFormat="1" applyFont="1" applyFill="1" applyBorder="1" applyAlignment="1">
      <alignment horizontal="right" vertical="center"/>
    </xf>
    <xf numFmtId="2" fontId="10" fillId="0" borderId="1" xfId="0" applyNumberFormat="1" applyFont="1" applyFill="1" applyBorder="1" applyAlignment="1">
      <alignment horizontal="right" vertical="center"/>
    </xf>
    <xf numFmtId="2" fontId="10" fillId="0" borderId="2" xfId="0" applyNumberFormat="1" applyFont="1" applyFill="1" applyBorder="1" applyAlignment="1">
      <alignment horizontal="right" vertical="center"/>
    </xf>
    <xf numFmtId="2" fontId="10" fillId="0" borderId="15" xfId="0" applyNumberFormat="1" applyFont="1" applyFill="1" applyBorder="1" applyAlignment="1">
      <alignment horizontal="right" vertical="center"/>
    </xf>
    <xf numFmtId="164" fontId="1" fillId="5" borderId="2" xfId="0" applyNumberFormat="1" applyFont="1" applyFill="1" applyBorder="1"/>
    <xf numFmtId="164" fontId="1" fillId="3" borderId="15" xfId="0" applyNumberFormat="1" applyFont="1" applyFill="1" applyBorder="1"/>
    <xf numFmtId="164" fontId="1" fillId="7" borderId="2" xfId="0" applyNumberFormat="1" applyFont="1" applyFill="1" applyBorder="1"/>
    <xf numFmtId="164" fontId="29" fillId="3" borderId="1" xfId="0" applyNumberFormat="1" applyFont="1" applyFill="1" applyBorder="1"/>
    <xf numFmtId="164" fontId="29" fillId="5" borderId="1" xfId="0" applyNumberFormat="1" applyFont="1" applyFill="1" applyBorder="1"/>
    <xf numFmtId="164" fontId="29" fillId="6" borderId="1" xfId="0" applyNumberFormat="1" applyFont="1" applyFill="1" applyBorder="1"/>
    <xf numFmtId="164" fontId="29" fillId="0" borderId="1" xfId="0" applyNumberFormat="1" applyFont="1" applyFill="1" applyBorder="1"/>
    <xf numFmtId="164" fontId="29" fillId="7" borderId="1" xfId="0" applyNumberFormat="1" applyFont="1" applyFill="1" applyBorder="1"/>
    <xf numFmtId="164" fontId="29" fillId="8" borderId="1" xfId="0" applyNumberFormat="1" applyFont="1" applyFill="1" applyBorder="1"/>
    <xf numFmtId="164" fontId="30" fillId="9" borderId="1" xfId="1" applyNumberFormat="1" applyFont="1" applyFill="1" applyBorder="1" applyAlignment="1">
      <alignment vertical="center"/>
    </xf>
    <xf numFmtId="164" fontId="29" fillId="3" borderId="2" xfId="0" applyNumberFormat="1" applyFont="1" applyFill="1" applyBorder="1"/>
    <xf numFmtId="164" fontId="29" fillId="5" borderId="2" xfId="0" applyNumberFormat="1" applyFont="1" applyFill="1" applyBorder="1"/>
    <xf numFmtId="164" fontId="29" fillId="6" borderId="2" xfId="0" applyNumberFormat="1" applyFont="1" applyFill="1" applyBorder="1"/>
    <xf numFmtId="164" fontId="29" fillId="0" borderId="2" xfId="0" applyNumberFormat="1" applyFont="1" applyFill="1" applyBorder="1"/>
    <xf numFmtId="164" fontId="29" fillId="7" borderId="2" xfId="0" applyNumberFormat="1" applyFont="1" applyFill="1" applyBorder="1"/>
    <xf numFmtId="164" fontId="29" fillId="8" borderId="2" xfId="0" applyNumberFormat="1" applyFont="1" applyFill="1" applyBorder="1"/>
    <xf numFmtId="164" fontId="30" fillId="9" borderId="2" xfId="1" applyNumberFormat="1" applyFont="1" applyFill="1" applyBorder="1" applyAlignment="1">
      <alignment vertical="center"/>
    </xf>
    <xf numFmtId="164" fontId="29" fillId="0" borderId="2" xfId="0" applyNumberFormat="1" applyFont="1" applyBorder="1"/>
    <xf numFmtId="164" fontId="31" fillId="3" borderId="2" xfId="0" applyNumberFormat="1" applyFont="1" applyFill="1" applyBorder="1"/>
    <xf numFmtId="164" fontId="29" fillId="3" borderId="15" xfId="0" applyNumberFormat="1" applyFont="1" applyFill="1" applyBorder="1"/>
    <xf numFmtId="164" fontId="29" fillId="5" borderId="15" xfId="0" applyNumberFormat="1" applyFont="1" applyFill="1" applyBorder="1"/>
    <xf numFmtId="164" fontId="29" fillId="6" borderId="15" xfId="0" applyNumberFormat="1" applyFont="1" applyFill="1" applyBorder="1"/>
    <xf numFmtId="164" fontId="29" fillId="0" borderId="15" xfId="0" applyNumberFormat="1" applyFont="1" applyBorder="1"/>
    <xf numFmtId="164" fontId="29" fillId="7" borderId="15" xfId="0" applyNumberFormat="1" applyFont="1" applyFill="1" applyBorder="1"/>
    <xf numFmtId="164" fontId="29" fillId="8" borderId="15" xfId="0" applyNumberFormat="1" applyFont="1" applyFill="1" applyBorder="1"/>
    <xf numFmtId="164" fontId="30" fillId="9" borderId="15" xfId="1" applyNumberFormat="1" applyFont="1" applyFill="1" applyBorder="1" applyAlignment="1">
      <alignment vertical="center"/>
    </xf>
    <xf numFmtId="164" fontId="31" fillId="5" borderId="2" xfId="0" applyNumberFormat="1" applyFont="1" applyFill="1" applyBorder="1"/>
    <xf numFmtId="164" fontId="31" fillId="8" borderId="2" xfId="0" applyNumberFormat="1" applyFont="1" applyFill="1" applyBorder="1"/>
    <xf numFmtId="166" fontId="14" fillId="0" borderId="8" xfId="0" applyNumberFormat="1" applyFont="1" applyFill="1" applyBorder="1" applyAlignment="1">
      <alignment horizontal="right" vertical="center"/>
    </xf>
    <xf numFmtId="166" fontId="1" fillId="0" borderId="2" xfId="0" applyNumberFormat="1" applyFont="1" applyFill="1" applyBorder="1" applyAlignment="1">
      <alignment horizontal="right" vertical="center"/>
    </xf>
    <xf numFmtId="166" fontId="14" fillId="4" borderId="8" xfId="0" applyNumberFormat="1" applyFont="1" applyFill="1" applyBorder="1" applyAlignment="1">
      <alignment horizontal="right" vertical="center"/>
    </xf>
    <xf numFmtId="166" fontId="14" fillId="2" borderId="8" xfId="0" applyNumberFormat="1" applyFont="1" applyFill="1" applyBorder="1" applyAlignment="1">
      <alignment horizontal="right" vertical="center"/>
    </xf>
    <xf numFmtId="166" fontId="16" fillId="0" borderId="8" xfId="0" applyNumberFormat="1" applyFont="1" applyFill="1" applyBorder="1" applyAlignment="1">
      <alignment horizontal="left" vertical="center"/>
    </xf>
    <xf numFmtId="166" fontId="1" fillId="10" borderId="2" xfId="0" applyNumberFormat="1" applyFont="1" applyFill="1" applyBorder="1" applyAlignment="1">
      <alignment horizontal="right" vertical="center"/>
    </xf>
    <xf numFmtId="166" fontId="1" fillId="4" borderId="2" xfId="0" applyNumberFormat="1" applyFont="1" applyFill="1" applyBorder="1" applyAlignment="1">
      <alignment horizontal="right" vertical="center"/>
    </xf>
    <xf numFmtId="164" fontId="1" fillId="3" borderId="2" xfId="0" applyNumberFormat="1" applyFont="1" applyFill="1" applyBorder="1" applyAlignment="1">
      <alignment horizontal="left"/>
    </xf>
    <xf numFmtId="171" fontId="16" fillId="9" borderId="2" xfId="1" applyNumberFormat="1" applyFont="1" applyFill="1" applyBorder="1" applyAlignment="1">
      <alignment vertical="center"/>
    </xf>
    <xf numFmtId="2" fontId="1" fillId="10" borderId="2" xfId="0" applyNumberFormat="1" applyFont="1" applyFill="1" applyBorder="1" applyAlignment="1">
      <alignment vertical="center"/>
    </xf>
    <xf numFmtId="2" fontId="1" fillId="4" borderId="2" xfId="0" applyNumberFormat="1" applyFont="1" applyFill="1" applyBorder="1" applyAlignment="1">
      <alignment vertical="center"/>
    </xf>
    <xf numFmtId="166" fontId="1" fillId="11" borderId="8" xfId="0" applyNumberFormat="1" applyFont="1" applyFill="1" applyBorder="1" applyAlignment="1">
      <alignment horizontal="right" vertical="center"/>
    </xf>
    <xf numFmtId="0" fontId="1" fillId="11" borderId="2" xfId="0" applyFont="1" applyFill="1" applyBorder="1" applyAlignment="1">
      <alignment vertical="center"/>
    </xf>
    <xf numFmtId="0" fontId="1" fillId="11" borderId="2" xfId="0" applyFont="1" applyFill="1" applyBorder="1" applyAlignment="1">
      <alignment horizontal="left" vertical="center"/>
    </xf>
    <xf numFmtId="2" fontId="1" fillId="11" borderId="2" xfId="0" applyNumberFormat="1" applyFont="1" applyFill="1" applyBorder="1" applyAlignment="1">
      <alignment vertical="center"/>
    </xf>
    <xf numFmtId="166" fontId="1" fillId="0" borderId="16" xfId="0" applyNumberFormat="1" applyFont="1" applyFill="1" applyBorder="1" applyAlignment="1">
      <alignment horizontal="right" vertical="center"/>
    </xf>
    <xf numFmtId="165" fontId="1" fillId="0" borderId="1" xfId="0" applyNumberFormat="1" applyFont="1" applyFill="1" applyBorder="1" applyAlignment="1">
      <alignment horizontal="right" vertical="center"/>
    </xf>
    <xf numFmtId="164" fontId="10" fillId="3" borderId="1" xfId="0" applyNumberFormat="1" applyFont="1" applyFill="1" applyBorder="1" applyAlignment="1">
      <alignment horizontal="left"/>
    </xf>
    <xf numFmtId="164" fontId="10" fillId="5" borderId="1" xfId="0" applyNumberFormat="1" applyFont="1" applyFill="1" applyBorder="1" applyAlignment="1">
      <alignment horizontal="left"/>
    </xf>
    <xf numFmtId="164" fontId="10" fillId="6" borderId="1" xfId="0" applyNumberFormat="1" applyFont="1" applyFill="1" applyBorder="1" applyAlignment="1">
      <alignment horizontal="left"/>
    </xf>
    <xf numFmtId="0" fontId="1" fillId="0" borderId="13" xfId="0" applyFont="1" applyBorder="1"/>
    <xf numFmtId="166" fontId="14" fillId="0" borderId="8" xfId="0" applyNumberFormat="1" applyFont="1" applyFill="1" applyBorder="1" applyAlignment="1">
      <alignment vertical="center"/>
    </xf>
    <xf numFmtId="166" fontId="14" fillId="0" borderId="8" xfId="0" applyNumberFormat="1" applyFont="1" applyFill="1" applyBorder="1" applyAlignment="1">
      <alignment horizontal="left" vertical="center"/>
    </xf>
    <xf numFmtId="0" fontId="32" fillId="0" borderId="0" xfId="0" applyFont="1" applyFill="1" applyAlignment="1">
      <alignment horizontal="left"/>
    </xf>
    <xf numFmtId="0" fontId="1" fillId="0" borderId="0" xfId="0" applyFont="1" applyFill="1"/>
    <xf numFmtId="0" fontId="2" fillId="0" borderId="0" xfId="0" applyFont="1" applyFill="1"/>
    <xf numFmtId="0" fontId="0" fillId="0" borderId="0" xfId="0" applyFill="1" applyAlignment="1">
      <alignment horizontal="left"/>
    </xf>
    <xf numFmtId="0" fontId="0" fillId="0" borderId="0" xfId="0" applyFill="1" applyAlignment="1">
      <alignment horizontal="right"/>
    </xf>
    <xf numFmtId="0" fontId="13" fillId="0" borderId="0" xfId="0" applyFont="1" applyAlignment="1"/>
    <xf numFmtId="0" fontId="11" fillId="0" borderId="0" xfId="0" applyFont="1" applyAlignment="1">
      <alignment horizontal="left" vertical="center"/>
    </xf>
    <xf numFmtId="0" fontId="4" fillId="0" borderId="0" xfId="0" applyFont="1" applyAlignment="1">
      <alignment horizontal="left" vertical="center"/>
    </xf>
    <xf numFmtId="0" fontId="0" fillId="0" borderId="0" xfId="0" applyAlignment="1">
      <alignment horizontal="left" vertical="center"/>
    </xf>
    <xf numFmtId="0" fontId="3" fillId="0" borderId="0" xfId="0" applyFont="1" applyAlignment="1">
      <alignment horizontal="left" vertical="center"/>
    </xf>
    <xf numFmtId="0" fontId="0" fillId="0" borderId="0" xfId="0" applyFill="1" applyAlignment="1">
      <alignment horizontal="left" vertical="center"/>
    </xf>
    <xf numFmtId="0" fontId="13" fillId="0" borderId="0" xfId="0" applyFont="1" applyAlignment="1">
      <alignment horizontal="left" vertical="center"/>
    </xf>
    <xf numFmtId="0" fontId="2" fillId="0" borderId="0" xfId="0" applyFont="1" applyAlignment="1">
      <alignment horizontal="left" vertical="center"/>
    </xf>
    <xf numFmtId="0" fontId="33" fillId="0" borderId="0" xfId="0" applyFont="1" applyAlignment="1">
      <alignment vertical="center"/>
    </xf>
    <xf numFmtId="166" fontId="14" fillId="0" borderId="7" xfId="0" applyNumberFormat="1" applyFont="1" applyFill="1" applyBorder="1" applyAlignment="1">
      <alignment horizontal="right" vertical="center"/>
    </xf>
    <xf numFmtId="0" fontId="14" fillId="0" borderId="1" xfId="0" applyFont="1" applyFill="1" applyBorder="1" applyAlignment="1">
      <alignment horizontal="right" vertical="center"/>
    </xf>
    <xf numFmtId="0" fontId="14" fillId="0" borderId="1" xfId="0" applyFont="1" applyFill="1" applyBorder="1" applyAlignment="1">
      <alignment vertical="center"/>
    </xf>
    <xf numFmtId="0" fontId="14" fillId="0" borderId="1" xfId="0" applyFont="1" applyFill="1" applyBorder="1" applyAlignment="1">
      <alignment horizontal="left" vertical="center"/>
    </xf>
    <xf numFmtId="2" fontId="14" fillId="0" borderId="1" xfId="0" applyNumberFormat="1" applyFont="1" applyFill="1" applyBorder="1" applyAlignment="1">
      <alignment horizontal="right" vertical="center"/>
    </xf>
    <xf numFmtId="164" fontId="1" fillId="5" borderId="1" xfId="0" applyNumberFormat="1" applyFont="1" applyFill="1" applyBorder="1" applyAlignment="1">
      <alignment horizontal="left"/>
    </xf>
    <xf numFmtId="0" fontId="6" fillId="0" borderId="20" xfId="0" applyFont="1" applyBorder="1" applyAlignment="1">
      <alignment horizontal="justify" vertical="center"/>
    </xf>
    <xf numFmtId="0" fontId="6" fillId="0" borderId="21" xfId="0" applyFont="1" applyBorder="1" applyAlignment="1">
      <alignment horizontal="justify" vertical="center"/>
    </xf>
    <xf numFmtId="0" fontId="5" fillId="0" borderId="20" xfId="0" applyFont="1" applyBorder="1" applyAlignment="1">
      <alignment horizontal="left" vertical="center"/>
    </xf>
    <xf numFmtId="0" fontId="6" fillId="0" borderId="22" xfId="0" applyFont="1" applyBorder="1" applyAlignment="1">
      <alignment horizontal="justify" vertical="center"/>
    </xf>
    <xf numFmtId="0" fontId="5" fillId="0" borderId="20" xfId="0" applyFont="1" applyBorder="1" applyAlignment="1">
      <alignment horizontal="justify" vertical="center"/>
    </xf>
    <xf numFmtId="0" fontId="6" fillId="3" borderId="20" xfId="0" applyFont="1" applyFill="1" applyBorder="1" applyAlignment="1">
      <alignment horizontal="justify" vertical="center"/>
    </xf>
    <xf numFmtId="0" fontId="6" fillId="5" borderId="20" xfId="0" applyFont="1" applyFill="1" applyBorder="1" applyAlignment="1">
      <alignment horizontal="justify" vertical="center"/>
    </xf>
    <xf numFmtId="0" fontId="6" fillId="6" borderId="20" xfId="0" applyFont="1" applyFill="1" applyBorder="1" applyAlignment="1">
      <alignment horizontal="justify" vertical="center"/>
    </xf>
    <xf numFmtId="0" fontId="6" fillId="0" borderId="20" xfId="0" applyFont="1" applyFill="1" applyBorder="1" applyAlignment="1">
      <alignment horizontal="justify" vertical="center"/>
    </xf>
    <xf numFmtId="0" fontId="6" fillId="7" borderId="20" xfId="0" applyFont="1" applyFill="1" applyBorder="1" applyAlignment="1">
      <alignment horizontal="justify" vertical="center"/>
    </xf>
    <xf numFmtId="0" fontId="6" fillId="8" borderId="20" xfId="0" applyFont="1" applyFill="1" applyBorder="1" applyAlignment="1">
      <alignment horizontal="justify" vertical="center"/>
    </xf>
    <xf numFmtId="0" fontId="19" fillId="9" borderId="20" xfId="1" applyFont="1" applyFill="1" applyBorder="1" applyAlignment="1">
      <alignment horizontal="center" vertical="center"/>
    </xf>
    <xf numFmtId="0" fontId="9" fillId="0" borderId="17" xfId="0" applyFont="1" applyFill="1" applyBorder="1" applyAlignment="1">
      <alignment horizontal="center" vertical="center"/>
    </xf>
    <xf numFmtId="0" fontId="23" fillId="0" borderId="17" xfId="0" applyFont="1" applyFill="1" applyBorder="1" applyAlignment="1">
      <alignment horizontal="center" vertical="center"/>
    </xf>
    <xf numFmtId="2" fontId="9" fillId="0" borderId="18" xfId="0" applyNumberFormat="1" applyFont="1" applyFill="1" applyBorder="1" applyAlignment="1">
      <alignment vertical="center"/>
    </xf>
    <xf numFmtId="2" fontId="9" fillId="0" borderId="17" xfId="0" applyNumberFormat="1" applyFont="1" applyBorder="1" applyAlignment="1">
      <alignment horizontal="center" vertical="center"/>
    </xf>
    <xf numFmtId="2" fontId="21" fillId="8" borderId="17" xfId="0" applyNumberFormat="1" applyFont="1" applyFill="1" applyBorder="1" applyAlignment="1">
      <alignment horizontal="center" vertical="center"/>
    </xf>
    <xf numFmtId="166" fontId="14" fillId="0" borderId="16" xfId="0" applyNumberFormat="1" applyFont="1" applyFill="1" applyBorder="1" applyAlignment="1">
      <alignment horizontal="right" vertical="center"/>
    </xf>
    <xf numFmtId="0" fontId="14" fillId="0" borderId="15" xfId="0" applyFont="1" applyFill="1" applyBorder="1" applyAlignment="1">
      <alignment vertical="center"/>
    </xf>
    <xf numFmtId="0" fontId="14" fillId="0" borderId="15" xfId="0" applyFont="1" applyFill="1" applyBorder="1" applyAlignment="1">
      <alignment horizontal="left" vertical="center"/>
    </xf>
    <xf numFmtId="0" fontId="14" fillId="0" borderId="15" xfId="0" applyFont="1" applyFill="1" applyBorder="1" applyAlignment="1">
      <alignment horizontal="right" vertical="center"/>
    </xf>
    <xf numFmtId="2" fontId="14" fillId="0" borderId="15" xfId="0" applyNumberFormat="1" applyFont="1" applyFill="1" applyBorder="1" applyAlignment="1">
      <alignment horizontal="right" vertical="center"/>
    </xf>
    <xf numFmtId="164" fontId="10" fillId="3" borderId="15" xfId="0" applyNumberFormat="1" applyFont="1" applyFill="1" applyBorder="1" applyAlignment="1">
      <alignment horizontal="left"/>
    </xf>
    <xf numFmtId="164" fontId="10" fillId="5" borderId="15" xfId="0" applyNumberFormat="1" applyFont="1" applyFill="1" applyBorder="1" applyAlignment="1">
      <alignment horizontal="left"/>
    </xf>
    <xf numFmtId="164" fontId="10" fillId="6" borderId="15" xfId="0" applyNumberFormat="1" applyFont="1" applyFill="1" applyBorder="1" applyAlignment="1">
      <alignment horizontal="left"/>
    </xf>
    <xf numFmtId="2" fontId="25" fillId="7" borderId="3" xfId="0" applyNumberFormat="1" applyFont="1" applyFill="1" applyBorder="1" applyAlignment="1">
      <alignment horizontal="center" vertical="center"/>
    </xf>
    <xf numFmtId="2" fontId="25" fillId="8" borderId="3" xfId="0" applyNumberFormat="1" applyFont="1" applyFill="1" applyBorder="1" applyAlignment="1">
      <alignment horizontal="center" vertical="center"/>
    </xf>
    <xf numFmtId="2" fontId="34" fillId="9" borderId="3" xfId="1" applyNumberFormat="1" applyFont="1" applyFill="1" applyBorder="1" applyAlignment="1">
      <alignment vertical="center"/>
    </xf>
    <xf numFmtId="2" fontId="35" fillId="5" borderId="3" xfId="0" applyNumberFormat="1" applyFont="1" applyFill="1" applyBorder="1" applyAlignment="1">
      <alignment horizontal="center" vertical="center"/>
    </xf>
    <xf numFmtId="0" fontId="19" fillId="9" borderId="3" xfId="1" applyFont="1" applyFill="1" applyBorder="1" applyAlignment="1">
      <alignment horizontal="justify" vertical="center"/>
    </xf>
    <xf numFmtId="0" fontId="6" fillId="12" borderId="3" xfId="0" applyFont="1" applyFill="1" applyBorder="1" applyAlignment="1">
      <alignment horizontal="justify" vertical="center"/>
    </xf>
    <xf numFmtId="164" fontId="10" fillId="12" borderId="2" xfId="0" applyNumberFormat="1" applyFont="1" applyFill="1" applyBorder="1" applyAlignment="1">
      <alignment horizontal="left"/>
    </xf>
    <xf numFmtId="164" fontId="1" fillId="12" borderId="2" xfId="0" applyNumberFormat="1" applyFont="1" applyFill="1" applyBorder="1" applyAlignment="1">
      <alignment horizontal="left"/>
    </xf>
    <xf numFmtId="164" fontId="10" fillId="12" borderId="1" xfId="0" applyNumberFormat="1" applyFont="1" applyFill="1" applyBorder="1"/>
    <xf numFmtId="164" fontId="10" fillId="12" borderId="2" xfId="0" applyNumberFormat="1" applyFont="1" applyFill="1" applyBorder="1"/>
    <xf numFmtId="164" fontId="10" fillId="12" borderId="15" xfId="0" applyNumberFormat="1" applyFont="1" applyFill="1" applyBorder="1"/>
    <xf numFmtId="0" fontId="6" fillId="12" borderId="3" xfId="0" applyFont="1" applyFill="1" applyBorder="1" applyAlignment="1">
      <alignment horizontal="left" vertical="center"/>
    </xf>
    <xf numFmtId="2" fontId="27" fillId="12" borderId="12" xfId="0" applyNumberFormat="1" applyFont="1" applyFill="1" applyBorder="1" applyAlignment="1">
      <alignment horizontal="center" vertical="center"/>
    </xf>
    <xf numFmtId="2" fontId="9" fillId="12" borderId="12" xfId="0" applyNumberFormat="1" applyFont="1" applyFill="1" applyBorder="1" applyAlignment="1">
      <alignment horizontal="center" vertical="center"/>
    </xf>
    <xf numFmtId="164" fontId="1" fillId="12" borderId="2" xfId="0" applyNumberFormat="1" applyFont="1" applyFill="1" applyBorder="1"/>
    <xf numFmtId="2" fontId="27" fillId="12" borderId="19" xfId="0" applyNumberFormat="1" applyFont="1" applyFill="1" applyBorder="1" applyAlignment="1">
      <alignment horizontal="center" vertical="center"/>
    </xf>
    <xf numFmtId="2" fontId="27" fillId="7" borderId="17" xfId="0" applyNumberFormat="1" applyFont="1" applyFill="1" applyBorder="1" applyAlignment="1">
      <alignment horizontal="center" vertical="center"/>
    </xf>
    <xf numFmtId="2" fontId="1" fillId="12" borderId="2" xfId="0" applyNumberFormat="1" applyFont="1" applyFill="1" applyBorder="1"/>
    <xf numFmtId="2" fontId="25" fillId="12" borderId="12" xfId="0" applyNumberFormat="1" applyFont="1" applyFill="1" applyBorder="1" applyAlignment="1">
      <alignment horizontal="center" vertical="center"/>
    </xf>
    <xf numFmtId="2" fontId="27" fillId="7" borderId="3" xfId="0" applyNumberFormat="1" applyFont="1" applyFill="1" applyBorder="1" applyAlignment="1">
      <alignment horizontal="center" vertical="center"/>
    </xf>
    <xf numFmtId="2" fontId="27" fillId="8" borderId="3" xfId="0" applyNumberFormat="1" applyFont="1" applyFill="1" applyBorder="1" applyAlignment="1">
      <alignment horizontal="center" vertical="center"/>
    </xf>
    <xf numFmtId="2" fontId="19" fillId="9" borderId="3" xfId="1" applyNumberFormat="1" applyFont="1" applyFill="1" applyBorder="1" applyAlignment="1">
      <alignment vertical="center"/>
    </xf>
    <xf numFmtId="164" fontId="29" fillId="12" borderId="1" xfId="0" applyNumberFormat="1" applyFont="1" applyFill="1" applyBorder="1"/>
    <xf numFmtId="164" fontId="29" fillId="12" borderId="2" xfId="0" applyNumberFormat="1" applyFont="1" applyFill="1" applyBorder="1"/>
    <xf numFmtId="164" fontId="29" fillId="12" borderId="15" xfId="0" applyNumberFormat="1" applyFont="1" applyFill="1" applyBorder="1"/>
    <xf numFmtId="164" fontId="31" fillId="12" borderId="2" xfId="0" applyNumberFormat="1" applyFont="1" applyFill="1" applyBorder="1"/>
    <xf numFmtId="164" fontId="31" fillId="3" borderId="2" xfId="0" applyNumberFormat="1" applyFont="1" applyFill="1" applyBorder="1" applyAlignment="1">
      <alignment horizontal="left"/>
    </xf>
    <xf numFmtId="164" fontId="36" fillId="5" borderId="2" xfId="0" applyNumberFormat="1" applyFont="1" applyFill="1" applyBorder="1" applyAlignment="1">
      <alignment horizontal="left"/>
    </xf>
    <xf numFmtId="164" fontId="31" fillId="6" borderId="2" xfId="0" applyNumberFormat="1" applyFont="1" applyFill="1" applyBorder="1" applyAlignment="1">
      <alignment horizontal="left"/>
    </xf>
    <xf numFmtId="164" fontId="31" fillId="0" borderId="1" xfId="0" applyNumberFormat="1" applyFont="1" applyFill="1" applyBorder="1"/>
    <xf numFmtId="164" fontId="31" fillId="7" borderId="1" xfId="0" applyNumberFormat="1" applyFont="1" applyFill="1" applyBorder="1"/>
    <xf numFmtId="164" fontId="31" fillId="8" borderId="1" xfId="0" applyNumberFormat="1" applyFont="1" applyFill="1" applyBorder="1"/>
    <xf numFmtId="164" fontId="37" fillId="9" borderId="1" xfId="1" applyNumberFormat="1" applyFont="1" applyFill="1" applyBorder="1" applyAlignment="1">
      <alignment vertical="center"/>
    </xf>
    <xf numFmtId="164" fontId="31" fillId="3" borderId="1" xfId="0" applyNumberFormat="1" applyFont="1" applyFill="1" applyBorder="1"/>
    <xf numFmtId="164" fontId="31" fillId="5" borderId="1" xfId="0" applyNumberFormat="1" applyFont="1" applyFill="1" applyBorder="1"/>
    <xf numFmtId="164" fontId="31" fillId="6" borderId="1" xfId="0" applyNumberFormat="1" applyFont="1" applyFill="1" applyBorder="1"/>
    <xf numFmtId="164" fontId="31" fillId="0" borderId="2" xfId="0" applyNumberFormat="1" applyFont="1" applyFill="1" applyBorder="1"/>
    <xf numFmtId="164" fontId="31" fillId="7" borderId="2" xfId="0" applyNumberFormat="1" applyFont="1" applyFill="1" applyBorder="1"/>
    <xf numFmtId="164" fontId="37" fillId="9" borderId="2" xfId="1" applyNumberFormat="1" applyFont="1" applyFill="1" applyBorder="1" applyAlignment="1">
      <alignment vertical="center"/>
    </xf>
    <xf numFmtId="164" fontId="31" fillId="6" borderId="2" xfId="0" applyNumberFormat="1" applyFont="1" applyFill="1" applyBorder="1"/>
    <xf numFmtId="164" fontId="31" fillId="0" borderId="2" xfId="0" applyNumberFormat="1" applyFont="1" applyBorder="1"/>
    <xf numFmtId="164" fontId="31" fillId="5" borderId="2" xfId="0" applyNumberFormat="1" applyFont="1" applyFill="1" applyBorder="1" applyAlignment="1">
      <alignment horizontal="left"/>
    </xf>
    <xf numFmtId="164" fontId="36" fillId="6" borderId="2" xfId="0" applyNumberFormat="1" applyFont="1" applyFill="1" applyBorder="1"/>
    <xf numFmtId="164" fontId="36" fillId="3" borderId="2" xfId="0" applyNumberFormat="1" applyFont="1" applyFill="1" applyBorder="1"/>
    <xf numFmtId="164" fontId="36" fillId="0" borderId="2" xfId="0" applyNumberFormat="1" applyFont="1" applyBorder="1"/>
    <xf numFmtId="164" fontId="36" fillId="6" borderId="2" xfId="0" applyNumberFormat="1" applyFont="1" applyFill="1" applyBorder="1" applyAlignment="1">
      <alignment horizontal="left"/>
    </xf>
    <xf numFmtId="0" fontId="32" fillId="0" borderId="0" xfId="0" applyFont="1" applyFill="1" applyAlignment="1">
      <alignment horizontal="left" vertical="center"/>
    </xf>
    <xf numFmtId="164" fontId="31" fillId="12" borderId="2" xfId="0" applyNumberFormat="1" applyFont="1" applyFill="1" applyBorder="1" applyAlignment="1">
      <alignment horizontal="left"/>
    </xf>
    <xf numFmtId="164" fontId="36" fillId="12" borderId="2" xfId="0" applyNumberFormat="1" applyFont="1" applyFill="1" applyBorder="1" applyAlignment="1">
      <alignment horizontal="left"/>
    </xf>
    <xf numFmtId="164" fontId="31" fillId="12" borderId="1" xfId="0" applyNumberFormat="1" applyFont="1" applyFill="1" applyBorder="1"/>
    <xf numFmtId="164" fontId="36" fillId="5" borderId="2" xfId="0" applyNumberFormat="1" applyFont="1" applyFill="1" applyBorder="1"/>
    <xf numFmtId="2" fontId="38" fillId="9" borderId="17" xfId="1" applyNumberFormat="1" applyFont="1" applyFill="1" applyBorder="1" applyAlignment="1">
      <alignment vertical="center"/>
    </xf>
    <xf numFmtId="0" fontId="14" fillId="0" borderId="1" xfId="0" applyFont="1" applyFill="1" applyBorder="1" applyAlignment="1">
      <alignment horizontal="justify" vertical="center"/>
    </xf>
    <xf numFmtId="166" fontId="0" fillId="0" borderId="8" xfId="0" applyNumberFormat="1" applyFill="1" applyBorder="1" applyAlignment="1">
      <alignment horizontal="right"/>
    </xf>
    <xf numFmtId="0" fontId="6" fillId="12" borderId="20" xfId="0" applyFont="1" applyFill="1" applyBorder="1" applyAlignment="1">
      <alignment horizontal="justify" vertical="center"/>
    </xf>
    <xf numFmtId="164" fontId="10" fillId="12" borderId="1" xfId="0" applyNumberFormat="1" applyFont="1" applyFill="1" applyBorder="1" applyAlignment="1">
      <alignment horizontal="left"/>
    </xf>
    <xf numFmtId="164" fontId="10" fillId="12" borderId="15" xfId="0" applyNumberFormat="1" applyFont="1" applyFill="1" applyBorder="1" applyAlignment="1">
      <alignment horizontal="left"/>
    </xf>
    <xf numFmtId="0" fontId="6" fillId="12" borderId="20" xfId="0" applyFont="1" applyFill="1" applyBorder="1" applyAlignment="1">
      <alignment horizontal="left" vertical="center"/>
    </xf>
    <xf numFmtId="2" fontId="35" fillId="12" borderId="12" xfId="0" applyNumberFormat="1" applyFont="1" applyFill="1" applyBorder="1" applyAlignment="1">
      <alignment horizontal="center" vertical="center"/>
    </xf>
    <xf numFmtId="0" fontId="11" fillId="0" borderId="0" xfId="0" applyFont="1" applyAlignment="1">
      <alignment vertical="center"/>
    </xf>
    <xf numFmtId="2" fontId="38" fillId="9" borderId="3" xfId="1" applyNumberFormat="1" applyFont="1" applyFill="1" applyBorder="1" applyAlignment="1">
      <alignment vertical="center"/>
    </xf>
    <xf numFmtId="0" fontId="13" fillId="0" borderId="0" xfId="0" applyFont="1" applyAlignment="1">
      <alignment horizontal="center"/>
    </xf>
    <xf numFmtId="2" fontId="21" fillId="0" borderId="10" xfId="0" applyNumberFormat="1" applyFont="1" applyBorder="1" applyAlignment="1">
      <alignment horizontal="center" vertical="center"/>
    </xf>
    <xf numFmtId="2" fontId="21" fillId="0" borderId="12" xfId="0" applyNumberFormat="1" applyFont="1" applyBorder="1" applyAlignment="1">
      <alignment horizontal="center" vertical="center"/>
    </xf>
    <xf numFmtId="2" fontId="22" fillId="0" borderId="10" xfId="0" applyNumberFormat="1" applyFont="1" applyBorder="1" applyAlignment="1">
      <alignment horizontal="center" vertical="center"/>
    </xf>
    <xf numFmtId="2" fontId="22" fillId="0" borderId="12" xfId="0" applyNumberFormat="1" applyFont="1" applyBorder="1" applyAlignment="1">
      <alignment horizontal="center" vertical="center"/>
    </xf>
    <xf numFmtId="2" fontId="21" fillId="0" borderId="18" xfId="0" applyNumberFormat="1" applyFont="1" applyBorder="1" applyAlignment="1">
      <alignment horizontal="center" vertical="center"/>
    </xf>
    <xf numFmtId="2" fontId="21" fillId="0" borderId="19" xfId="0" applyNumberFormat="1" applyFont="1" applyBorder="1" applyAlignment="1">
      <alignment horizontal="center" vertical="center"/>
    </xf>
    <xf numFmtId="2" fontId="14" fillId="0" borderId="2" xfId="0" applyNumberFormat="1" applyFont="1" applyFill="1" applyBorder="1" applyAlignment="1">
      <alignment horizontal="center" vertical="center"/>
    </xf>
    <xf numFmtId="0" fontId="33" fillId="0" borderId="0" xfId="0" applyFont="1" applyAlignment="1">
      <alignment horizontal="center" vertical="center"/>
    </xf>
    <xf numFmtId="0" fontId="39" fillId="13" borderId="0" xfId="0" applyFont="1" applyFill="1"/>
    <xf numFmtId="0" fontId="0" fillId="13" borderId="0" xfId="0" applyFill="1"/>
  </cellXfs>
  <cellStyles count="2">
    <cellStyle name="Normal" xfId="0" builtinId="0"/>
    <cellStyle name="zenny" xfId="1"/>
  </cellStyles>
  <dxfs count="0"/>
  <tableStyles count="0" defaultTableStyle="TableStyleMedium9" defaultPivotStyle="PivotStyleLight16"/>
  <colors>
    <mruColors>
      <color rgb="FF89FFFF"/>
      <color rgb="FF5BFFFF"/>
      <color rgb="FF646200"/>
      <color rgb="FFACA800"/>
      <color rgb="FFBCB800"/>
      <color rgb="FF500000"/>
      <color rgb="FF462300"/>
      <color rgb="FF580058"/>
      <color rgb="FF000099"/>
      <color rgb="FF00FFFF"/>
    </mru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19</xdr:col>
      <xdr:colOff>76200</xdr:colOff>
      <xdr:row>1</xdr:row>
      <xdr:rowOff>19050</xdr:rowOff>
    </xdr:from>
    <xdr:to>
      <xdr:col>21</xdr:col>
      <xdr:colOff>156416</xdr:colOff>
      <xdr:row>5</xdr:row>
      <xdr:rowOff>76200</xdr:rowOff>
    </xdr:to>
    <xdr:pic>
      <xdr:nvPicPr>
        <xdr:cNvPr id="2" name="Picture 14"/>
        <xdr:cNvPicPr>
          <a:picLocks noChangeAspect="1" noChangeArrowheads="1"/>
        </xdr:cNvPicPr>
      </xdr:nvPicPr>
      <xdr:blipFill>
        <a:blip xmlns:r="http://schemas.openxmlformats.org/officeDocument/2006/relationships" r:embed="rId1" cstate="print"/>
        <a:srcRect/>
        <a:stretch>
          <a:fillRect/>
        </a:stretch>
      </xdr:blipFill>
      <xdr:spPr bwMode="auto">
        <a:xfrm>
          <a:off x="11458575" y="190500"/>
          <a:ext cx="1480391" cy="714375"/>
        </a:xfrm>
        <a:prstGeom prst="ellipse">
          <a:avLst/>
        </a:prstGeom>
        <a:ln>
          <a:noFill/>
        </a:ln>
        <a:effectLst>
          <a:softEdge rad="112500"/>
        </a:effectLst>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17</xdr:col>
      <xdr:colOff>352425</xdr:colOff>
      <xdr:row>0</xdr:row>
      <xdr:rowOff>142875</xdr:rowOff>
    </xdr:from>
    <xdr:to>
      <xdr:col>20</xdr:col>
      <xdr:colOff>346916</xdr:colOff>
      <xdr:row>5</xdr:row>
      <xdr:rowOff>28575</xdr:rowOff>
    </xdr:to>
    <xdr:pic>
      <xdr:nvPicPr>
        <xdr:cNvPr id="3" name="Picture 14"/>
        <xdr:cNvPicPr>
          <a:picLocks noChangeAspect="1" noChangeArrowheads="1"/>
        </xdr:cNvPicPr>
      </xdr:nvPicPr>
      <xdr:blipFill>
        <a:blip xmlns:r="http://schemas.openxmlformats.org/officeDocument/2006/relationships" r:embed="rId1" cstate="print"/>
        <a:srcRect/>
        <a:stretch>
          <a:fillRect/>
        </a:stretch>
      </xdr:blipFill>
      <xdr:spPr bwMode="auto">
        <a:xfrm>
          <a:off x="10182225" y="142875"/>
          <a:ext cx="1480391" cy="714375"/>
        </a:xfrm>
        <a:prstGeom prst="ellipse">
          <a:avLst/>
        </a:prstGeom>
        <a:ln>
          <a:noFill/>
        </a:ln>
        <a:effectLst>
          <a:softEdge rad="112500"/>
        </a:effectLst>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19</xdr:col>
      <xdr:colOff>76200</xdr:colOff>
      <xdr:row>1</xdr:row>
      <xdr:rowOff>19050</xdr:rowOff>
    </xdr:from>
    <xdr:to>
      <xdr:col>21</xdr:col>
      <xdr:colOff>356441</xdr:colOff>
      <xdr:row>4</xdr:row>
      <xdr:rowOff>76200</xdr:rowOff>
    </xdr:to>
    <xdr:pic>
      <xdr:nvPicPr>
        <xdr:cNvPr id="2" name="Picture 14"/>
        <xdr:cNvPicPr>
          <a:picLocks noChangeAspect="1" noChangeArrowheads="1"/>
        </xdr:cNvPicPr>
      </xdr:nvPicPr>
      <xdr:blipFill>
        <a:blip xmlns:r="http://schemas.openxmlformats.org/officeDocument/2006/relationships" r:embed="rId1" cstate="print"/>
        <a:srcRect/>
        <a:stretch>
          <a:fillRect/>
        </a:stretch>
      </xdr:blipFill>
      <xdr:spPr bwMode="auto">
        <a:xfrm>
          <a:off x="11668125" y="190500"/>
          <a:ext cx="1480391" cy="714375"/>
        </a:xfrm>
        <a:prstGeom prst="ellipse">
          <a:avLst/>
        </a:prstGeom>
        <a:ln>
          <a:noFill/>
        </a:ln>
        <a:effectLst>
          <a:softEdge rad="112500"/>
        </a:effectLst>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19</xdr:col>
      <xdr:colOff>76200</xdr:colOff>
      <xdr:row>1</xdr:row>
      <xdr:rowOff>19050</xdr:rowOff>
    </xdr:from>
    <xdr:to>
      <xdr:col>21</xdr:col>
      <xdr:colOff>356441</xdr:colOff>
      <xdr:row>5</xdr:row>
      <xdr:rowOff>76200</xdr:rowOff>
    </xdr:to>
    <xdr:pic>
      <xdr:nvPicPr>
        <xdr:cNvPr id="2" name="Picture 14"/>
        <xdr:cNvPicPr>
          <a:picLocks noChangeAspect="1" noChangeArrowheads="1"/>
        </xdr:cNvPicPr>
      </xdr:nvPicPr>
      <xdr:blipFill>
        <a:blip xmlns:r="http://schemas.openxmlformats.org/officeDocument/2006/relationships" r:embed="rId1" cstate="print"/>
        <a:srcRect/>
        <a:stretch>
          <a:fillRect/>
        </a:stretch>
      </xdr:blipFill>
      <xdr:spPr bwMode="auto">
        <a:xfrm>
          <a:off x="11668125" y="190500"/>
          <a:ext cx="1480391" cy="714375"/>
        </a:xfrm>
        <a:prstGeom prst="ellipse">
          <a:avLst/>
        </a:prstGeom>
        <a:ln>
          <a:noFill/>
        </a:ln>
        <a:effectLst>
          <a:softEdge rad="112500"/>
        </a:effec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19</xdr:col>
      <xdr:colOff>76200</xdr:colOff>
      <xdr:row>1</xdr:row>
      <xdr:rowOff>19050</xdr:rowOff>
    </xdr:from>
    <xdr:to>
      <xdr:col>22</xdr:col>
      <xdr:colOff>118316</xdr:colOff>
      <xdr:row>4</xdr:row>
      <xdr:rowOff>133350</xdr:rowOff>
    </xdr:to>
    <xdr:pic>
      <xdr:nvPicPr>
        <xdr:cNvPr id="2" name="Picture 14"/>
        <xdr:cNvPicPr>
          <a:picLocks noChangeAspect="1" noChangeArrowheads="1"/>
        </xdr:cNvPicPr>
      </xdr:nvPicPr>
      <xdr:blipFill>
        <a:blip xmlns:r="http://schemas.openxmlformats.org/officeDocument/2006/relationships" r:embed="rId1" cstate="print"/>
        <a:srcRect/>
        <a:stretch>
          <a:fillRect/>
        </a:stretch>
      </xdr:blipFill>
      <xdr:spPr bwMode="auto">
        <a:xfrm>
          <a:off x="11620500" y="190500"/>
          <a:ext cx="1480391" cy="714375"/>
        </a:xfrm>
        <a:prstGeom prst="ellipse">
          <a:avLst/>
        </a:prstGeom>
        <a:ln>
          <a:noFill/>
        </a:ln>
        <a:effectLst>
          <a:softEdge rad="112500"/>
        </a:effec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19</xdr:col>
      <xdr:colOff>76200</xdr:colOff>
      <xdr:row>1</xdr:row>
      <xdr:rowOff>19050</xdr:rowOff>
    </xdr:from>
    <xdr:to>
      <xdr:col>21</xdr:col>
      <xdr:colOff>375491</xdr:colOff>
      <xdr:row>5</xdr:row>
      <xdr:rowOff>76200</xdr:rowOff>
    </xdr:to>
    <xdr:pic>
      <xdr:nvPicPr>
        <xdr:cNvPr id="2" name="Picture 14"/>
        <xdr:cNvPicPr>
          <a:picLocks noChangeAspect="1" noChangeArrowheads="1"/>
        </xdr:cNvPicPr>
      </xdr:nvPicPr>
      <xdr:blipFill>
        <a:blip xmlns:r="http://schemas.openxmlformats.org/officeDocument/2006/relationships" r:embed="rId1" cstate="print"/>
        <a:srcRect/>
        <a:stretch>
          <a:fillRect/>
        </a:stretch>
      </xdr:blipFill>
      <xdr:spPr bwMode="auto">
        <a:xfrm>
          <a:off x="11668125" y="190500"/>
          <a:ext cx="1480391" cy="714375"/>
        </a:xfrm>
        <a:prstGeom prst="ellipse">
          <a:avLst/>
        </a:prstGeom>
        <a:ln>
          <a:noFill/>
        </a:ln>
        <a:effectLst>
          <a:softEdge rad="112500"/>
        </a:effec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19</xdr:col>
      <xdr:colOff>76200</xdr:colOff>
      <xdr:row>1</xdr:row>
      <xdr:rowOff>19050</xdr:rowOff>
    </xdr:from>
    <xdr:to>
      <xdr:col>21</xdr:col>
      <xdr:colOff>356441</xdr:colOff>
      <xdr:row>5</xdr:row>
      <xdr:rowOff>76200</xdr:rowOff>
    </xdr:to>
    <xdr:pic>
      <xdr:nvPicPr>
        <xdr:cNvPr id="2" name="Picture 14"/>
        <xdr:cNvPicPr>
          <a:picLocks noChangeAspect="1" noChangeArrowheads="1"/>
        </xdr:cNvPicPr>
      </xdr:nvPicPr>
      <xdr:blipFill>
        <a:blip xmlns:r="http://schemas.openxmlformats.org/officeDocument/2006/relationships" r:embed="rId1" cstate="print"/>
        <a:srcRect/>
        <a:stretch>
          <a:fillRect/>
        </a:stretch>
      </xdr:blipFill>
      <xdr:spPr bwMode="auto">
        <a:xfrm>
          <a:off x="11668125" y="190500"/>
          <a:ext cx="1480391" cy="714375"/>
        </a:xfrm>
        <a:prstGeom prst="ellipse">
          <a:avLst/>
        </a:prstGeom>
        <a:ln>
          <a:noFill/>
        </a:ln>
        <a:effectLst>
          <a:softEdge rad="112500"/>
        </a:effec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19</xdr:col>
      <xdr:colOff>76200</xdr:colOff>
      <xdr:row>1</xdr:row>
      <xdr:rowOff>19050</xdr:rowOff>
    </xdr:from>
    <xdr:to>
      <xdr:col>21</xdr:col>
      <xdr:colOff>394541</xdr:colOff>
      <xdr:row>5</xdr:row>
      <xdr:rowOff>76200</xdr:rowOff>
    </xdr:to>
    <xdr:pic>
      <xdr:nvPicPr>
        <xdr:cNvPr id="2" name="Picture 14"/>
        <xdr:cNvPicPr>
          <a:picLocks noChangeAspect="1" noChangeArrowheads="1"/>
        </xdr:cNvPicPr>
      </xdr:nvPicPr>
      <xdr:blipFill>
        <a:blip xmlns:r="http://schemas.openxmlformats.org/officeDocument/2006/relationships" r:embed="rId1" cstate="print"/>
        <a:srcRect/>
        <a:stretch>
          <a:fillRect/>
        </a:stretch>
      </xdr:blipFill>
      <xdr:spPr bwMode="auto">
        <a:xfrm>
          <a:off x="11668125" y="190500"/>
          <a:ext cx="1480391" cy="714375"/>
        </a:xfrm>
        <a:prstGeom prst="ellipse">
          <a:avLst/>
        </a:prstGeom>
        <a:ln>
          <a:noFill/>
        </a:ln>
        <a:effectLst>
          <a:softEdge rad="112500"/>
        </a:effec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19</xdr:col>
      <xdr:colOff>76200</xdr:colOff>
      <xdr:row>1</xdr:row>
      <xdr:rowOff>19050</xdr:rowOff>
    </xdr:from>
    <xdr:to>
      <xdr:col>21</xdr:col>
      <xdr:colOff>356441</xdr:colOff>
      <xdr:row>5</xdr:row>
      <xdr:rowOff>76200</xdr:rowOff>
    </xdr:to>
    <xdr:pic>
      <xdr:nvPicPr>
        <xdr:cNvPr id="2" name="Picture 14"/>
        <xdr:cNvPicPr>
          <a:picLocks noChangeAspect="1" noChangeArrowheads="1"/>
        </xdr:cNvPicPr>
      </xdr:nvPicPr>
      <xdr:blipFill>
        <a:blip xmlns:r="http://schemas.openxmlformats.org/officeDocument/2006/relationships" r:embed="rId1" cstate="print"/>
        <a:srcRect/>
        <a:stretch>
          <a:fillRect/>
        </a:stretch>
      </xdr:blipFill>
      <xdr:spPr bwMode="auto">
        <a:xfrm>
          <a:off x="11668125" y="190500"/>
          <a:ext cx="1480391" cy="714375"/>
        </a:xfrm>
        <a:prstGeom prst="ellipse">
          <a:avLst/>
        </a:prstGeom>
        <a:ln>
          <a:noFill/>
        </a:ln>
        <a:effectLst>
          <a:softEdge rad="112500"/>
        </a:effec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19</xdr:col>
      <xdr:colOff>542925</xdr:colOff>
      <xdr:row>0</xdr:row>
      <xdr:rowOff>133350</xdr:rowOff>
    </xdr:from>
    <xdr:to>
      <xdr:col>22</xdr:col>
      <xdr:colOff>270716</xdr:colOff>
      <xdr:row>4</xdr:row>
      <xdr:rowOff>123825</xdr:rowOff>
    </xdr:to>
    <xdr:pic>
      <xdr:nvPicPr>
        <xdr:cNvPr id="4" name="Picture 14"/>
        <xdr:cNvPicPr>
          <a:picLocks noChangeAspect="1" noChangeArrowheads="1"/>
        </xdr:cNvPicPr>
      </xdr:nvPicPr>
      <xdr:blipFill>
        <a:blip xmlns:r="http://schemas.openxmlformats.org/officeDocument/2006/relationships" r:embed="rId1" cstate="print"/>
        <a:srcRect/>
        <a:stretch>
          <a:fillRect/>
        </a:stretch>
      </xdr:blipFill>
      <xdr:spPr bwMode="auto">
        <a:xfrm>
          <a:off x="11858625" y="133350"/>
          <a:ext cx="1480391" cy="714375"/>
        </a:xfrm>
        <a:prstGeom prst="ellipse">
          <a:avLst/>
        </a:prstGeom>
        <a:ln>
          <a:noFill/>
        </a:ln>
        <a:effectLst>
          <a:softEdge rad="112500"/>
        </a:effec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19</xdr:col>
      <xdr:colOff>0</xdr:colOff>
      <xdr:row>1</xdr:row>
      <xdr:rowOff>0</xdr:rowOff>
    </xdr:from>
    <xdr:to>
      <xdr:col>21</xdr:col>
      <xdr:colOff>356441</xdr:colOff>
      <xdr:row>5</xdr:row>
      <xdr:rowOff>104775</xdr:rowOff>
    </xdr:to>
    <xdr:pic>
      <xdr:nvPicPr>
        <xdr:cNvPr id="4" name="Picture 14"/>
        <xdr:cNvPicPr>
          <a:picLocks noChangeAspect="1" noChangeArrowheads="1"/>
        </xdr:cNvPicPr>
      </xdr:nvPicPr>
      <xdr:blipFill>
        <a:blip xmlns:r="http://schemas.openxmlformats.org/officeDocument/2006/relationships" r:embed="rId1" cstate="print"/>
        <a:srcRect/>
        <a:stretch>
          <a:fillRect/>
        </a:stretch>
      </xdr:blipFill>
      <xdr:spPr bwMode="auto">
        <a:xfrm>
          <a:off x="10982325" y="171450"/>
          <a:ext cx="1480391" cy="714375"/>
        </a:xfrm>
        <a:prstGeom prst="ellipse">
          <a:avLst/>
        </a:prstGeom>
        <a:ln>
          <a:noFill/>
        </a:ln>
        <a:effectLst>
          <a:softEdge rad="112500"/>
        </a:effec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19</xdr:col>
      <xdr:colOff>76200</xdr:colOff>
      <xdr:row>1</xdr:row>
      <xdr:rowOff>19050</xdr:rowOff>
    </xdr:from>
    <xdr:to>
      <xdr:col>22</xdr:col>
      <xdr:colOff>32591</xdr:colOff>
      <xdr:row>5</xdr:row>
      <xdr:rowOff>76200</xdr:rowOff>
    </xdr:to>
    <xdr:pic>
      <xdr:nvPicPr>
        <xdr:cNvPr id="3" name="Picture 14"/>
        <xdr:cNvPicPr>
          <a:picLocks noChangeAspect="1" noChangeArrowheads="1"/>
        </xdr:cNvPicPr>
      </xdr:nvPicPr>
      <xdr:blipFill>
        <a:blip xmlns:r="http://schemas.openxmlformats.org/officeDocument/2006/relationships" r:embed="rId1" cstate="print"/>
        <a:srcRect/>
        <a:stretch>
          <a:fillRect/>
        </a:stretch>
      </xdr:blipFill>
      <xdr:spPr bwMode="auto">
        <a:xfrm>
          <a:off x="11420475" y="190500"/>
          <a:ext cx="1480391" cy="714375"/>
        </a:xfrm>
        <a:prstGeom prst="ellipse">
          <a:avLst/>
        </a:prstGeom>
        <a:ln>
          <a:noFill/>
        </a:ln>
        <a:effectLst>
          <a:softEdge rad="112500"/>
        </a:effec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tabColor theme="6" tint="-0.499984740745262"/>
  </sheetPr>
  <dimension ref="A1:Y90"/>
  <sheetViews>
    <sheetView topLeftCell="G1" workbookViewId="0">
      <pane ySplit="7" topLeftCell="A83" activePane="bottomLeft" state="frozen"/>
      <selection pane="bottomLeft" activeCell="X89" sqref="X89"/>
    </sheetView>
  </sheetViews>
  <sheetFormatPr baseColWidth="10" defaultRowHeight="12.75"/>
  <cols>
    <col min="1" max="1" width="8" customWidth="1"/>
    <col min="2" max="2" width="6" customWidth="1"/>
    <col min="3" max="3" width="13.7109375" customWidth="1"/>
    <col min="4" max="4" width="12" customWidth="1"/>
    <col min="5" max="5" width="8.85546875" customWidth="1"/>
    <col min="6" max="6" width="39.5703125" customWidth="1"/>
    <col min="7" max="7" width="6.5703125" customWidth="1"/>
    <col min="8" max="8" width="8.28515625" customWidth="1"/>
    <col min="9" max="9" width="12.28515625" customWidth="1"/>
    <col min="10" max="10" width="13.5703125" customWidth="1"/>
    <col min="11" max="11" width="10.85546875" customWidth="1"/>
    <col min="12" max="12" width="11.42578125" customWidth="1"/>
    <col min="13" max="13" width="11.5703125" customWidth="1"/>
    <col min="14" max="14" width="9" customWidth="1"/>
    <col min="15" max="15" width="12.42578125" customWidth="1"/>
    <col min="16" max="16" width="11.140625" customWidth="1"/>
    <col min="17" max="17" width="12.42578125" customWidth="1"/>
    <col min="18" max="18" width="13.42578125" customWidth="1"/>
    <col min="19" max="20" width="11.42578125" customWidth="1"/>
    <col min="21" max="21" width="9.5703125" customWidth="1"/>
    <col min="22" max="22" width="13.85546875" customWidth="1"/>
    <col min="23" max="23" width="11.5703125" customWidth="1"/>
    <col min="24" max="24" width="11.140625" customWidth="1"/>
    <col min="25" max="25" width="8" customWidth="1"/>
  </cols>
  <sheetData>
    <row r="1" spans="1:25" ht="13.5">
      <c r="A1" s="35" t="s">
        <v>12</v>
      </c>
      <c r="B1" s="3"/>
      <c r="C1" s="3"/>
      <c r="N1" s="5"/>
    </row>
    <row r="2" spans="1:25" ht="13.5">
      <c r="A2" s="35" t="s">
        <v>13</v>
      </c>
      <c r="B2" s="3"/>
      <c r="C2" s="3"/>
      <c r="D2" s="2"/>
      <c r="N2" s="5"/>
      <c r="P2" s="4"/>
      <c r="Q2" s="4"/>
      <c r="R2" s="4"/>
      <c r="S2" s="4"/>
    </row>
    <row r="3" spans="1:25" ht="12.75" customHeight="1">
      <c r="A3" s="36" t="s">
        <v>14</v>
      </c>
      <c r="B3" s="3"/>
      <c r="C3" s="3"/>
      <c r="D3" s="2"/>
      <c r="E3" s="361" t="s">
        <v>146</v>
      </c>
      <c r="F3" s="361"/>
      <c r="G3" s="361"/>
      <c r="H3" s="361"/>
      <c r="I3" s="361"/>
      <c r="J3" s="361"/>
      <c r="K3" s="361"/>
      <c r="L3" s="361"/>
      <c r="M3" s="361"/>
      <c r="N3" s="5"/>
      <c r="P3" s="4"/>
      <c r="Q3" s="4"/>
      <c r="R3" s="4"/>
      <c r="S3" s="4"/>
    </row>
    <row r="4" spans="1:25" ht="12.75" customHeight="1">
      <c r="A4" s="36" t="s">
        <v>34</v>
      </c>
      <c r="B4" s="3"/>
      <c r="C4" s="3"/>
      <c r="D4" s="2" t="s">
        <v>16</v>
      </c>
      <c r="E4" s="361"/>
      <c r="F4" s="361"/>
      <c r="G4" s="361"/>
      <c r="H4" s="361"/>
      <c r="I4" s="361"/>
      <c r="J4" s="361"/>
      <c r="K4" s="361"/>
      <c r="L4" s="361"/>
      <c r="M4" s="361"/>
      <c r="N4" s="5"/>
      <c r="P4" s="4"/>
      <c r="Q4" s="4"/>
      <c r="R4" s="4"/>
      <c r="S4" s="4"/>
    </row>
    <row r="5" spans="1:25" ht="12.75" customHeight="1">
      <c r="A5" s="19" t="s">
        <v>15</v>
      </c>
      <c r="B5" s="3"/>
      <c r="C5" s="3"/>
      <c r="D5" s="2"/>
      <c r="E5" s="6"/>
      <c r="F5" s="6"/>
      <c r="G5" s="6"/>
      <c r="H5" s="6"/>
      <c r="I5" s="6"/>
      <c r="N5" s="5"/>
      <c r="P5" s="4"/>
      <c r="Q5" s="4"/>
      <c r="R5" s="4"/>
      <c r="S5" s="4"/>
    </row>
    <row r="6" spans="1:25" ht="25.5" thickBot="1">
      <c r="A6" s="255" t="s">
        <v>1739</v>
      </c>
      <c r="B6" s="4"/>
      <c r="C6" s="256"/>
      <c r="D6" s="256"/>
      <c r="E6" s="4"/>
      <c r="F6" s="257"/>
      <c r="G6" s="258"/>
      <c r="H6" s="258"/>
      <c r="I6" s="259"/>
      <c r="J6" s="259"/>
      <c r="K6" s="259"/>
      <c r="L6" s="4"/>
      <c r="M6" s="4"/>
      <c r="N6" s="4"/>
      <c r="O6" s="4"/>
    </row>
    <row r="7" spans="1:25" s="13" customFormat="1" ht="26.25" customHeight="1" thickBot="1">
      <c r="A7" s="9" t="s">
        <v>0</v>
      </c>
      <c r="B7" s="10" t="s">
        <v>1</v>
      </c>
      <c r="C7" s="9" t="s">
        <v>19</v>
      </c>
      <c r="D7" s="33" t="s">
        <v>18</v>
      </c>
      <c r="E7" s="12" t="s">
        <v>9</v>
      </c>
      <c r="F7" s="9" t="s">
        <v>2</v>
      </c>
      <c r="G7" s="8" t="s">
        <v>20</v>
      </c>
      <c r="H7" s="8" t="s">
        <v>405</v>
      </c>
      <c r="I7" s="305" t="s">
        <v>3</v>
      </c>
      <c r="J7" s="31" t="s">
        <v>10</v>
      </c>
      <c r="K7" s="61" t="s">
        <v>11</v>
      </c>
      <c r="L7" s="62" t="s">
        <v>29</v>
      </c>
      <c r="M7" s="16" t="s">
        <v>6</v>
      </c>
      <c r="N7" s="63" t="s">
        <v>147</v>
      </c>
      <c r="O7" s="64" t="s">
        <v>148</v>
      </c>
      <c r="P7" s="65" t="s">
        <v>149</v>
      </c>
      <c r="Q7" s="311" t="s">
        <v>8</v>
      </c>
      <c r="R7" s="31" t="s">
        <v>4</v>
      </c>
      <c r="S7" s="61" t="s">
        <v>5</v>
      </c>
      <c r="T7" s="62" t="s">
        <v>31</v>
      </c>
      <c r="U7" s="9" t="s">
        <v>7</v>
      </c>
      <c r="V7" s="63" t="s">
        <v>150</v>
      </c>
      <c r="W7" s="64" t="s">
        <v>151</v>
      </c>
      <c r="X7" s="65" t="s">
        <v>152</v>
      </c>
      <c r="Y7" s="9" t="s">
        <v>22</v>
      </c>
    </row>
    <row r="8" spans="1:25" s="7" customFormat="1" ht="12" customHeight="1">
      <c r="A8" s="102">
        <v>40182</v>
      </c>
      <c r="B8" s="248">
        <v>290</v>
      </c>
      <c r="C8" s="103" t="s">
        <v>40</v>
      </c>
      <c r="D8" s="92" t="s">
        <v>42</v>
      </c>
      <c r="E8" s="41">
        <v>21</v>
      </c>
      <c r="F8" s="103" t="s">
        <v>43</v>
      </c>
      <c r="G8" s="59">
        <v>34</v>
      </c>
      <c r="H8" s="149">
        <f>E8*G8</f>
        <v>714</v>
      </c>
      <c r="I8" s="355">
        <v>3.5</v>
      </c>
      <c r="J8" s="249">
        <v>1.76</v>
      </c>
      <c r="K8" s="250">
        <v>0</v>
      </c>
      <c r="L8" s="251">
        <v>0</v>
      </c>
      <c r="M8" s="158">
        <f>J8+K8</f>
        <v>1.76</v>
      </c>
      <c r="N8" s="159">
        <v>0.28999999999999998</v>
      </c>
      <c r="O8" s="160">
        <v>0.1</v>
      </c>
      <c r="P8" s="161">
        <v>0.1</v>
      </c>
      <c r="Q8" s="308">
        <f t="shared" ref="Q8:Q71" si="0">E8*I8</f>
        <v>73.5</v>
      </c>
      <c r="R8" s="162">
        <f t="shared" ref="R8:R71" si="1">E8*J8</f>
        <v>36.96</v>
      </c>
      <c r="S8" s="163">
        <f t="shared" ref="S8:S71" si="2">E8*K8</f>
        <v>0</v>
      </c>
      <c r="T8" s="164">
        <f t="shared" ref="T8:T71" si="3">E8*L8</f>
        <v>0</v>
      </c>
      <c r="U8" s="158">
        <f t="shared" ref="U8:U71" si="4">E8*M8</f>
        <v>36.96</v>
      </c>
      <c r="V8" s="159">
        <f t="shared" ref="V8:V71" si="5">N8*E8</f>
        <v>6.09</v>
      </c>
      <c r="W8" s="160">
        <f t="shared" ref="W8:W71" si="6">O8*E8</f>
        <v>2.1</v>
      </c>
      <c r="X8" s="161">
        <f t="shared" ref="X8:X71" si="7">P8*E8</f>
        <v>2.1</v>
      </c>
      <c r="Y8" s="252"/>
    </row>
    <row r="9" spans="1:25" s="7" customFormat="1" ht="12" customHeight="1">
      <c r="A9" s="147"/>
      <c r="B9" s="47"/>
      <c r="C9" s="42" t="s">
        <v>40</v>
      </c>
      <c r="D9" s="43" t="s">
        <v>42</v>
      </c>
      <c r="E9" s="40">
        <v>15</v>
      </c>
      <c r="F9" s="42" t="s">
        <v>43</v>
      </c>
      <c r="G9" s="55">
        <v>38</v>
      </c>
      <c r="H9" s="150">
        <f>E9*G9</f>
        <v>570</v>
      </c>
      <c r="I9" s="306">
        <v>3.5</v>
      </c>
      <c r="J9" s="155">
        <v>5.52</v>
      </c>
      <c r="K9" s="156">
        <v>0</v>
      </c>
      <c r="L9" s="157">
        <v>0</v>
      </c>
      <c r="M9" s="165">
        <f>J9+K9</f>
        <v>5.52</v>
      </c>
      <c r="N9" s="166">
        <v>0.28999999999999998</v>
      </c>
      <c r="O9" s="167">
        <v>0.1</v>
      </c>
      <c r="P9" s="168">
        <v>0.1</v>
      </c>
      <c r="Q9" s="309">
        <f t="shared" si="0"/>
        <v>52.5</v>
      </c>
      <c r="R9" s="152">
        <f t="shared" si="1"/>
        <v>82.8</v>
      </c>
      <c r="S9" s="154">
        <f t="shared" si="2"/>
        <v>0</v>
      </c>
      <c r="T9" s="169">
        <f t="shared" si="3"/>
        <v>0</v>
      </c>
      <c r="U9" s="165">
        <f t="shared" si="4"/>
        <v>82.8</v>
      </c>
      <c r="V9" s="166">
        <f t="shared" si="5"/>
        <v>4.3499999999999996</v>
      </c>
      <c r="W9" s="167">
        <f t="shared" si="6"/>
        <v>1.5</v>
      </c>
      <c r="X9" s="168">
        <f t="shared" si="7"/>
        <v>1.5</v>
      </c>
      <c r="Y9" s="14"/>
    </row>
    <row r="10" spans="1:25" s="7" customFormat="1" ht="12" customHeight="1">
      <c r="A10" s="147">
        <v>40183</v>
      </c>
      <c r="B10" s="47">
        <v>291</v>
      </c>
      <c r="C10" s="28" t="s">
        <v>32</v>
      </c>
      <c r="D10" s="30" t="s">
        <v>28</v>
      </c>
      <c r="E10" s="40">
        <v>120</v>
      </c>
      <c r="F10" s="28" t="s">
        <v>44</v>
      </c>
      <c r="G10" s="53">
        <v>40</v>
      </c>
      <c r="H10" s="150">
        <f t="shared" ref="H10:H73" si="8">E10*G10</f>
        <v>4800</v>
      </c>
      <c r="I10" s="306">
        <v>3.5</v>
      </c>
      <c r="J10" s="155">
        <v>5.87</v>
      </c>
      <c r="K10" s="156">
        <v>0</v>
      </c>
      <c r="L10" s="157">
        <v>0</v>
      </c>
      <c r="M10" s="165">
        <f t="shared" ref="M10:M73" si="9">J10+K10</f>
        <v>5.87</v>
      </c>
      <c r="N10" s="166">
        <v>0.33</v>
      </c>
      <c r="O10" s="167">
        <v>0.1</v>
      </c>
      <c r="P10" s="168">
        <v>0.1</v>
      </c>
      <c r="Q10" s="309">
        <f t="shared" si="0"/>
        <v>420</v>
      </c>
      <c r="R10" s="152">
        <f t="shared" si="1"/>
        <v>704.4</v>
      </c>
      <c r="S10" s="154">
        <f t="shared" si="2"/>
        <v>0</v>
      </c>
      <c r="T10" s="169">
        <f t="shared" si="3"/>
        <v>0</v>
      </c>
      <c r="U10" s="153">
        <f t="shared" si="4"/>
        <v>704.4</v>
      </c>
      <c r="V10" s="166">
        <f t="shared" si="5"/>
        <v>39.6</v>
      </c>
      <c r="W10" s="167">
        <f t="shared" si="6"/>
        <v>12</v>
      </c>
      <c r="X10" s="168">
        <f t="shared" si="7"/>
        <v>12</v>
      </c>
      <c r="Y10" s="14"/>
    </row>
    <row r="11" spans="1:25" s="7" customFormat="1" ht="12" customHeight="1">
      <c r="A11" s="147">
        <v>40181</v>
      </c>
      <c r="B11" s="47">
        <v>292</v>
      </c>
      <c r="C11" s="28" t="s">
        <v>45</v>
      </c>
      <c r="D11" s="30"/>
      <c r="E11" s="40">
        <v>80</v>
      </c>
      <c r="F11" s="28" t="s">
        <v>46</v>
      </c>
      <c r="G11" s="53">
        <v>13.5</v>
      </c>
      <c r="H11" s="150">
        <f t="shared" si="8"/>
        <v>1080</v>
      </c>
      <c r="I11" s="306">
        <v>2</v>
      </c>
      <c r="J11" s="155">
        <v>1.44</v>
      </c>
      <c r="K11" s="156">
        <v>0</v>
      </c>
      <c r="L11" s="157">
        <v>0</v>
      </c>
      <c r="M11" s="165">
        <f t="shared" si="9"/>
        <v>1.44</v>
      </c>
      <c r="N11" s="166">
        <v>0.33</v>
      </c>
      <c r="O11" s="167">
        <v>0.1</v>
      </c>
      <c r="P11" s="168">
        <v>0.1</v>
      </c>
      <c r="Q11" s="309">
        <f t="shared" si="0"/>
        <v>160</v>
      </c>
      <c r="R11" s="152">
        <f t="shared" si="1"/>
        <v>115.19999999999999</v>
      </c>
      <c r="S11" s="154">
        <f t="shared" si="2"/>
        <v>0</v>
      </c>
      <c r="T11" s="169">
        <f t="shared" si="3"/>
        <v>0</v>
      </c>
      <c r="U11" s="153">
        <f t="shared" si="4"/>
        <v>115.19999999999999</v>
      </c>
      <c r="V11" s="166">
        <f t="shared" si="5"/>
        <v>26.400000000000002</v>
      </c>
      <c r="W11" s="167">
        <f t="shared" si="6"/>
        <v>8</v>
      </c>
      <c r="X11" s="168">
        <f t="shared" si="7"/>
        <v>8</v>
      </c>
      <c r="Y11" s="14"/>
    </row>
    <row r="12" spans="1:25" s="7" customFormat="1" ht="12" customHeight="1">
      <c r="A12" s="147">
        <v>40183</v>
      </c>
      <c r="B12" s="47">
        <v>293</v>
      </c>
      <c r="C12" s="28" t="s">
        <v>30</v>
      </c>
      <c r="D12" s="43" t="s">
        <v>42</v>
      </c>
      <c r="E12" s="40">
        <v>117</v>
      </c>
      <c r="F12" s="28" t="s">
        <v>47</v>
      </c>
      <c r="G12" s="53">
        <v>12.7</v>
      </c>
      <c r="H12" s="150">
        <f t="shared" si="8"/>
        <v>1485.8999999999999</v>
      </c>
      <c r="I12" s="306">
        <v>1.5</v>
      </c>
      <c r="J12" s="155">
        <v>2.27</v>
      </c>
      <c r="K12" s="156">
        <v>2</v>
      </c>
      <c r="L12" s="157">
        <v>0.3</v>
      </c>
      <c r="M12" s="165">
        <f t="shared" si="9"/>
        <v>4.2699999999999996</v>
      </c>
      <c r="N12" s="166">
        <v>0</v>
      </c>
      <c r="O12" s="167">
        <v>0.1</v>
      </c>
      <c r="P12" s="168">
        <v>0.1</v>
      </c>
      <c r="Q12" s="309">
        <f t="shared" si="0"/>
        <v>175.5</v>
      </c>
      <c r="R12" s="152">
        <f t="shared" si="1"/>
        <v>265.58999999999997</v>
      </c>
      <c r="S12" s="154">
        <f t="shared" si="2"/>
        <v>234</v>
      </c>
      <c r="T12" s="169">
        <f t="shared" si="3"/>
        <v>35.1</v>
      </c>
      <c r="U12" s="153">
        <f t="shared" si="4"/>
        <v>499.59</v>
      </c>
      <c r="V12" s="166">
        <f t="shared" si="5"/>
        <v>0</v>
      </c>
      <c r="W12" s="167">
        <f t="shared" si="6"/>
        <v>11.700000000000001</v>
      </c>
      <c r="X12" s="168">
        <f t="shared" si="7"/>
        <v>11.700000000000001</v>
      </c>
      <c r="Y12" s="14"/>
    </row>
    <row r="13" spans="1:25" s="7" customFormat="1" ht="12" customHeight="1">
      <c r="A13" s="147">
        <v>40186</v>
      </c>
      <c r="B13" s="47">
        <v>294</v>
      </c>
      <c r="C13" s="28" t="s">
        <v>30</v>
      </c>
      <c r="D13" s="43" t="s">
        <v>42</v>
      </c>
      <c r="E13" s="40">
        <v>2590</v>
      </c>
      <c r="F13" s="28" t="s">
        <v>48</v>
      </c>
      <c r="G13" s="53">
        <v>12.7</v>
      </c>
      <c r="H13" s="150">
        <f t="shared" si="8"/>
        <v>32893</v>
      </c>
      <c r="I13" s="306">
        <v>1.5</v>
      </c>
      <c r="J13" s="155">
        <v>2.37</v>
      </c>
      <c r="K13" s="156">
        <v>0</v>
      </c>
      <c r="L13" s="157">
        <v>0</v>
      </c>
      <c r="M13" s="165">
        <f t="shared" si="9"/>
        <v>2.37</v>
      </c>
      <c r="N13" s="166">
        <v>0.33</v>
      </c>
      <c r="O13" s="167">
        <v>0.1</v>
      </c>
      <c r="P13" s="168">
        <v>0.1</v>
      </c>
      <c r="Q13" s="309">
        <f t="shared" si="0"/>
        <v>3885</v>
      </c>
      <c r="R13" s="152">
        <f t="shared" si="1"/>
        <v>6138.3</v>
      </c>
      <c r="S13" s="154">
        <f t="shared" si="2"/>
        <v>0</v>
      </c>
      <c r="T13" s="169">
        <f t="shared" si="3"/>
        <v>0</v>
      </c>
      <c r="U13" s="153">
        <f t="shared" si="4"/>
        <v>6138.3</v>
      </c>
      <c r="V13" s="166">
        <f t="shared" si="5"/>
        <v>854.7</v>
      </c>
      <c r="W13" s="167">
        <f t="shared" si="6"/>
        <v>259</v>
      </c>
      <c r="X13" s="168">
        <f t="shared" si="7"/>
        <v>259</v>
      </c>
      <c r="Y13" s="14"/>
    </row>
    <row r="14" spans="1:25" s="7" customFormat="1" ht="12" customHeight="1">
      <c r="A14" s="147">
        <v>40186</v>
      </c>
      <c r="B14" s="47">
        <v>295</v>
      </c>
      <c r="C14" s="28" t="s">
        <v>49</v>
      </c>
      <c r="D14" s="43" t="s">
        <v>42</v>
      </c>
      <c r="E14" s="40">
        <v>28</v>
      </c>
      <c r="F14" s="28" t="s">
        <v>50</v>
      </c>
      <c r="G14" s="53">
        <v>111</v>
      </c>
      <c r="H14" s="150">
        <f t="shared" si="8"/>
        <v>3108</v>
      </c>
      <c r="I14" s="306">
        <v>6</v>
      </c>
      <c r="J14" s="155">
        <v>18.7</v>
      </c>
      <c r="K14" s="156">
        <v>0</v>
      </c>
      <c r="L14" s="157">
        <v>0</v>
      </c>
      <c r="M14" s="165">
        <f t="shared" si="9"/>
        <v>18.7</v>
      </c>
      <c r="N14" s="166">
        <v>0.33</v>
      </c>
      <c r="O14" s="167">
        <v>0.1</v>
      </c>
      <c r="P14" s="168">
        <v>0.1</v>
      </c>
      <c r="Q14" s="309">
        <f t="shared" si="0"/>
        <v>168</v>
      </c>
      <c r="R14" s="152">
        <f t="shared" si="1"/>
        <v>523.6</v>
      </c>
      <c r="S14" s="154">
        <f t="shared" si="2"/>
        <v>0</v>
      </c>
      <c r="T14" s="169">
        <f t="shared" si="3"/>
        <v>0</v>
      </c>
      <c r="U14" s="153">
        <f t="shared" si="4"/>
        <v>523.6</v>
      </c>
      <c r="V14" s="166">
        <f t="shared" si="5"/>
        <v>9.24</v>
      </c>
      <c r="W14" s="167">
        <f t="shared" si="6"/>
        <v>2.8000000000000003</v>
      </c>
      <c r="X14" s="168">
        <f t="shared" si="7"/>
        <v>2.8000000000000003</v>
      </c>
      <c r="Y14" s="14"/>
    </row>
    <row r="15" spans="1:25" s="7" customFormat="1" ht="12" customHeight="1">
      <c r="A15" s="147"/>
      <c r="B15" s="47"/>
      <c r="C15" s="28" t="s">
        <v>49</v>
      </c>
      <c r="D15" s="43" t="s">
        <v>42</v>
      </c>
      <c r="E15" s="40">
        <v>3</v>
      </c>
      <c r="F15" s="28" t="s">
        <v>51</v>
      </c>
      <c r="G15" s="53">
        <v>111</v>
      </c>
      <c r="H15" s="150">
        <f t="shared" si="8"/>
        <v>333</v>
      </c>
      <c r="I15" s="306">
        <v>6</v>
      </c>
      <c r="J15" s="155">
        <v>21.2</v>
      </c>
      <c r="K15" s="156">
        <v>0</v>
      </c>
      <c r="L15" s="157">
        <v>0</v>
      </c>
      <c r="M15" s="165">
        <f t="shared" si="9"/>
        <v>21.2</v>
      </c>
      <c r="N15" s="166">
        <v>0</v>
      </c>
      <c r="O15" s="167">
        <v>0</v>
      </c>
      <c r="P15" s="168">
        <v>0</v>
      </c>
      <c r="Q15" s="309">
        <f t="shared" si="0"/>
        <v>18</v>
      </c>
      <c r="R15" s="152">
        <f t="shared" si="1"/>
        <v>63.599999999999994</v>
      </c>
      <c r="S15" s="154">
        <f t="shared" si="2"/>
        <v>0</v>
      </c>
      <c r="T15" s="169">
        <f t="shared" si="3"/>
        <v>0</v>
      </c>
      <c r="U15" s="153">
        <f t="shared" si="4"/>
        <v>63.599999999999994</v>
      </c>
      <c r="V15" s="166">
        <f t="shared" si="5"/>
        <v>0</v>
      </c>
      <c r="W15" s="167">
        <f t="shared" si="6"/>
        <v>0</v>
      </c>
      <c r="X15" s="168">
        <f t="shared" si="7"/>
        <v>0</v>
      </c>
      <c r="Y15" s="14"/>
    </row>
    <row r="16" spans="1:25" s="7" customFormat="1" ht="12" customHeight="1">
      <c r="A16" s="147"/>
      <c r="B16" s="47"/>
      <c r="C16" s="28" t="s">
        <v>49</v>
      </c>
      <c r="D16" s="43" t="s">
        <v>42</v>
      </c>
      <c r="E16" s="40">
        <v>43</v>
      </c>
      <c r="F16" s="28" t="s">
        <v>52</v>
      </c>
      <c r="G16" s="53">
        <v>106</v>
      </c>
      <c r="H16" s="150">
        <f t="shared" si="8"/>
        <v>4558</v>
      </c>
      <c r="I16" s="306">
        <v>6</v>
      </c>
      <c r="J16" s="155">
        <v>21.2</v>
      </c>
      <c r="K16" s="156">
        <v>0</v>
      </c>
      <c r="L16" s="157">
        <v>0</v>
      </c>
      <c r="M16" s="165">
        <f t="shared" si="9"/>
        <v>21.2</v>
      </c>
      <c r="N16" s="166">
        <v>0.75</v>
      </c>
      <c r="O16" s="167">
        <v>0.1</v>
      </c>
      <c r="P16" s="168">
        <v>0.1</v>
      </c>
      <c r="Q16" s="309">
        <f t="shared" si="0"/>
        <v>258</v>
      </c>
      <c r="R16" s="152">
        <f t="shared" si="1"/>
        <v>911.6</v>
      </c>
      <c r="S16" s="154">
        <f t="shared" si="2"/>
        <v>0</v>
      </c>
      <c r="T16" s="169">
        <f t="shared" si="3"/>
        <v>0</v>
      </c>
      <c r="U16" s="153">
        <f t="shared" si="4"/>
        <v>911.6</v>
      </c>
      <c r="V16" s="166">
        <f t="shared" si="5"/>
        <v>32.25</v>
      </c>
      <c r="W16" s="167">
        <f t="shared" si="6"/>
        <v>4.3</v>
      </c>
      <c r="X16" s="168">
        <f t="shared" si="7"/>
        <v>4.3</v>
      </c>
      <c r="Y16" s="14"/>
    </row>
    <row r="17" spans="1:25" s="7" customFormat="1" ht="12" customHeight="1">
      <c r="A17" s="147"/>
      <c r="B17" s="47"/>
      <c r="C17" s="28" t="s">
        <v>49</v>
      </c>
      <c r="D17" s="43" t="s">
        <v>42</v>
      </c>
      <c r="E17" s="40">
        <v>1</v>
      </c>
      <c r="F17" s="28" t="s">
        <v>53</v>
      </c>
      <c r="G17" s="53">
        <v>106</v>
      </c>
      <c r="H17" s="150">
        <f t="shared" si="8"/>
        <v>106</v>
      </c>
      <c r="I17" s="306">
        <v>6</v>
      </c>
      <c r="J17" s="155">
        <v>19.2</v>
      </c>
      <c r="K17" s="156">
        <v>0</v>
      </c>
      <c r="L17" s="157">
        <v>0</v>
      </c>
      <c r="M17" s="165">
        <f t="shared" si="9"/>
        <v>19.2</v>
      </c>
      <c r="N17" s="166">
        <v>1.25</v>
      </c>
      <c r="O17" s="167">
        <v>0.1</v>
      </c>
      <c r="P17" s="168">
        <v>0.1</v>
      </c>
      <c r="Q17" s="309">
        <f t="shared" si="0"/>
        <v>6</v>
      </c>
      <c r="R17" s="152">
        <f t="shared" si="1"/>
        <v>19.2</v>
      </c>
      <c r="S17" s="154">
        <f t="shared" si="2"/>
        <v>0</v>
      </c>
      <c r="T17" s="169">
        <f t="shared" si="3"/>
        <v>0</v>
      </c>
      <c r="U17" s="153">
        <f t="shared" si="4"/>
        <v>19.2</v>
      </c>
      <c r="V17" s="166">
        <f t="shared" si="5"/>
        <v>1.25</v>
      </c>
      <c r="W17" s="167">
        <f t="shared" si="6"/>
        <v>0.1</v>
      </c>
      <c r="X17" s="168">
        <f t="shared" si="7"/>
        <v>0.1</v>
      </c>
      <c r="Y17" s="14"/>
    </row>
    <row r="18" spans="1:25" s="7" customFormat="1" ht="12" customHeight="1">
      <c r="A18" s="147">
        <v>40185</v>
      </c>
      <c r="B18" s="47">
        <v>296</v>
      </c>
      <c r="C18" s="28" t="s">
        <v>54</v>
      </c>
      <c r="D18" s="30" t="s">
        <v>55</v>
      </c>
      <c r="E18" s="40">
        <v>3</v>
      </c>
      <c r="F18" s="28" t="s">
        <v>56</v>
      </c>
      <c r="G18" s="53">
        <v>37.5</v>
      </c>
      <c r="H18" s="150">
        <f t="shared" si="8"/>
        <v>112.5</v>
      </c>
      <c r="I18" s="306">
        <v>3.5</v>
      </c>
      <c r="J18" s="155">
        <v>8.8699999999999992</v>
      </c>
      <c r="K18" s="156">
        <v>2.5</v>
      </c>
      <c r="L18" s="157">
        <v>0.38</v>
      </c>
      <c r="M18" s="165">
        <f t="shared" si="9"/>
        <v>11.37</v>
      </c>
      <c r="N18" s="166">
        <v>0.33</v>
      </c>
      <c r="O18" s="167">
        <v>0.1</v>
      </c>
      <c r="P18" s="168">
        <v>0.1</v>
      </c>
      <c r="Q18" s="309">
        <f t="shared" si="0"/>
        <v>10.5</v>
      </c>
      <c r="R18" s="152">
        <f t="shared" si="1"/>
        <v>26.61</v>
      </c>
      <c r="S18" s="154">
        <f t="shared" si="2"/>
        <v>7.5</v>
      </c>
      <c r="T18" s="169">
        <f t="shared" si="3"/>
        <v>1.1400000000000001</v>
      </c>
      <c r="U18" s="153">
        <f t="shared" si="4"/>
        <v>34.11</v>
      </c>
      <c r="V18" s="166">
        <f t="shared" si="5"/>
        <v>0.99</v>
      </c>
      <c r="W18" s="167">
        <f t="shared" si="6"/>
        <v>0.30000000000000004</v>
      </c>
      <c r="X18" s="168">
        <f t="shared" si="7"/>
        <v>0.30000000000000004</v>
      </c>
      <c r="Y18" s="14"/>
    </row>
    <row r="19" spans="1:25" s="7" customFormat="1" ht="12" customHeight="1">
      <c r="A19" s="147"/>
      <c r="B19" s="47"/>
      <c r="C19" s="28" t="s">
        <v>54</v>
      </c>
      <c r="D19" s="30" t="s">
        <v>55</v>
      </c>
      <c r="E19" s="40">
        <v>3</v>
      </c>
      <c r="F19" s="28" t="s">
        <v>57</v>
      </c>
      <c r="G19" s="53">
        <v>37.5</v>
      </c>
      <c r="H19" s="150">
        <f t="shared" si="8"/>
        <v>112.5</v>
      </c>
      <c r="I19" s="306">
        <v>3.5</v>
      </c>
      <c r="J19" s="155">
        <v>8.8699999999999992</v>
      </c>
      <c r="K19" s="156">
        <v>2.5</v>
      </c>
      <c r="L19" s="157">
        <v>0.38</v>
      </c>
      <c r="M19" s="165">
        <f t="shared" si="9"/>
        <v>11.37</v>
      </c>
      <c r="N19" s="166">
        <v>0.33</v>
      </c>
      <c r="O19" s="167">
        <v>0.1</v>
      </c>
      <c r="P19" s="168">
        <v>0.1</v>
      </c>
      <c r="Q19" s="309">
        <f t="shared" si="0"/>
        <v>10.5</v>
      </c>
      <c r="R19" s="152">
        <f t="shared" si="1"/>
        <v>26.61</v>
      </c>
      <c r="S19" s="154">
        <f t="shared" si="2"/>
        <v>7.5</v>
      </c>
      <c r="T19" s="169">
        <f t="shared" si="3"/>
        <v>1.1400000000000001</v>
      </c>
      <c r="U19" s="153">
        <f t="shared" si="4"/>
        <v>34.11</v>
      </c>
      <c r="V19" s="166">
        <f t="shared" si="5"/>
        <v>0.99</v>
      </c>
      <c r="W19" s="167">
        <f t="shared" si="6"/>
        <v>0.30000000000000004</v>
      </c>
      <c r="X19" s="168">
        <f t="shared" si="7"/>
        <v>0.30000000000000004</v>
      </c>
      <c r="Y19" s="14"/>
    </row>
    <row r="20" spans="1:25" s="7" customFormat="1" ht="12" customHeight="1">
      <c r="A20" s="147">
        <v>40186</v>
      </c>
      <c r="B20" s="47">
        <v>297</v>
      </c>
      <c r="C20" s="28" t="s">
        <v>27</v>
      </c>
      <c r="D20" s="30" t="s">
        <v>24</v>
      </c>
      <c r="E20" s="40">
        <f>35-5</f>
        <v>30</v>
      </c>
      <c r="F20" s="28" t="s">
        <v>58</v>
      </c>
      <c r="G20" s="53">
        <v>38</v>
      </c>
      <c r="H20" s="150">
        <f t="shared" si="8"/>
        <v>1140</v>
      </c>
      <c r="I20" s="306">
        <v>3.5</v>
      </c>
      <c r="J20" s="155">
        <v>9.25</v>
      </c>
      <c r="K20" s="156">
        <v>0</v>
      </c>
      <c r="L20" s="157">
        <v>0</v>
      </c>
      <c r="M20" s="165">
        <f>J20+K20</f>
        <v>9.25</v>
      </c>
      <c r="N20" s="166">
        <v>0.33</v>
      </c>
      <c r="O20" s="167">
        <v>0.1</v>
      </c>
      <c r="P20" s="168">
        <v>0.1</v>
      </c>
      <c r="Q20" s="309">
        <f t="shared" si="0"/>
        <v>105</v>
      </c>
      <c r="R20" s="152">
        <f t="shared" si="1"/>
        <v>277.5</v>
      </c>
      <c r="S20" s="154">
        <f t="shared" si="2"/>
        <v>0</v>
      </c>
      <c r="T20" s="169">
        <f t="shared" si="3"/>
        <v>0</v>
      </c>
      <c r="U20" s="153">
        <f t="shared" si="4"/>
        <v>277.5</v>
      </c>
      <c r="V20" s="166">
        <f t="shared" si="5"/>
        <v>9.9</v>
      </c>
      <c r="W20" s="167">
        <f t="shared" si="6"/>
        <v>3</v>
      </c>
      <c r="X20" s="168">
        <f t="shared" si="7"/>
        <v>3</v>
      </c>
      <c r="Y20" s="14"/>
    </row>
    <row r="21" spans="1:25" s="7" customFormat="1" ht="12" customHeight="1">
      <c r="A21" s="147">
        <v>40189</v>
      </c>
      <c r="B21" s="47">
        <v>298</v>
      </c>
      <c r="C21" s="28" t="s">
        <v>35</v>
      </c>
      <c r="D21" s="30" t="s">
        <v>59</v>
      </c>
      <c r="E21" s="40">
        <v>30</v>
      </c>
      <c r="F21" s="28" t="s">
        <v>60</v>
      </c>
      <c r="G21" s="53">
        <v>38</v>
      </c>
      <c r="H21" s="150">
        <f t="shared" si="8"/>
        <v>1140</v>
      </c>
      <c r="I21" s="306">
        <v>3.5</v>
      </c>
      <c r="J21" s="155">
        <v>8.74</v>
      </c>
      <c r="K21" s="156">
        <v>0</v>
      </c>
      <c r="L21" s="157">
        <v>0</v>
      </c>
      <c r="M21" s="165">
        <f t="shared" si="9"/>
        <v>8.74</v>
      </c>
      <c r="N21" s="166">
        <v>0.33</v>
      </c>
      <c r="O21" s="167">
        <v>0.1</v>
      </c>
      <c r="P21" s="168">
        <v>0.1</v>
      </c>
      <c r="Q21" s="309">
        <f t="shared" si="0"/>
        <v>105</v>
      </c>
      <c r="R21" s="152">
        <f t="shared" si="1"/>
        <v>262.2</v>
      </c>
      <c r="S21" s="154">
        <f t="shared" si="2"/>
        <v>0</v>
      </c>
      <c r="T21" s="169">
        <f t="shared" si="3"/>
        <v>0</v>
      </c>
      <c r="U21" s="153">
        <f t="shared" si="4"/>
        <v>262.2</v>
      </c>
      <c r="V21" s="166">
        <f t="shared" si="5"/>
        <v>9.9</v>
      </c>
      <c r="W21" s="167">
        <f t="shared" si="6"/>
        <v>3</v>
      </c>
      <c r="X21" s="168">
        <f t="shared" si="7"/>
        <v>3</v>
      </c>
      <c r="Y21" s="14"/>
    </row>
    <row r="22" spans="1:25" s="7" customFormat="1" ht="12" customHeight="1">
      <c r="A22" s="147">
        <v>40189</v>
      </c>
      <c r="B22" s="47">
        <v>299</v>
      </c>
      <c r="C22" s="28" t="s">
        <v>61</v>
      </c>
      <c r="D22" s="43" t="s">
        <v>42</v>
      </c>
      <c r="E22" s="40">
        <v>5</v>
      </c>
      <c r="F22" s="28" t="s">
        <v>62</v>
      </c>
      <c r="G22" s="53">
        <v>51</v>
      </c>
      <c r="H22" s="150">
        <f t="shared" si="8"/>
        <v>255</v>
      </c>
      <c r="I22" s="306">
        <v>3.5</v>
      </c>
      <c r="J22" s="155">
        <v>8.23</v>
      </c>
      <c r="K22" s="177">
        <v>12.5</v>
      </c>
      <c r="L22" s="157">
        <v>1.88</v>
      </c>
      <c r="M22" s="165">
        <f t="shared" si="9"/>
        <v>20.73</v>
      </c>
      <c r="N22" s="166">
        <v>0.33</v>
      </c>
      <c r="O22" s="167">
        <v>0.1</v>
      </c>
      <c r="P22" s="168">
        <v>0.1</v>
      </c>
      <c r="Q22" s="309">
        <f t="shared" si="0"/>
        <v>17.5</v>
      </c>
      <c r="R22" s="152">
        <f t="shared" si="1"/>
        <v>41.150000000000006</v>
      </c>
      <c r="S22" s="154">
        <f t="shared" si="2"/>
        <v>62.5</v>
      </c>
      <c r="T22" s="169">
        <f t="shared" si="3"/>
        <v>9.3999999999999986</v>
      </c>
      <c r="U22" s="153">
        <f t="shared" si="4"/>
        <v>103.65</v>
      </c>
      <c r="V22" s="166">
        <f t="shared" si="5"/>
        <v>1.6500000000000001</v>
      </c>
      <c r="W22" s="167">
        <f t="shared" si="6"/>
        <v>0.5</v>
      </c>
      <c r="X22" s="168">
        <f t="shared" si="7"/>
        <v>0.5</v>
      </c>
      <c r="Y22" s="14"/>
    </row>
    <row r="23" spans="1:25" s="7" customFormat="1" ht="12" customHeight="1">
      <c r="A23" s="147"/>
      <c r="B23" s="47"/>
      <c r="C23" s="28" t="s">
        <v>61</v>
      </c>
      <c r="D23" s="43" t="s">
        <v>42</v>
      </c>
      <c r="E23" s="40">
        <v>3</v>
      </c>
      <c r="F23" s="28" t="s">
        <v>63</v>
      </c>
      <c r="G23" s="53">
        <v>59</v>
      </c>
      <c r="H23" s="150">
        <f t="shared" si="8"/>
        <v>177</v>
      </c>
      <c r="I23" s="306">
        <v>3.5</v>
      </c>
      <c r="J23" s="155">
        <v>7.25</v>
      </c>
      <c r="K23" s="177">
        <v>12.5</v>
      </c>
      <c r="L23" s="157">
        <v>1.88</v>
      </c>
      <c r="M23" s="165">
        <f t="shared" si="9"/>
        <v>19.75</v>
      </c>
      <c r="N23" s="166">
        <v>0.28999999999999998</v>
      </c>
      <c r="O23" s="167">
        <v>0.1</v>
      </c>
      <c r="P23" s="168">
        <v>0.1</v>
      </c>
      <c r="Q23" s="309">
        <f t="shared" si="0"/>
        <v>10.5</v>
      </c>
      <c r="R23" s="152">
        <f t="shared" si="1"/>
        <v>21.75</v>
      </c>
      <c r="S23" s="154">
        <f t="shared" si="2"/>
        <v>37.5</v>
      </c>
      <c r="T23" s="169">
        <f t="shared" si="3"/>
        <v>5.64</v>
      </c>
      <c r="U23" s="153">
        <f t="shared" si="4"/>
        <v>59.25</v>
      </c>
      <c r="V23" s="166">
        <f t="shared" si="5"/>
        <v>0.86999999999999988</v>
      </c>
      <c r="W23" s="167">
        <f t="shared" si="6"/>
        <v>0.30000000000000004</v>
      </c>
      <c r="X23" s="168">
        <f t="shared" si="7"/>
        <v>0.30000000000000004</v>
      </c>
      <c r="Y23" s="14"/>
    </row>
    <row r="24" spans="1:25" s="7" customFormat="1" ht="12" customHeight="1">
      <c r="A24" s="95">
        <v>40189</v>
      </c>
      <c r="B24" s="48">
        <v>300</v>
      </c>
      <c r="C24" s="21" t="s">
        <v>41</v>
      </c>
      <c r="D24" s="20" t="s">
        <v>42</v>
      </c>
      <c r="E24" s="26">
        <v>20</v>
      </c>
      <c r="F24" s="20" t="s">
        <v>64</v>
      </c>
      <c r="G24" s="53">
        <v>35</v>
      </c>
      <c r="H24" s="150">
        <f t="shared" si="8"/>
        <v>700</v>
      </c>
      <c r="I24" s="306">
        <v>6.5</v>
      </c>
      <c r="J24" s="155">
        <v>14.63</v>
      </c>
      <c r="K24" s="156">
        <v>1</v>
      </c>
      <c r="L24" s="157">
        <v>0.15</v>
      </c>
      <c r="M24" s="165">
        <f t="shared" si="9"/>
        <v>15.63</v>
      </c>
      <c r="N24" s="166">
        <v>0.25</v>
      </c>
      <c r="O24" s="167">
        <v>0.1</v>
      </c>
      <c r="P24" s="168">
        <v>0.1</v>
      </c>
      <c r="Q24" s="309">
        <f t="shared" si="0"/>
        <v>130</v>
      </c>
      <c r="R24" s="152">
        <f t="shared" si="1"/>
        <v>292.60000000000002</v>
      </c>
      <c r="S24" s="154">
        <f t="shared" si="2"/>
        <v>20</v>
      </c>
      <c r="T24" s="169">
        <f t="shared" si="3"/>
        <v>3</v>
      </c>
      <c r="U24" s="153">
        <f t="shared" si="4"/>
        <v>312.60000000000002</v>
      </c>
      <c r="V24" s="166">
        <f t="shared" si="5"/>
        <v>5</v>
      </c>
      <c r="W24" s="167">
        <f t="shared" si="6"/>
        <v>2</v>
      </c>
      <c r="X24" s="168">
        <f t="shared" si="7"/>
        <v>2</v>
      </c>
      <c r="Y24" s="14"/>
    </row>
    <row r="25" spans="1:25" s="7" customFormat="1" ht="12" customHeight="1">
      <c r="A25" s="95">
        <v>40190</v>
      </c>
      <c r="B25" s="48">
        <v>301</v>
      </c>
      <c r="C25" s="21" t="s">
        <v>65</v>
      </c>
      <c r="D25" s="20" t="s">
        <v>66</v>
      </c>
      <c r="E25" s="26">
        <v>30</v>
      </c>
      <c r="F25" s="20" t="s">
        <v>67</v>
      </c>
      <c r="G25" s="53">
        <v>45</v>
      </c>
      <c r="H25" s="150">
        <f t="shared" si="8"/>
        <v>1350</v>
      </c>
      <c r="I25" s="306">
        <v>4.5</v>
      </c>
      <c r="J25" s="155">
        <v>3.22</v>
      </c>
      <c r="K25" s="156">
        <v>2</v>
      </c>
      <c r="L25" s="157">
        <v>0.3</v>
      </c>
      <c r="M25" s="165">
        <f t="shared" si="9"/>
        <v>5.2200000000000006</v>
      </c>
      <c r="N25" s="166">
        <v>0.25</v>
      </c>
      <c r="O25" s="167">
        <v>0.1</v>
      </c>
      <c r="P25" s="168">
        <v>0.1</v>
      </c>
      <c r="Q25" s="309">
        <f t="shared" si="0"/>
        <v>135</v>
      </c>
      <c r="R25" s="152">
        <f t="shared" si="1"/>
        <v>96.600000000000009</v>
      </c>
      <c r="S25" s="154">
        <f t="shared" si="2"/>
        <v>60</v>
      </c>
      <c r="T25" s="169">
        <f t="shared" si="3"/>
        <v>9</v>
      </c>
      <c r="U25" s="153">
        <f t="shared" si="4"/>
        <v>156.60000000000002</v>
      </c>
      <c r="V25" s="166">
        <f t="shared" si="5"/>
        <v>7.5</v>
      </c>
      <c r="W25" s="167">
        <f t="shared" si="6"/>
        <v>3</v>
      </c>
      <c r="X25" s="168">
        <f t="shared" si="7"/>
        <v>3</v>
      </c>
      <c r="Y25" s="14"/>
    </row>
    <row r="26" spans="1:25" s="7" customFormat="1" ht="12" customHeight="1">
      <c r="A26" s="95"/>
      <c r="B26" s="48"/>
      <c r="C26" s="21" t="s">
        <v>65</v>
      </c>
      <c r="D26" s="20" t="s">
        <v>66</v>
      </c>
      <c r="E26" s="26">
        <v>31</v>
      </c>
      <c r="F26" s="20" t="s">
        <v>68</v>
      </c>
      <c r="G26" s="53">
        <v>42</v>
      </c>
      <c r="H26" s="150">
        <f t="shared" si="8"/>
        <v>1302</v>
      </c>
      <c r="I26" s="306">
        <v>4.5</v>
      </c>
      <c r="J26" s="155">
        <v>5.72</v>
      </c>
      <c r="K26" s="156">
        <v>2</v>
      </c>
      <c r="L26" s="157">
        <v>0.3</v>
      </c>
      <c r="M26" s="165">
        <f t="shared" si="9"/>
        <v>7.72</v>
      </c>
      <c r="N26" s="166">
        <v>0.33</v>
      </c>
      <c r="O26" s="167">
        <v>0.1</v>
      </c>
      <c r="P26" s="168">
        <v>0.1</v>
      </c>
      <c r="Q26" s="309">
        <f t="shared" si="0"/>
        <v>139.5</v>
      </c>
      <c r="R26" s="152">
        <f t="shared" si="1"/>
        <v>177.32</v>
      </c>
      <c r="S26" s="154">
        <f t="shared" si="2"/>
        <v>62</v>
      </c>
      <c r="T26" s="169">
        <f t="shared" si="3"/>
        <v>9.2999999999999989</v>
      </c>
      <c r="U26" s="153">
        <f t="shared" si="4"/>
        <v>239.32</v>
      </c>
      <c r="V26" s="166">
        <f t="shared" si="5"/>
        <v>10.23</v>
      </c>
      <c r="W26" s="167">
        <f t="shared" si="6"/>
        <v>3.1</v>
      </c>
      <c r="X26" s="168">
        <f t="shared" si="7"/>
        <v>3.1</v>
      </c>
      <c r="Y26" s="14"/>
    </row>
    <row r="27" spans="1:25" s="7" customFormat="1" ht="12" customHeight="1">
      <c r="A27" s="95"/>
      <c r="B27" s="49"/>
      <c r="C27" s="21" t="s">
        <v>65</v>
      </c>
      <c r="D27" s="20" t="s">
        <v>66</v>
      </c>
      <c r="E27" s="26">
        <v>30</v>
      </c>
      <c r="F27" s="20" t="s">
        <v>69</v>
      </c>
      <c r="G27" s="53">
        <v>11</v>
      </c>
      <c r="H27" s="150">
        <f t="shared" si="8"/>
        <v>330</v>
      </c>
      <c r="I27" s="306">
        <v>1</v>
      </c>
      <c r="J27" s="155">
        <v>0.28999999999999998</v>
      </c>
      <c r="K27" s="156">
        <v>1.6</v>
      </c>
      <c r="L27" s="157">
        <v>0.24</v>
      </c>
      <c r="M27" s="165">
        <f t="shared" si="9"/>
        <v>1.8900000000000001</v>
      </c>
      <c r="N27" s="166">
        <v>0.33</v>
      </c>
      <c r="O27" s="167">
        <v>0.1</v>
      </c>
      <c r="P27" s="168">
        <v>0.1</v>
      </c>
      <c r="Q27" s="309">
        <f t="shared" si="0"/>
        <v>30</v>
      </c>
      <c r="R27" s="152">
        <f t="shared" si="1"/>
        <v>8.6999999999999993</v>
      </c>
      <c r="S27" s="154">
        <f t="shared" si="2"/>
        <v>48</v>
      </c>
      <c r="T27" s="169">
        <f t="shared" si="3"/>
        <v>7.1999999999999993</v>
      </c>
      <c r="U27" s="153">
        <f t="shared" si="4"/>
        <v>56.7</v>
      </c>
      <c r="V27" s="166">
        <f t="shared" si="5"/>
        <v>9.9</v>
      </c>
      <c r="W27" s="167">
        <f t="shared" si="6"/>
        <v>3</v>
      </c>
      <c r="X27" s="168">
        <f t="shared" si="7"/>
        <v>3</v>
      </c>
      <c r="Y27" s="14"/>
    </row>
    <row r="28" spans="1:25" s="7" customFormat="1" ht="12" customHeight="1">
      <c r="A28" s="95"/>
      <c r="B28" s="49"/>
      <c r="C28" s="21" t="s">
        <v>65</v>
      </c>
      <c r="D28" s="20" t="s">
        <v>66</v>
      </c>
      <c r="E28" s="26">
        <v>30</v>
      </c>
      <c r="F28" s="20" t="s">
        <v>70</v>
      </c>
      <c r="G28" s="54">
        <v>62.5</v>
      </c>
      <c r="H28" s="150">
        <f t="shared" si="8"/>
        <v>1875</v>
      </c>
      <c r="I28" s="306">
        <v>5</v>
      </c>
      <c r="J28" s="155">
        <v>5</v>
      </c>
      <c r="K28" s="156">
        <v>5.87</v>
      </c>
      <c r="L28" s="157">
        <v>0.88</v>
      </c>
      <c r="M28" s="165">
        <f t="shared" si="9"/>
        <v>10.870000000000001</v>
      </c>
      <c r="N28" s="166">
        <v>0.33</v>
      </c>
      <c r="O28" s="167">
        <v>0.1</v>
      </c>
      <c r="P28" s="168">
        <v>0.1</v>
      </c>
      <c r="Q28" s="309">
        <f t="shared" si="0"/>
        <v>150</v>
      </c>
      <c r="R28" s="152">
        <f t="shared" si="1"/>
        <v>150</v>
      </c>
      <c r="S28" s="154">
        <f t="shared" si="2"/>
        <v>176.1</v>
      </c>
      <c r="T28" s="169">
        <f t="shared" si="3"/>
        <v>26.4</v>
      </c>
      <c r="U28" s="153">
        <f t="shared" si="4"/>
        <v>326.10000000000002</v>
      </c>
      <c r="V28" s="166">
        <f t="shared" si="5"/>
        <v>9.9</v>
      </c>
      <c r="W28" s="167">
        <f t="shared" si="6"/>
        <v>3</v>
      </c>
      <c r="X28" s="168">
        <f t="shared" si="7"/>
        <v>3</v>
      </c>
      <c r="Y28" s="14"/>
    </row>
    <row r="29" spans="1:25" s="7" customFormat="1" ht="12" customHeight="1">
      <c r="A29" s="95">
        <v>40190</v>
      </c>
      <c r="B29" s="48">
        <v>302</v>
      </c>
      <c r="C29" s="20" t="s">
        <v>23</v>
      </c>
      <c r="D29" s="20" t="s">
        <v>24</v>
      </c>
      <c r="E29" s="26">
        <v>660</v>
      </c>
      <c r="F29" s="20" t="s">
        <v>71</v>
      </c>
      <c r="G29" s="55">
        <v>13.75</v>
      </c>
      <c r="H29" s="150">
        <f t="shared" si="8"/>
        <v>9075</v>
      </c>
      <c r="I29" s="306">
        <v>1.85</v>
      </c>
      <c r="J29" s="155">
        <v>3.38</v>
      </c>
      <c r="K29" s="156">
        <v>0</v>
      </c>
      <c r="L29" s="157">
        <v>0</v>
      </c>
      <c r="M29" s="165">
        <f t="shared" si="9"/>
        <v>3.38</v>
      </c>
      <c r="N29" s="166">
        <v>0.5</v>
      </c>
      <c r="O29" s="167">
        <v>0.1</v>
      </c>
      <c r="P29" s="168">
        <v>0.2</v>
      </c>
      <c r="Q29" s="309">
        <f t="shared" si="0"/>
        <v>1221</v>
      </c>
      <c r="R29" s="152">
        <f t="shared" si="1"/>
        <v>2230.7999999999997</v>
      </c>
      <c r="S29" s="154">
        <f t="shared" si="2"/>
        <v>0</v>
      </c>
      <c r="T29" s="169">
        <f t="shared" si="3"/>
        <v>0</v>
      </c>
      <c r="U29" s="153">
        <f t="shared" si="4"/>
        <v>2230.7999999999997</v>
      </c>
      <c r="V29" s="166">
        <f t="shared" si="5"/>
        <v>330</v>
      </c>
      <c r="W29" s="167">
        <f t="shared" si="6"/>
        <v>66</v>
      </c>
      <c r="X29" s="168">
        <f t="shared" si="7"/>
        <v>132</v>
      </c>
      <c r="Y29" s="14"/>
    </row>
    <row r="30" spans="1:25" s="7" customFormat="1" ht="12" customHeight="1">
      <c r="A30" s="95">
        <v>40190</v>
      </c>
      <c r="B30" s="48">
        <v>303</v>
      </c>
      <c r="C30" s="20" t="s">
        <v>72</v>
      </c>
      <c r="D30" s="20" t="s">
        <v>37</v>
      </c>
      <c r="E30" s="26">
        <v>1000</v>
      </c>
      <c r="F30" s="20" t="s">
        <v>73</v>
      </c>
      <c r="G30" s="53">
        <v>12.75</v>
      </c>
      <c r="H30" s="150">
        <f t="shared" si="8"/>
        <v>12750</v>
      </c>
      <c r="I30" s="306">
        <v>1.5</v>
      </c>
      <c r="J30" s="155">
        <v>1.5</v>
      </c>
      <c r="K30" s="156">
        <v>1.83</v>
      </c>
      <c r="L30" s="157">
        <v>0.28000000000000003</v>
      </c>
      <c r="M30" s="165">
        <f t="shared" si="9"/>
        <v>3.33</v>
      </c>
      <c r="N30" s="166">
        <v>0.21</v>
      </c>
      <c r="O30" s="167">
        <v>0.1</v>
      </c>
      <c r="P30" s="168">
        <v>0.1</v>
      </c>
      <c r="Q30" s="309">
        <f t="shared" si="0"/>
        <v>1500</v>
      </c>
      <c r="R30" s="152">
        <f t="shared" si="1"/>
        <v>1500</v>
      </c>
      <c r="S30" s="154">
        <f t="shared" si="2"/>
        <v>1830</v>
      </c>
      <c r="T30" s="169">
        <f t="shared" si="3"/>
        <v>280</v>
      </c>
      <c r="U30" s="153">
        <f t="shared" si="4"/>
        <v>3330</v>
      </c>
      <c r="V30" s="166">
        <f t="shared" si="5"/>
        <v>210</v>
      </c>
      <c r="W30" s="167">
        <f t="shared" si="6"/>
        <v>100</v>
      </c>
      <c r="X30" s="168">
        <f t="shared" si="7"/>
        <v>100</v>
      </c>
      <c r="Y30" s="14"/>
    </row>
    <row r="31" spans="1:25" s="7" customFormat="1" ht="12" customHeight="1">
      <c r="A31" s="95"/>
      <c r="B31" s="49"/>
      <c r="C31" s="20" t="s">
        <v>72</v>
      </c>
      <c r="D31" s="20" t="s">
        <v>37</v>
      </c>
      <c r="E31" s="26">
        <v>1000</v>
      </c>
      <c r="F31" s="20" t="s">
        <v>74</v>
      </c>
      <c r="G31" s="53">
        <v>12.75</v>
      </c>
      <c r="H31" s="150">
        <f t="shared" si="8"/>
        <v>12750</v>
      </c>
      <c r="I31" s="306">
        <v>1.5</v>
      </c>
      <c r="J31" s="155">
        <v>1.5</v>
      </c>
      <c r="K31" s="156">
        <v>1.83</v>
      </c>
      <c r="L31" s="157">
        <v>0.28000000000000003</v>
      </c>
      <c r="M31" s="165">
        <f t="shared" si="9"/>
        <v>3.33</v>
      </c>
      <c r="N31" s="166">
        <v>0.33</v>
      </c>
      <c r="O31" s="167">
        <v>0.1</v>
      </c>
      <c r="P31" s="168">
        <v>0.1</v>
      </c>
      <c r="Q31" s="309">
        <f t="shared" si="0"/>
        <v>1500</v>
      </c>
      <c r="R31" s="152">
        <f t="shared" si="1"/>
        <v>1500</v>
      </c>
      <c r="S31" s="154">
        <f t="shared" si="2"/>
        <v>1830</v>
      </c>
      <c r="T31" s="169">
        <f t="shared" si="3"/>
        <v>280</v>
      </c>
      <c r="U31" s="153">
        <f t="shared" si="4"/>
        <v>3330</v>
      </c>
      <c r="V31" s="166">
        <f t="shared" si="5"/>
        <v>330</v>
      </c>
      <c r="W31" s="167">
        <f t="shared" si="6"/>
        <v>100</v>
      </c>
      <c r="X31" s="168">
        <f t="shared" si="7"/>
        <v>100</v>
      </c>
      <c r="Y31" s="14"/>
    </row>
    <row r="32" spans="1:25" s="7" customFormat="1" ht="12" customHeight="1">
      <c r="A32" s="95"/>
      <c r="B32" s="46"/>
      <c r="C32" s="20" t="s">
        <v>72</v>
      </c>
      <c r="D32" s="20" t="s">
        <v>37</v>
      </c>
      <c r="E32" s="26">
        <v>100</v>
      </c>
      <c r="F32" s="20" t="s">
        <v>75</v>
      </c>
      <c r="G32" s="53">
        <v>12.75</v>
      </c>
      <c r="H32" s="150">
        <f t="shared" si="8"/>
        <v>1275</v>
      </c>
      <c r="I32" s="306">
        <v>1.5</v>
      </c>
      <c r="J32" s="155">
        <v>2.44</v>
      </c>
      <c r="K32" s="156">
        <v>1.83</v>
      </c>
      <c r="L32" s="157">
        <v>0.28000000000000003</v>
      </c>
      <c r="M32" s="165">
        <f t="shared" si="9"/>
        <v>4.2699999999999996</v>
      </c>
      <c r="N32" s="166">
        <v>0.33</v>
      </c>
      <c r="O32" s="167">
        <v>0.1</v>
      </c>
      <c r="P32" s="168">
        <v>0.1</v>
      </c>
      <c r="Q32" s="309">
        <f t="shared" si="0"/>
        <v>150</v>
      </c>
      <c r="R32" s="152">
        <f t="shared" si="1"/>
        <v>244</v>
      </c>
      <c r="S32" s="154">
        <f t="shared" si="2"/>
        <v>183</v>
      </c>
      <c r="T32" s="169">
        <f t="shared" si="3"/>
        <v>28.000000000000004</v>
      </c>
      <c r="U32" s="153">
        <f t="shared" si="4"/>
        <v>426.99999999999994</v>
      </c>
      <c r="V32" s="166">
        <f t="shared" si="5"/>
        <v>33</v>
      </c>
      <c r="W32" s="167">
        <f t="shared" si="6"/>
        <v>10</v>
      </c>
      <c r="X32" s="168">
        <f t="shared" si="7"/>
        <v>10</v>
      </c>
      <c r="Y32" s="14"/>
    </row>
    <row r="33" spans="1:25" s="7" customFormat="1" ht="12" customHeight="1">
      <c r="A33" s="95"/>
      <c r="B33" s="49"/>
      <c r="C33" s="20" t="s">
        <v>72</v>
      </c>
      <c r="D33" s="20" t="s">
        <v>37</v>
      </c>
      <c r="E33" s="26">
        <v>100</v>
      </c>
      <c r="F33" s="20" t="s">
        <v>76</v>
      </c>
      <c r="G33" s="53">
        <v>12.75</v>
      </c>
      <c r="H33" s="150">
        <f t="shared" si="8"/>
        <v>1275</v>
      </c>
      <c r="I33" s="306">
        <v>1.5</v>
      </c>
      <c r="J33" s="155">
        <v>2.44</v>
      </c>
      <c r="K33" s="156">
        <v>1.83</v>
      </c>
      <c r="L33" s="157">
        <v>0.28000000000000003</v>
      </c>
      <c r="M33" s="165">
        <f t="shared" si="9"/>
        <v>4.2699999999999996</v>
      </c>
      <c r="N33" s="166">
        <v>0.33</v>
      </c>
      <c r="O33" s="167">
        <v>0.1</v>
      </c>
      <c r="P33" s="168">
        <v>0.1</v>
      </c>
      <c r="Q33" s="309">
        <f t="shared" si="0"/>
        <v>150</v>
      </c>
      <c r="R33" s="152">
        <f t="shared" si="1"/>
        <v>244</v>
      </c>
      <c r="S33" s="154">
        <f t="shared" si="2"/>
        <v>183</v>
      </c>
      <c r="T33" s="169">
        <f t="shared" si="3"/>
        <v>28.000000000000004</v>
      </c>
      <c r="U33" s="153">
        <f t="shared" si="4"/>
        <v>426.99999999999994</v>
      </c>
      <c r="V33" s="166">
        <f t="shared" si="5"/>
        <v>33</v>
      </c>
      <c r="W33" s="167">
        <f t="shared" si="6"/>
        <v>10</v>
      </c>
      <c r="X33" s="168">
        <f t="shared" si="7"/>
        <v>10</v>
      </c>
      <c r="Y33" s="14"/>
    </row>
    <row r="34" spans="1:25" s="7" customFormat="1" ht="12" customHeight="1">
      <c r="A34" s="95"/>
      <c r="B34" s="46"/>
      <c r="C34" s="20" t="s">
        <v>72</v>
      </c>
      <c r="D34" s="20" t="s">
        <v>37</v>
      </c>
      <c r="E34" s="26">
        <v>50</v>
      </c>
      <c r="F34" s="20" t="s">
        <v>77</v>
      </c>
      <c r="G34" s="53">
        <v>12.75</v>
      </c>
      <c r="H34" s="150">
        <f t="shared" si="8"/>
        <v>637.5</v>
      </c>
      <c r="I34" s="306">
        <v>1.5</v>
      </c>
      <c r="J34" s="155">
        <v>3.38</v>
      </c>
      <c r="K34" s="156">
        <v>1.83</v>
      </c>
      <c r="L34" s="157">
        <v>0.28000000000000003</v>
      </c>
      <c r="M34" s="165">
        <f t="shared" si="9"/>
        <v>5.21</v>
      </c>
      <c r="N34" s="166">
        <v>0.33</v>
      </c>
      <c r="O34" s="167">
        <v>0.1</v>
      </c>
      <c r="P34" s="168">
        <v>0.1</v>
      </c>
      <c r="Q34" s="309">
        <f t="shared" si="0"/>
        <v>75</v>
      </c>
      <c r="R34" s="152">
        <f t="shared" si="1"/>
        <v>169</v>
      </c>
      <c r="S34" s="154">
        <f t="shared" si="2"/>
        <v>91.5</v>
      </c>
      <c r="T34" s="169">
        <f t="shared" si="3"/>
        <v>14.000000000000002</v>
      </c>
      <c r="U34" s="153">
        <f t="shared" si="4"/>
        <v>260.5</v>
      </c>
      <c r="V34" s="166">
        <f t="shared" si="5"/>
        <v>16.5</v>
      </c>
      <c r="W34" s="167">
        <f t="shared" si="6"/>
        <v>5</v>
      </c>
      <c r="X34" s="168">
        <f t="shared" si="7"/>
        <v>5</v>
      </c>
      <c r="Y34" s="14"/>
    </row>
    <row r="35" spans="1:25" s="7" customFormat="1" ht="12" customHeight="1">
      <c r="A35" s="95"/>
      <c r="B35" s="49"/>
      <c r="C35" s="20" t="s">
        <v>72</v>
      </c>
      <c r="D35" s="20" t="s">
        <v>37</v>
      </c>
      <c r="E35" s="26">
        <v>50</v>
      </c>
      <c r="F35" s="20" t="s">
        <v>78</v>
      </c>
      <c r="G35" s="53">
        <v>12.75</v>
      </c>
      <c r="H35" s="150">
        <f t="shared" si="8"/>
        <v>637.5</v>
      </c>
      <c r="I35" s="306">
        <v>1.5</v>
      </c>
      <c r="J35" s="155">
        <v>1.5</v>
      </c>
      <c r="K35" s="156">
        <v>1.83</v>
      </c>
      <c r="L35" s="157">
        <v>0.28000000000000003</v>
      </c>
      <c r="M35" s="153">
        <f t="shared" si="9"/>
        <v>3.33</v>
      </c>
      <c r="N35" s="166">
        <v>0</v>
      </c>
      <c r="O35" s="167">
        <v>0.1</v>
      </c>
      <c r="P35" s="168">
        <v>0.1</v>
      </c>
      <c r="Q35" s="309">
        <f t="shared" si="0"/>
        <v>75</v>
      </c>
      <c r="R35" s="152">
        <f t="shared" si="1"/>
        <v>75</v>
      </c>
      <c r="S35" s="154">
        <f t="shared" si="2"/>
        <v>91.5</v>
      </c>
      <c r="T35" s="169">
        <f t="shared" si="3"/>
        <v>14.000000000000002</v>
      </c>
      <c r="U35" s="153">
        <f t="shared" si="4"/>
        <v>166.5</v>
      </c>
      <c r="V35" s="166">
        <f t="shared" si="5"/>
        <v>0</v>
      </c>
      <c r="W35" s="167">
        <f t="shared" si="6"/>
        <v>5</v>
      </c>
      <c r="X35" s="168">
        <f t="shared" si="7"/>
        <v>5</v>
      </c>
      <c r="Y35" s="14"/>
    </row>
    <row r="36" spans="1:25" s="7" customFormat="1" ht="12" customHeight="1">
      <c r="A36" s="95">
        <v>40191</v>
      </c>
      <c r="B36" s="48">
        <v>304</v>
      </c>
      <c r="C36" s="20" t="s">
        <v>33</v>
      </c>
      <c r="D36" s="24" t="s">
        <v>33</v>
      </c>
      <c r="E36" s="26">
        <v>9</v>
      </c>
      <c r="F36" s="20" t="s">
        <v>79</v>
      </c>
      <c r="G36" s="53">
        <v>40.5</v>
      </c>
      <c r="H36" s="150">
        <f t="shared" si="8"/>
        <v>364.5</v>
      </c>
      <c r="I36" s="306">
        <v>3.5</v>
      </c>
      <c r="J36" s="155">
        <v>8.4700000000000006</v>
      </c>
      <c r="K36" s="156">
        <v>3</v>
      </c>
      <c r="L36" s="157">
        <v>0.45</v>
      </c>
      <c r="M36" s="153">
        <f t="shared" si="9"/>
        <v>11.47</v>
      </c>
      <c r="N36" s="166">
        <v>0.63</v>
      </c>
      <c r="O36" s="167">
        <v>0.1</v>
      </c>
      <c r="P36" s="168">
        <v>0.1</v>
      </c>
      <c r="Q36" s="309">
        <f t="shared" si="0"/>
        <v>31.5</v>
      </c>
      <c r="R36" s="152">
        <f t="shared" si="1"/>
        <v>76.23</v>
      </c>
      <c r="S36" s="154">
        <f t="shared" si="2"/>
        <v>27</v>
      </c>
      <c r="T36" s="169">
        <f t="shared" si="3"/>
        <v>4.05</v>
      </c>
      <c r="U36" s="153">
        <f t="shared" si="4"/>
        <v>103.23</v>
      </c>
      <c r="V36" s="166">
        <f t="shared" si="5"/>
        <v>5.67</v>
      </c>
      <c r="W36" s="167">
        <f t="shared" si="6"/>
        <v>0.9</v>
      </c>
      <c r="X36" s="168">
        <f t="shared" si="7"/>
        <v>0.9</v>
      </c>
      <c r="Y36" s="14"/>
    </row>
    <row r="37" spans="1:25" s="7" customFormat="1" ht="12" customHeight="1">
      <c r="A37" s="95"/>
      <c r="B37" s="48"/>
      <c r="C37" s="20" t="s">
        <v>33</v>
      </c>
      <c r="D37" s="24" t="s">
        <v>33</v>
      </c>
      <c r="E37" s="26">
        <v>3</v>
      </c>
      <c r="F37" s="20" t="s">
        <v>80</v>
      </c>
      <c r="G37" s="53">
        <v>38.5</v>
      </c>
      <c r="H37" s="150">
        <f t="shared" si="8"/>
        <v>115.5</v>
      </c>
      <c r="I37" s="306">
        <v>3.5</v>
      </c>
      <c r="J37" s="155">
        <v>13.05</v>
      </c>
      <c r="K37" s="156">
        <v>2.5</v>
      </c>
      <c r="L37" s="157">
        <v>0.38</v>
      </c>
      <c r="M37" s="153">
        <f t="shared" si="9"/>
        <v>15.55</v>
      </c>
      <c r="N37" s="166">
        <v>0.57999999999999996</v>
      </c>
      <c r="O37" s="167">
        <v>0.2</v>
      </c>
      <c r="P37" s="168">
        <v>0.2</v>
      </c>
      <c r="Q37" s="309">
        <f t="shared" si="0"/>
        <v>10.5</v>
      </c>
      <c r="R37" s="152">
        <f t="shared" si="1"/>
        <v>39.150000000000006</v>
      </c>
      <c r="S37" s="154">
        <f t="shared" si="2"/>
        <v>7.5</v>
      </c>
      <c r="T37" s="169">
        <f t="shared" si="3"/>
        <v>1.1400000000000001</v>
      </c>
      <c r="U37" s="153">
        <f t="shared" si="4"/>
        <v>46.650000000000006</v>
      </c>
      <c r="V37" s="166">
        <f t="shared" si="5"/>
        <v>1.7399999999999998</v>
      </c>
      <c r="W37" s="167">
        <f t="shared" si="6"/>
        <v>0.60000000000000009</v>
      </c>
      <c r="X37" s="168">
        <f t="shared" si="7"/>
        <v>0.60000000000000009</v>
      </c>
      <c r="Y37" s="14"/>
    </row>
    <row r="38" spans="1:25" s="7" customFormat="1" ht="12" customHeight="1">
      <c r="A38" s="95"/>
      <c r="B38" s="49"/>
      <c r="C38" s="20" t="s">
        <v>33</v>
      </c>
      <c r="D38" s="24" t="s">
        <v>33</v>
      </c>
      <c r="E38" s="26">
        <v>1</v>
      </c>
      <c r="F38" s="28" t="s">
        <v>81</v>
      </c>
      <c r="G38" s="53">
        <v>40.5</v>
      </c>
      <c r="H38" s="150">
        <f t="shared" si="8"/>
        <v>40.5</v>
      </c>
      <c r="I38" s="306">
        <v>3.5</v>
      </c>
      <c r="J38" s="155">
        <v>8.4700000000000006</v>
      </c>
      <c r="K38" s="156">
        <v>3</v>
      </c>
      <c r="L38" s="157">
        <v>0.45</v>
      </c>
      <c r="M38" s="153">
        <f t="shared" si="9"/>
        <v>11.47</v>
      </c>
      <c r="N38" s="166">
        <v>0.33</v>
      </c>
      <c r="O38" s="167">
        <v>0.1</v>
      </c>
      <c r="P38" s="168">
        <v>0.1</v>
      </c>
      <c r="Q38" s="309">
        <f t="shared" si="0"/>
        <v>3.5</v>
      </c>
      <c r="R38" s="152">
        <f t="shared" si="1"/>
        <v>8.4700000000000006</v>
      </c>
      <c r="S38" s="154">
        <f t="shared" si="2"/>
        <v>3</v>
      </c>
      <c r="T38" s="169">
        <f t="shared" si="3"/>
        <v>0.45</v>
      </c>
      <c r="U38" s="153">
        <f t="shared" si="4"/>
        <v>11.47</v>
      </c>
      <c r="V38" s="166">
        <f t="shared" si="5"/>
        <v>0.33</v>
      </c>
      <c r="W38" s="167">
        <f t="shared" si="6"/>
        <v>0.1</v>
      </c>
      <c r="X38" s="168">
        <f t="shared" si="7"/>
        <v>0.1</v>
      </c>
      <c r="Y38" s="14"/>
    </row>
    <row r="39" spans="1:25" s="7" customFormat="1" ht="12" customHeight="1">
      <c r="A39" s="95"/>
      <c r="B39" s="48"/>
      <c r="C39" s="20" t="s">
        <v>33</v>
      </c>
      <c r="D39" s="24" t="s">
        <v>33</v>
      </c>
      <c r="E39" s="26">
        <v>3</v>
      </c>
      <c r="F39" s="20" t="s">
        <v>82</v>
      </c>
      <c r="G39" s="53">
        <v>38.5</v>
      </c>
      <c r="H39" s="150">
        <f t="shared" si="8"/>
        <v>115.5</v>
      </c>
      <c r="I39" s="306">
        <v>3.5</v>
      </c>
      <c r="J39" s="155">
        <v>13.05</v>
      </c>
      <c r="K39" s="156">
        <v>2.5</v>
      </c>
      <c r="L39" s="157">
        <v>0.38</v>
      </c>
      <c r="M39" s="153">
        <f t="shared" si="9"/>
        <v>15.55</v>
      </c>
      <c r="N39" s="166">
        <v>0.33</v>
      </c>
      <c r="O39" s="167">
        <v>0.1</v>
      </c>
      <c r="P39" s="168">
        <v>0.1</v>
      </c>
      <c r="Q39" s="309">
        <f t="shared" si="0"/>
        <v>10.5</v>
      </c>
      <c r="R39" s="152">
        <f t="shared" si="1"/>
        <v>39.150000000000006</v>
      </c>
      <c r="S39" s="154">
        <f t="shared" si="2"/>
        <v>7.5</v>
      </c>
      <c r="T39" s="169">
        <f t="shared" si="3"/>
        <v>1.1400000000000001</v>
      </c>
      <c r="U39" s="153">
        <f t="shared" si="4"/>
        <v>46.650000000000006</v>
      </c>
      <c r="V39" s="166">
        <f t="shared" si="5"/>
        <v>0.99</v>
      </c>
      <c r="W39" s="167">
        <f t="shared" si="6"/>
        <v>0.30000000000000004</v>
      </c>
      <c r="X39" s="168">
        <f t="shared" si="7"/>
        <v>0.30000000000000004</v>
      </c>
      <c r="Y39" s="14"/>
    </row>
    <row r="40" spans="1:25" s="7" customFormat="1" ht="12" customHeight="1">
      <c r="A40" s="95"/>
      <c r="B40" s="48"/>
      <c r="C40" s="20" t="s">
        <v>33</v>
      </c>
      <c r="D40" s="21" t="s">
        <v>33</v>
      </c>
      <c r="E40" s="26">
        <v>1</v>
      </c>
      <c r="F40" s="20" t="s">
        <v>83</v>
      </c>
      <c r="G40" s="53">
        <v>40.5</v>
      </c>
      <c r="H40" s="150">
        <f t="shared" si="8"/>
        <v>40.5</v>
      </c>
      <c r="I40" s="306">
        <v>3.5</v>
      </c>
      <c r="J40" s="155">
        <v>8.4700000000000006</v>
      </c>
      <c r="K40" s="156">
        <v>3</v>
      </c>
      <c r="L40" s="157">
        <v>0.45</v>
      </c>
      <c r="M40" s="153">
        <f t="shared" si="9"/>
        <v>11.47</v>
      </c>
      <c r="N40" s="166">
        <v>0.57999999999999996</v>
      </c>
      <c r="O40" s="167">
        <v>0.2</v>
      </c>
      <c r="P40" s="168">
        <v>0.2</v>
      </c>
      <c r="Q40" s="309">
        <f t="shared" si="0"/>
        <v>3.5</v>
      </c>
      <c r="R40" s="152">
        <f t="shared" si="1"/>
        <v>8.4700000000000006</v>
      </c>
      <c r="S40" s="154">
        <f t="shared" si="2"/>
        <v>3</v>
      </c>
      <c r="T40" s="169">
        <f t="shared" si="3"/>
        <v>0.45</v>
      </c>
      <c r="U40" s="153">
        <f t="shared" si="4"/>
        <v>11.47</v>
      </c>
      <c r="V40" s="166">
        <f t="shared" si="5"/>
        <v>0.57999999999999996</v>
      </c>
      <c r="W40" s="167">
        <f t="shared" si="6"/>
        <v>0.2</v>
      </c>
      <c r="X40" s="168">
        <f t="shared" si="7"/>
        <v>0.2</v>
      </c>
      <c r="Y40" s="14"/>
    </row>
    <row r="41" spans="1:25" s="7" customFormat="1" ht="12" customHeight="1">
      <c r="A41" s="95"/>
      <c r="B41" s="48"/>
      <c r="C41" s="20" t="s">
        <v>33</v>
      </c>
      <c r="D41" s="21" t="s">
        <v>33</v>
      </c>
      <c r="E41" s="26">
        <v>3</v>
      </c>
      <c r="F41" s="20" t="s">
        <v>84</v>
      </c>
      <c r="G41" s="53">
        <v>40.5</v>
      </c>
      <c r="H41" s="150">
        <f t="shared" si="8"/>
        <v>121.5</v>
      </c>
      <c r="I41" s="306">
        <v>3.5</v>
      </c>
      <c r="J41" s="155">
        <v>8.4700000000000006</v>
      </c>
      <c r="K41" s="156">
        <v>3</v>
      </c>
      <c r="L41" s="157">
        <v>0.45</v>
      </c>
      <c r="M41" s="153">
        <f t="shared" si="9"/>
        <v>11.47</v>
      </c>
      <c r="N41" s="166">
        <v>0.57999999999999996</v>
      </c>
      <c r="O41" s="167">
        <v>0.2</v>
      </c>
      <c r="P41" s="168">
        <v>0.2</v>
      </c>
      <c r="Q41" s="309">
        <f t="shared" si="0"/>
        <v>10.5</v>
      </c>
      <c r="R41" s="152">
        <f t="shared" si="1"/>
        <v>25.410000000000004</v>
      </c>
      <c r="S41" s="154">
        <f t="shared" si="2"/>
        <v>9</v>
      </c>
      <c r="T41" s="169">
        <f t="shared" si="3"/>
        <v>1.35</v>
      </c>
      <c r="U41" s="153">
        <f t="shared" si="4"/>
        <v>34.410000000000004</v>
      </c>
      <c r="V41" s="166">
        <f t="shared" si="5"/>
        <v>1.7399999999999998</v>
      </c>
      <c r="W41" s="167">
        <f t="shared" si="6"/>
        <v>0.60000000000000009</v>
      </c>
      <c r="X41" s="168">
        <f t="shared" si="7"/>
        <v>0.60000000000000009</v>
      </c>
      <c r="Y41" s="14"/>
    </row>
    <row r="42" spans="1:25" s="7" customFormat="1" ht="12" customHeight="1">
      <c r="A42" s="95" t="s">
        <v>38</v>
      </c>
      <c r="B42" s="46">
        <v>305</v>
      </c>
      <c r="C42" s="21" t="s">
        <v>85</v>
      </c>
      <c r="D42" s="20" t="s">
        <v>86</v>
      </c>
      <c r="E42" s="26">
        <f>10+5</f>
        <v>15</v>
      </c>
      <c r="F42" s="20" t="s">
        <v>87</v>
      </c>
      <c r="G42" s="53">
        <v>16</v>
      </c>
      <c r="H42" s="150">
        <f t="shared" si="8"/>
        <v>240</v>
      </c>
      <c r="I42" s="306">
        <v>1.5</v>
      </c>
      <c r="J42" s="155">
        <v>4.5599999999999996</v>
      </c>
      <c r="K42" s="156">
        <v>1.83</v>
      </c>
      <c r="L42" s="157">
        <v>0.27</v>
      </c>
      <c r="M42" s="153">
        <f t="shared" si="9"/>
        <v>6.39</v>
      </c>
      <c r="N42" s="166">
        <v>0.57999999999999996</v>
      </c>
      <c r="O42" s="167">
        <v>0.2</v>
      </c>
      <c r="P42" s="168">
        <v>0.2</v>
      </c>
      <c r="Q42" s="309">
        <f t="shared" si="0"/>
        <v>22.5</v>
      </c>
      <c r="R42" s="152">
        <f t="shared" si="1"/>
        <v>68.399999999999991</v>
      </c>
      <c r="S42" s="154">
        <f t="shared" si="2"/>
        <v>27.450000000000003</v>
      </c>
      <c r="T42" s="169">
        <f t="shared" si="3"/>
        <v>4.0500000000000007</v>
      </c>
      <c r="U42" s="153">
        <f t="shared" si="4"/>
        <v>95.85</v>
      </c>
      <c r="V42" s="166">
        <f t="shared" si="5"/>
        <v>8.6999999999999993</v>
      </c>
      <c r="W42" s="167">
        <f t="shared" si="6"/>
        <v>3</v>
      </c>
      <c r="X42" s="168">
        <f t="shared" si="7"/>
        <v>3</v>
      </c>
      <c r="Y42" s="14"/>
    </row>
    <row r="43" spans="1:25" s="7" customFormat="1" ht="12" customHeight="1">
      <c r="A43" s="95"/>
      <c r="B43" s="46"/>
      <c r="C43" s="21" t="s">
        <v>85</v>
      </c>
      <c r="D43" s="20" t="s">
        <v>86</v>
      </c>
      <c r="E43" s="26">
        <v>112</v>
      </c>
      <c r="F43" s="20" t="s">
        <v>88</v>
      </c>
      <c r="G43" s="53">
        <v>1.85</v>
      </c>
      <c r="H43" s="150">
        <f t="shared" si="8"/>
        <v>207.20000000000002</v>
      </c>
      <c r="I43" s="306">
        <v>0</v>
      </c>
      <c r="J43" s="155">
        <v>0</v>
      </c>
      <c r="K43" s="156">
        <v>0</v>
      </c>
      <c r="L43" s="157">
        <v>0</v>
      </c>
      <c r="M43" s="153">
        <f t="shared" si="9"/>
        <v>0</v>
      </c>
      <c r="N43" s="166">
        <v>0</v>
      </c>
      <c r="O43" s="167">
        <v>0</v>
      </c>
      <c r="P43" s="168">
        <v>0</v>
      </c>
      <c r="Q43" s="309">
        <f t="shared" si="0"/>
        <v>0</v>
      </c>
      <c r="R43" s="152">
        <f t="shared" si="1"/>
        <v>0</v>
      </c>
      <c r="S43" s="154">
        <f t="shared" si="2"/>
        <v>0</v>
      </c>
      <c r="T43" s="169">
        <f t="shared" si="3"/>
        <v>0</v>
      </c>
      <c r="U43" s="153">
        <f t="shared" si="4"/>
        <v>0</v>
      </c>
      <c r="V43" s="166">
        <f t="shared" si="5"/>
        <v>0</v>
      </c>
      <c r="W43" s="167">
        <f t="shared" si="6"/>
        <v>0</v>
      </c>
      <c r="X43" s="168">
        <f t="shared" si="7"/>
        <v>0</v>
      </c>
      <c r="Y43" s="14"/>
    </row>
    <row r="44" spans="1:25" s="7" customFormat="1" ht="12" customHeight="1">
      <c r="A44" s="95"/>
      <c r="B44" s="46"/>
      <c r="C44" s="21" t="s">
        <v>85</v>
      </c>
      <c r="D44" s="20" t="s">
        <v>86</v>
      </c>
      <c r="E44" s="26">
        <v>6</v>
      </c>
      <c r="F44" s="20" t="s">
        <v>89</v>
      </c>
      <c r="G44" s="53">
        <v>38</v>
      </c>
      <c r="H44" s="150">
        <f t="shared" si="8"/>
        <v>228</v>
      </c>
      <c r="I44" s="306">
        <v>3.5</v>
      </c>
      <c r="J44" s="155">
        <v>3.34</v>
      </c>
      <c r="K44" s="156">
        <v>4.8499999999999996</v>
      </c>
      <c r="L44" s="157">
        <v>0.73</v>
      </c>
      <c r="M44" s="153">
        <f t="shared" si="9"/>
        <v>8.19</v>
      </c>
      <c r="N44" s="166">
        <v>0.33</v>
      </c>
      <c r="O44" s="167">
        <v>0.1</v>
      </c>
      <c r="P44" s="168">
        <v>0.1</v>
      </c>
      <c r="Q44" s="309">
        <f t="shared" si="0"/>
        <v>21</v>
      </c>
      <c r="R44" s="152">
        <f t="shared" si="1"/>
        <v>20.04</v>
      </c>
      <c r="S44" s="154">
        <f t="shared" si="2"/>
        <v>29.099999999999998</v>
      </c>
      <c r="T44" s="169">
        <f t="shared" si="3"/>
        <v>4.38</v>
      </c>
      <c r="U44" s="153">
        <f t="shared" si="4"/>
        <v>49.14</v>
      </c>
      <c r="V44" s="166">
        <f t="shared" si="5"/>
        <v>1.98</v>
      </c>
      <c r="W44" s="167">
        <f t="shared" si="6"/>
        <v>0.60000000000000009</v>
      </c>
      <c r="X44" s="168">
        <f t="shared" si="7"/>
        <v>0.60000000000000009</v>
      </c>
      <c r="Y44" s="14"/>
    </row>
    <row r="45" spans="1:25" s="7" customFormat="1" ht="12" customHeight="1">
      <c r="A45" s="95"/>
      <c r="B45" s="46"/>
      <c r="C45" s="21" t="s">
        <v>85</v>
      </c>
      <c r="D45" s="20" t="s">
        <v>86</v>
      </c>
      <c r="E45" s="26">
        <v>6</v>
      </c>
      <c r="F45" s="20" t="s">
        <v>90</v>
      </c>
      <c r="G45" s="53">
        <v>38</v>
      </c>
      <c r="H45" s="150">
        <f t="shared" si="8"/>
        <v>228</v>
      </c>
      <c r="I45" s="306">
        <v>3.5</v>
      </c>
      <c r="J45" s="155">
        <v>3.34</v>
      </c>
      <c r="K45" s="156">
        <v>4.8499999999999996</v>
      </c>
      <c r="L45" s="157">
        <v>0.73</v>
      </c>
      <c r="M45" s="153">
        <f t="shared" si="9"/>
        <v>8.19</v>
      </c>
      <c r="N45" s="166">
        <v>0.33</v>
      </c>
      <c r="O45" s="167">
        <v>0.1</v>
      </c>
      <c r="P45" s="168">
        <v>0.1</v>
      </c>
      <c r="Q45" s="309">
        <f t="shared" si="0"/>
        <v>21</v>
      </c>
      <c r="R45" s="152">
        <f t="shared" si="1"/>
        <v>20.04</v>
      </c>
      <c r="S45" s="154">
        <f t="shared" si="2"/>
        <v>29.099999999999998</v>
      </c>
      <c r="T45" s="169">
        <f t="shared" si="3"/>
        <v>4.38</v>
      </c>
      <c r="U45" s="153">
        <f t="shared" si="4"/>
        <v>49.14</v>
      </c>
      <c r="V45" s="166">
        <f>N45*E45</f>
        <v>1.98</v>
      </c>
      <c r="W45" s="167">
        <f>O45*E45</f>
        <v>0.60000000000000009</v>
      </c>
      <c r="X45" s="168">
        <f>P45*E45</f>
        <v>0.60000000000000009</v>
      </c>
      <c r="Y45" s="14"/>
    </row>
    <row r="46" spans="1:25" s="7" customFormat="1" ht="12" customHeight="1">
      <c r="A46" s="95"/>
      <c r="B46" s="46"/>
      <c r="C46" s="21" t="s">
        <v>85</v>
      </c>
      <c r="D46" s="20" t="s">
        <v>86</v>
      </c>
      <c r="E46" s="26">
        <v>3</v>
      </c>
      <c r="F46" s="20" t="s">
        <v>91</v>
      </c>
      <c r="G46" s="53">
        <v>38</v>
      </c>
      <c r="H46" s="150">
        <f t="shared" si="8"/>
        <v>114</v>
      </c>
      <c r="I46" s="306">
        <v>3.5</v>
      </c>
      <c r="J46" s="155">
        <v>3.34</v>
      </c>
      <c r="K46" s="156">
        <v>4.8499999999999996</v>
      </c>
      <c r="L46" s="157">
        <v>0.73</v>
      </c>
      <c r="M46" s="153">
        <f t="shared" si="9"/>
        <v>8.19</v>
      </c>
      <c r="N46" s="166">
        <v>0.33</v>
      </c>
      <c r="O46" s="167">
        <v>0.1</v>
      </c>
      <c r="P46" s="168">
        <v>0.1</v>
      </c>
      <c r="Q46" s="309">
        <f t="shared" si="0"/>
        <v>10.5</v>
      </c>
      <c r="R46" s="152">
        <f t="shared" si="1"/>
        <v>10.02</v>
      </c>
      <c r="S46" s="154">
        <f t="shared" si="2"/>
        <v>14.549999999999999</v>
      </c>
      <c r="T46" s="169">
        <f t="shared" si="3"/>
        <v>2.19</v>
      </c>
      <c r="U46" s="153">
        <f t="shared" si="4"/>
        <v>24.57</v>
      </c>
      <c r="V46" s="166">
        <f t="shared" si="5"/>
        <v>0.99</v>
      </c>
      <c r="W46" s="167">
        <f t="shared" si="6"/>
        <v>0.30000000000000004</v>
      </c>
      <c r="X46" s="168">
        <f t="shared" si="7"/>
        <v>0.30000000000000004</v>
      </c>
      <c r="Y46" s="14"/>
    </row>
    <row r="47" spans="1:25" s="7" customFormat="1" ht="12" customHeight="1">
      <c r="A47" s="95"/>
      <c r="B47" s="46"/>
      <c r="C47" s="21" t="s">
        <v>85</v>
      </c>
      <c r="D47" s="20" t="s">
        <v>86</v>
      </c>
      <c r="E47" s="26">
        <v>3</v>
      </c>
      <c r="F47" s="20" t="s">
        <v>92</v>
      </c>
      <c r="G47" s="53">
        <v>38</v>
      </c>
      <c r="H47" s="150">
        <f t="shared" si="8"/>
        <v>114</v>
      </c>
      <c r="I47" s="306">
        <v>3.5</v>
      </c>
      <c r="J47" s="155">
        <v>3.34</v>
      </c>
      <c r="K47" s="156">
        <v>4.8499999999999996</v>
      </c>
      <c r="L47" s="157">
        <v>0.73</v>
      </c>
      <c r="M47" s="153">
        <f t="shared" si="9"/>
        <v>8.19</v>
      </c>
      <c r="N47" s="166">
        <v>0.33</v>
      </c>
      <c r="O47" s="167">
        <v>0.1</v>
      </c>
      <c r="P47" s="168">
        <v>0.1</v>
      </c>
      <c r="Q47" s="309">
        <f t="shared" si="0"/>
        <v>10.5</v>
      </c>
      <c r="R47" s="152">
        <f t="shared" si="1"/>
        <v>10.02</v>
      </c>
      <c r="S47" s="154">
        <f t="shared" si="2"/>
        <v>14.549999999999999</v>
      </c>
      <c r="T47" s="169">
        <f t="shared" si="3"/>
        <v>2.19</v>
      </c>
      <c r="U47" s="153">
        <f t="shared" si="4"/>
        <v>24.57</v>
      </c>
      <c r="V47" s="166">
        <f>N47*E47</f>
        <v>0.99</v>
      </c>
      <c r="W47" s="167">
        <f>O47*E47</f>
        <v>0.30000000000000004</v>
      </c>
      <c r="X47" s="168">
        <f>P47*E47</f>
        <v>0.30000000000000004</v>
      </c>
      <c r="Y47" s="14"/>
    </row>
    <row r="48" spans="1:25" s="7" customFormat="1" ht="12" customHeight="1">
      <c r="A48" s="95"/>
      <c r="B48" s="46"/>
      <c r="C48" s="21" t="s">
        <v>85</v>
      </c>
      <c r="D48" s="20" t="s">
        <v>86</v>
      </c>
      <c r="E48" s="26">
        <f>3+1</f>
        <v>4</v>
      </c>
      <c r="F48" s="20" t="s">
        <v>93</v>
      </c>
      <c r="G48" s="53">
        <v>49.5</v>
      </c>
      <c r="H48" s="150">
        <f t="shared" si="8"/>
        <v>198</v>
      </c>
      <c r="I48" s="306">
        <v>8.5</v>
      </c>
      <c r="J48" s="155">
        <v>9.75</v>
      </c>
      <c r="K48" s="156">
        <v>6</v>
      </c>
      <c r="L48" s="157">
        <v>0.9</v>
      </c>
      <c r="M48" s="153">
        <f t="shared" si="9"/>
        <v>15.75</v>
      </c>
      <c r="N48" s="166">
        <v>0.33</v>
      </c>
      <c r="O48" s="167">
        <v>0.1</v>
      </c>
      <c r="P48" s="168">
        <v>0.1</v>
      </c>
      <c r="Q48" s="309">
        <f t="shared" si="0"/>
        <v>34</v>
      </c>
      <c r="R48" s="152">
        <f t="shared" si="1"/>
        <v>39</v>
      </c>
      <c r="S48" s="154">
        <f t="shared" si="2"/>
        <v>24</v>
      </c>
      <c r="T48" s="169">
        <f t="shared" si="3"/>
        <v>3.6</v>
      </c>
      <c r="U48" s="153">
        <f t="shared" si="4"/>
        <v>63</v>
      </c>
      <c r="V48" s="166">
        <f t="shared" si="5"/>
        <v>1.32</v>
      </c>
      <c r="W48" s="167">
        <f t="shared" si="6"/>
        <v>0.4</v>
      </c>
      <c r="X48" s="168">
        <f t="shared" si="7"/>
        <v>0.4</v>
      </c>
      <c r="Y48" s="14"/>
    </row>
    <row r="49" spans="1:25" s="7" customFormat="1" ht="12" customHeight="1">
      <c r="A49" s="95"/>
      <c r="B49" s="46"/>
      <c r="C49" s="21" t="s">
        <v>85</v>
      </c>
      <c r="D49" s="20" t="s">
        <v>86</v>
      </c>
      <c r="E49" s="26">
        <v>5</v>
      </c>
      <c r="F49" s="20" t="s">
        <v>94</v>
      </c>
      <c r="G49" s="53">
        <v>44</v>
      </c>
      <c r="H49" s="150">
        <f t="shared" si="8"/>
        <v>220</v>
      </c>
      <c r="I49" s="306">
        <v>8.5</v>
      </c>
      <c r="J49" s="155">
        <v>8.4</v>
      </c>
      <c r="K49" s="156">
        <v>6</v>
      </c>
      <c r="L49" s="157">
        <v>0.9</v>
      </c>
      <c r="M49" s="153">
        <f t="shared" si="9"/>
        <v>14.4</v>
      </c>
      <c r="N49" s="166">
        <v>0.33</v>
      </c>
      <c r="O49" s="167">
        <v>0.1</v>
      </c>
      <c r="P49" s="168">
        <v>0.1</v>
      </c>
      <c r="Q49" s="309">
        <f t="shared" si="0"/>
        <v>42.5</v>
      </c>
      <c r="R49" s="152">
        <f t="shared" si="1"/>
        <v>42</v>
      </c>
      <c r="S49" s="154">
        <f t="shared" si="2"/>
        <v>30</v>
      </c>
      <c r="T49" s="169">
        <f t="shared" si="3"/>
        <v>4.5</v>
      </c>
      <c r="U49" s="153">
        <f t="shared" si="4"/>
        <v>72</v>
      </c>
      <c r="V49" s="166">
        <f t="shared" si="5"/>
        <v>1.6500000000000001</v>
      </c>
      <c r="W49" s="167">
        <f t="shared" si="6"/>
        <v>0.5</v>
      </c>
      <c r="X49" s="168">
        <f t="shared" si="7"/>
        <v>0.5</v>
      </c>
      <c r="Y49" s="14"/>
    </row>
    <row r="50" spans="1:25" s="7" customFormat="1" ht="12" customHeight="1">
      <c r="A50" s="95">
        <v>40191</v>
      </c>
      <c r="B50" s="49" t="s">
        <v>39</v>
      </c>
      <c r="C50" s="20"/>
      <c r="D50" s="20" t="s">
        <v>95</v>
      </c>
      <c r="E50" s="22">
        <v>72</v>
      </c>
      <c r="F50" s="22" t="s">
        <v>96</v>
      </c>
      <c r="G50" s="56">
        <v>4.25</v>
      </c>
      <c r="H50" s="150">
        <f t="shared" si="8"/>
        <v>306</v>
      </c>
      <c r="I50" s="306">
        <v>0</v>
      </c>
      <c r="J50" s="155">
        <v>0</v>
      </c>
      <c r="K50" s="156">
        <v>0</v>
      </c>
      <c r="L50" s="157">
        <v>0</v>
      </c>
      <c r="M50" s="153">
        <f t="shared" si="9"/>
        <v>0</v>
      </c>
      <c r="N50" s="166">
        <v>0.28999999999999998</v>
      </c>
      <c r="O50" s="167">
        <v>0.1</v>
      </c>
      <c r="P50" s="168">
        <v>0.1</v>
      </c>
      <c r="Q50" s="309">
        <f t="shared" si="0"/>
        <v>0</v>
      </c>
      <c r="R50" s="152">
        <f t="shared" si="1"/>
        <v>0</v>
      </c>
      <c r="S50" s="154">
        <f t="shared" si="2"/>
        <v>0</v>
      </c>
      <c r="T50" s="169">
        <f t="shared" si="3"/>
        <v>0</v>
      </c>
      <c r="U50" s="153">
        <f t="shared" si="4"/>
        <v>0</v>
      </c>
      <c r="V50" s="166">
        <f t="shared" si="5"/>
        <v>20.88</v>
      </c>
      <c r="W50" s="167">
        <f t="shared" si="6"/>
        <v>7.2</v>
      </c>
      <c r="X50" s="168">
        <f t="shared" si="7"/>
        <v>7.2</v>
      </c>
      <c r="Y50" s="14"/>
    </row>
    <row r="51" spans="1:25" s="7" customFormat="1" ht="12" customHeight="1">
      <c r="A51" s="95"/>
      <c r="B51" s="48"/>
      <c r="C51" s="20"/>
      <c r="D51" s="20" t="s">
        <v>95</v>
      </c>
      <c r="E51" s="22">
        <v>10</v>
      </c>
      <c r="F51" s="22" t="s">
        <v>97</v>
      </c>
      <c r="G51" s="56">
        <v>2.5</v>
      </c>
      <c r="H51" s="150">
        <f t="shared" si="8"/>
        <v>25</v>
      </c>
      <c r="I51" s="306">
        <v>0</v>
      </c>
      <c r="J51" s="155">
        <v>0</v>
      </c>
      <c r="K51" s="156">
        <v>0</v>
      </c>
      <c r="L51" s="157">
        <v>0</v>
      </c>
      <c r="M51" s="153">
        <f t="shared" si="9"/>
        <v>0</v>
      </c>
      <c r="N51" s="166">
        <v>0</v>
      </c>
      <c r="O51" s="167">
        <v>0</v>
      </c>
      <c r="P51" s="168">
        <v>0</v>
      </c>
      <c r="Q51" s="309">
        <f t="shared" si="0"/>
        <v>0</v>
      </c>
      <c r="R51" s="152">
        <f t="shared" si="1"/>
        <v>0</v>
      </c>
      <c r="S51" s="154">
        <f t="shared" si="2"/>
        <v>0</v>
      </c>
      <c r="T51" s="169">
        <f t="shared" si="3"/>
        <v>0</v>
      </c>
      <c r="U51" s="153">
        <f t="shared" si="4"/>
        <v>0</v>
      </c>
      <c r="V51" s="166">
        <f t="shared" si="5"/>
        <v>0</v>
      </c>
      <c r="W51" s="167">
        <f t="shared" si="6"/>
        <v>0</v>
      </c>
      <c r="X51" s="168">
        <f t="shared" si="7"/>
        <v>0</v>
      </c>
      <c r="Y51" s="14"/>
    </row>
    <row r="52" spans="1:25" s="7" customFormat="1" ht="12" customHeight="1">
      <c r="A52" s="95"/>
      <c r="B52" s="48"/>
      <c r="C52" s="20"/>
      <c r="D52" s="20" t="s">
        <v>95</v>
      </c>
      <c r="E52" s="22">
        <v>2</v>
      </c>
      <c r="F52" s="22" t="s">
        <v>98</v>
      </c>
      <c r="G52" s="56">
        <v>10</v>
      </c>
      <c r="H52" s="150">
        <f t="shared" si="8"/>
        <v>20</v>
      </c>
      <c r="I52" s="306">
        <v>0</v>
      </c>
      <c r="J52" s="155">
        <v>0</v>
      </c>
      <c r="K52" s="156">
        <v>0</v>
      </c>
      <c r="L52" s="157">
        <v>0</v>
      </c>
      <c r="M52" s="153">
        <f t="shared" si="9"/>
        <v>0</v>
      </c>
      <c r="N52" s="166">
        <v>0.33</v>
      </c>
      <c r="O52" s="167">
        <v>0.1</v>
      </c>
      <c r="P52" s="168">
        <v>0.1</v>
      </c>
      <c r="Q52" s="309">
        <f t="shared" si="0"/>
        <v>0</v>
      </c>
      <c r="R52" s="152">
        <f t="shared" si="1"/>
        <v>0</v>
      </c>
      <c r="S52" s="154">
        <f t="shared" si="2"/>
        <v>0</v>
      </c>
      <c r="T52" s="169">
        <f t="shared" si="3"/>
        <v>0</v>
      </c>
      <c r="U52" s="153">
        <f t="shared" si="4"/>
        <v>0</v>
      </c>
      <c r="V52" s="166">
        <f t="shared" si="5"/>
        <v>0.66</v>
      </c>
      <c r="W52" s="167">
        <f t="shared" si="6"/>
        <v>0.2</v>
      </c>
      <c r="X52" s="168">
        <f t="shared" si="7"/>
        <v>0.2</v>
      </c>
      <c r="Y52" s="14"/>
    </row>
    <row r="53" spans="1:25" s="7" customFormat="1" ht="12" customHeight="1">
      <c r="A53" s="95">
        <v>40170</v>
      </c>
      <c r="B53" s="48">
        <v>306</v>
      </c>
      <c r="C53" s="27" t="s">
        <v>99</v>
      </c>
      <c r="D53" s="20" t="s">
        <v>42</v>
      </c>
      <c r="E53" s="26">
        <v>1784</v>
      </c>
      <c r="F53" s="20" t="s">
        <v>100</v>
      </c>
      <c r="G53" s="53">
        <v>18</v>
      </c>
      <c r="H53" s="150">
        <f t="shared" si="8"/>
        <v>32112</v>
      </c>
      <c r="I53" s="306">
        <v>1.5</v>
      </c>
      <c r="J53" s="155">
        <v>6.73</v>
      </c>
      <c r="K53" s="156">
        <v>0</v>
      </c>
      <c r="L53" s="157">
        <v>0</v>
      </c>
      <c r="M53" s="153">
        <f t="shared" si="9"/>
        <v>6.73</v>
      </c>
      <c r="N53" s="166">
        <v>0.33</v>
      </c>
      <c r="O53" s="167">
        <v>0.1</v>
      </c>
      <c r="P53" s="168">
        <v>0.1</v>
      </c>
      <c r="Q53" s="309">
        <f t="shared" si="0"/>
        <v>2676</v>
      </c>
      <c r="R53" s="178">
        <f t="shared" si="1"/>
        <v>12006.320000000002</v>
      </c>
      <c r="S53" s="154">
        <f t="shared" si="2"/>
        <v>0</v>
      </c>
      <c r="T53" s="169">
        <f t="shared" si="3"/>
        <v>0</v>
      </c>
      <c r="U53" s="179">
        <f t="shared" si="4"/>
        <v>12006.320000000002</v>
      </c>
      <c r="V53" s="166">
        <f t="shared" si="5"/>
        <v>588.72</v>
      </c>
      <c r="W53" s="167">
        <f t="shared" si="6"/>
        <v>178.4</v>
      </c>
      <c r="X53" s="168">
        <f t="shared" si="7"/>
        <v>178.4</v>
      </c>
      <c r="Y53" s="14"/>
    </row>
    <row r="54" spans="1:25" s="7" customFormat="1" ht="12" customHeight="1">
      <c r="A54" s="145"/>
      <c r="B54" s="48"/>
      <c r="C54" s="23" t="s">
        <v>99</v>
      </c>
      <c r="D54" s="20" t="s">
        <v>42</v>
      </c>
      <c r="E54" s="26">
        <v>1460</v>
      </c>
      <c r="F54" s="20" t="s">
        <v>101</v>
      </c>
      <c r="G54" s="53">
        <v>18</v>
      </c>
      <c r="H54" s="150">
        <f t="shared" si="8"/>
        <v>26280</v>
      </c>
      <c r="I54" s="306">
        <v>1.5</v>
      </c>
      <c r="J54" s="155">
        <v>1.68</v>
      </c>
      <c r="K54" s="156">
        <v>0</v>
      </c>
      <c r="L54" s="157">
        <v>0</v>
      </c>
      <c r="M54" s="153">
        <f t="shared" si="9"/>
        <v>1.68</v>
      </c>
      <c r="N54" s="166">
        <v>0.33</v>
      </c>
      <c r="O54" s="167">
        <v>0.1</v>
      </c>
      <c r="P54" s="168">
        <v>0.1</v>
      </c>
      <c r="Q54" s="309">
        <f t="shared" si="0"/>
        <v>2190</v>
      </c>
      <c r="R54" s="152">
        <f t="shared" si="1"/>
        <v>2452.7999999999997</v>
      </c>
      <c r="S54" s="154">
        <f t="shared" si="2"/>
        <v>0</v>
      </c>
      <c r="T54" s="169">
        <f t="shared" si="3"/>
        <v>0</v>
      </c>
      <c r="U54" s="153">
        <f t="shared" si="4"/>
        <v>2452.7999999999997</v>
      </c>
      <c r="V54" s="166">
        <f t="shared" si="5"/>
        <v>481.8</v>
      </c>
      <c r="W54" s="167">
        <f t="shared" si="6"/>
        <v>146</v>
      </c>
      <c r="X54" s="168">
        <f t="shared" si="7"/>
        <v>146</v>
      </c>
      <c r="Y54" s="14"/>
    </row>
    <row r="55" spans="1:25" s="7" customFormat="1" ht="12" customHeight="1">
      <c r="A55" s="145"/>
      <c r="B55" s="48"/>
      <c r="C55" s="23" t="s">
        <v>99</v>
      </c>
      <c r="D55" s="20" t="s">
        <v>42</v>
      </c>
      <c r="E55" s="26">
        <v>256</v>
      </c>
      <c r="F55" s="20" t="s">
        <v>102</v>
      </c>
      <c r="G55" s="53">
        <v>18</v>
      </c>
      <c r="H55" s="150">
        <f t="shared" si="8"/>
        <v>4608</v>
      </c>
      <c r="I55" s="306">
        <v>1.5</v>
      </c>
      <c r="J55" s="155">
        <v>1.93</v>
      </c>
      <c r="K55" s="156">
        <v>0</v>
      </c>
      <c r="L55" s="157">
        <v>0</v>
      </c>
      <c r="M55" s="153">
        <f t="shared" si="9"/>
        <v>1.93</v>
      </c>
      <c r="N55" s="166">
        <v>0.33</v>
      </c>
      <c r="O55" s="167">
        <v>0.1</v>
      </c>
      <c r="P55" s="168">
        <v>0.1</v>
      </c>
      <c r="Q55" s="309">
        <f t="shared" si="0"/>
        <v>384</v>
      </c>
      <c r="R55" s="152">
        <f t="shared" si="1"/>
        <v>494.08</v>
      </c>
      <c r="S55" s="154">
        <f t="shared" si="2"/>
        <v>0</v>
      </c>
      <c r="T55" s="169">
        <f t="shared" si="3"/>
        <v>0</v>
      </c>
      <c r="U55" s="153">
        <f t="shared" si="4"/>
        <v>494.08</v>
      </c>
      <c r="V55" s="166">
        <f t="shared" si="5"/>
        <v>84.48</v>
      </c>
      <c r="W55" s="167">
        <f t="shared" si="6"/>
        <v>25.6</v>
      </c>
      <c r="X55" s="168">
        <f t="shared" si="7"/>
        <v>25.6</v>
      </c>
      <c r="Y55" s="14"/>
    </row>
    <row r="56" spans="1:25" s="7" customFormat="1" ht="12" customHeight="1">
      <c r="A56" s="67">
        <v>40192</v>
      </c>
      <c r="B56" s="46">
        <v>307</v>
      </c>
      <c r="C56" s="20" t="s">
        <v>32</v>
      </c>
      <c r="D56" s="20" t="s">
        <v>28</v>
      </c>
      <c r="E56" s="26">
        <v>4</v>
      </c>
      <c r="F56" s="20" t="s">
        <v>103</v>
      </c>
      <c r="G56" s="53">
        <v>43</v>
      </c>
      <c r="H56" s="150">
        <f t="shared" si="8"/>
        <v>172</v>
      </c>
      <c r="I56" s="306">
        <v>3.5</v>
      </c>
      <c r="J56" s="155">
        <v>12.62</v>
      </c>
      <c r="K56" s="156">
        <v>2.5</v>
      </c>
      <c r="L56" s="157">
        <v>0.38</v>
      </c>
      <c r="M56" s="153">
        <f t="shared" si="9"/>
        <v>15.12</v>
      </c>
      <c r="N56" s="166">
        <v>0.33</v>
      </c>
      <c r="O56" s="167">
        <v>0.1</v>
      </c>
      <c r="P56" s="168">
        <v>0.1</v>
      </c>
      <c r="Q56" s="309">
        <f t="shared" si="0"/>
        <v>14</v>
      </c>
      <c r="R56" s="152">
        <f t="shared" si="1"/>
        <v>50.48</v>
      </c>
      <c r="S56" s="154">
        <f t="shared" si="2"/>
        <v>10</v>
      </c>
      <c r="T56" s="169">
        <f t="shared" si="3"/>
        <v>1.52</v>
      </c>
      <c r="U56" s="153">
        <f t="shared" si="4"/>
        <v>60.48</v>
      </c>
      <c r="V56" s="166">
        <f t="shared" si="5"/>
        <v>1.32</v>
      </c>
      <c r="W56" s="167">
        <f t="shared" si="6"/>
        <v>0.4</v>
      </c>
      <c r="X56" s="168">
        <f t="shared" si="7"/>
        <v>0.4</v>
      </c>
      <c r="Y56" s="14"/>
    </row>
    <row r="57" spans="1:25" s="7" customFormat="1" ht="12" customHeight="1">
      <c r="A57" s="145"/>
      <c r="B57" s="48"/>
      <c r="C57" s="20" t="s">
        <v>32</v>
      </c>
      <c r="D57" s="20" t="s">
        <v>28</v>
      </c>
      <c r="E57" s="26">
        <v>16</v>
      </c>
      <c r="F57" s="20" t="s">
        <v>104</v>
      </c>
      <c r="G57" s="53">
        <v>43</v>
      </c>
      <c r="H57" s="150">
        <f t="shared" si="8"/>
        <v>688</v>
      </c>
      <c r="I57" s="306">
        <v>3.5</v>
      </c>
      <c r="J57" s="155">
        <v>6.61</v>
      </c>
      <c r="K57" s="156">
        <v>2.5</v>
      </c>
      <c r="L57" s="157">
        <v>0.38</v>
      </c>
      <c r="M57" s="153">
        <f t="shared" si="9"/>
        <v>9.11</v>
      </c>
      <c r="N57" s="166">
        <v>0.33</v>
      </c>
      <c r="O57" s="167">
        <v>0.1</v>
      </c>
      <c r="P57" s="168">
        <v>0.1</v>
      </c>
      <c r="Q57" s="309">
        <f t="shared" si="0"/>
        <v>56</v>
      </c>
      <c r="R57" s="152">
        <f t="shared" si="1"/>
        <v>105.76</v>
      </c>
      <c r="S57" s="154">
        <f t="shared" si="2"/>
        <v>40</v>
      </c>
      <c r="T57" s="169">
        <f t="shared" si="3"/>
        <v>6.08</v>
      </c>
      <c r="U57" s="153">
        <f t="shared" si="4"/>
        <v>145.76</v>
      </c>
      <c r="V57" s="166">
        <f t="shared" si="5"/>
        <v>5.28</v>
      </c>
      <c r="W57" s="167">
        <f t="shared" si="6"/>
        <v>1.6</v>
      </c>
      <c r="X57" s="168">
        <f t="shared" si="7"/>
        <v>1.6</v>
      </c>
      <c r="Y57" s="14"/>
    </row>
    <row r="58" spans="1:25" ht="12" customHeight="1">
      <c r="A58" s="145">
        <v>40193</v>
      </c>
      <c r="B58" s="48">
        <v>308</v>
      </c>
      <c r="C58" s="20" t="s">
        <v>105</v>
      </c>
      <c r="D58" s="20" t="s">
        <v>106</v>
      </c>
      <c r="E58" s="26">
        <v>25</v>
      </c>
      <c r="F58" s="20" t="s">
        <v>107</v>
      </c>
      <c r="G58" s="53">
        <v>14.5</v>
      </c>
      <c r="H58" s="150">
        <f t="shared" si="8"/>
        <v>362.5</v>
      </c>
      <c r="I58" s="306">
        <v>1.5</v>
      </c>
      <c r="J58" s="155">
        <v>2.2200000000000002</v>
      </c>
      <c r="K58" s="156">
        <v>0.9</v>
      </c>
      <c r="L58" s="157">
        <v>0.14000000000000001</v>
      </c>
      <c r="M58" s="153">
        <f t="shared" si="9"/>
        <v>3.12</v>
      </c>
      <c r="N58" s="166">
        <v>0.33</v>
      </c>
      <c r="O58" s="167">
        <v>0.1</v>
      </c>
      <c r="P58" s="168">
        <v>0.1</v>
      </c>
      <c r="Q58" s="309">
        <f t="shared" si="0"/>
        <v>37.5</v>
      </c>
      <c r="R58" s="152">
        <f t="shared" si="1"/>
        <v>55.500000000000007</v>
      </c>
      <c r="S58" s="154">
        <f t="shared" si="2"/>
        <v>22.5</v>
      </c>
      <c r="T58" s="169">
        <f t="shared" si="3"/>
        <v>3.5000000000000004</v>
      </c>
      <c r="U58" s="153">
        <f t="shared" si="4"/>
        <v>78</v>
      </c>
      <c r="V58" s="166">
        <f t="shared" si="5"/>
        <v>8.25</v>
      </c>
      <c r="W58" s="167">
        <f t="shared" si="6"/>
        <v>2.5</v>
      </c>
      <c r="X58" s="168">
        <f t="shared" si="7"/>
        <v>2.5</v>
      </c>
      <c r="Y58" s="14"/>
    </row>
    <row r="59" spans="1:25" ht="12" customHeight="1">
      <c r="A59" s="145"/>
      <c r="B59" s="48"/>
      <c r="C59" s="20" t="s">
        <v>105</v>
      </c>
      <c r="D59" s="20" t="s">
        <v>106</v>
      </c>
      <c r="E59" s="26">
        <v>7</v>
      </c>
      <c r="F59" s="20" t="s">
        <v>108</v>
      </c>
      <c r="G59" s="53">
        <v>52</v>
      </c>
      <c r="H59" s="150">
        <f t="shared" si="8"/>
        <v>364</v>
      </c>
      <c r="I59" s="306">
        <v>8.5</v>
      </c>
      <c r="J59" s="155">
        <v>15.9</v>
      </c>
      <c r="K59" s="156">
        <v>0.9</v>
      </c>
      <c r="L59" s="157">
        <v>0.14000000000000001</v>
      </c>
      <c r="M59" s="153">
        <f t="shared" si="9"/>
        <v>16.8</v>
      </c>
      <c r="N59" s="166">
        <v>0.28999999999999998</v>
      </c>
      <c r="O59" s="167">
        <v>0.1</v>
      </c>
      <c r="P59" s="168">
        <v>0.1</v>
      </c>
      <c r="Q59" s="309">
        <f t="shared" si="0"/>
        <v>59.5</v>
      </c>
      <c r="R59" s="152">
        <f t="shared" si="1"/>
        <v>111.3</v>
      </c>
      <c r="S59" s="154">
        <f t="shared" si="2"/>
        <v>6.3</v>
      </c>
      <c r="T59" s="169">
        <f t="shared" si="3"/>
        <v>0.98000000000000009</v>
      </c>
      <c r="U59" s="153">
        <f t="shared" si="4"/>
        <v>117.60000000000001</v>
      </c>
      <c r="V59" s="166">
        <f t="shared" si="5"/>
        <v>2.0299999999999998</v>
      </c>
      <c r="W59" s="167">
        <f t="shared" si="6"/>
        <v>0.70000000000000007</v>
      </c>
      <c r="X59" s="168">
        <f t="shared" si="7"/>
        <v>0.70000000000000007</v>
      </c>
      <c r="Y59" s="14"/>
    </row>
    <row r="60" spans="1:25" ht="12" customHeight="1">
      <c r="A60" s="67"/>
      <c r="B60" s="49"/>
      <c r="C60" s="20" t="s">
        <v>105</v>
      </c>
      <c r="D60" s="20" t="s">
        <v>106</v>
      </c>
      <c r="E60" s="26">
        <v>7</v>
      </c>
      <c r="F60" s="20" t="s">
        <v>109</v>
      </c>
      <c r="G60" s="53">
        <v>52</v>
      </c>
      <c r="H60" s="150">
        <f t="shared" si="8"/>
        <v>364</v>
      </c>
      <c r="I60" s="306">
        <v>8.5</v>
      </c>
      <c r="J60" s="155">
        <v>20.100000000000001</v>
      </c>
      <c r="K60" s="156">
        <v>0.9</v>
      </c>
      <c r="L60" s="157">
        <v>0.14000000000000001</v>
      </c>
      <c r="M60" s="153">
        <f t="shared" si="9"/>
        <v>21</v>
      </c>
      <c r="N60" s="166">
        <v>0.28999999999999998</v>
      </c>
      <c r="O60" s="167">
        <v>0.1</v>
      </c>
      <c r="P60" s="168">
        <v>0.1</v>
      </c>
      <c r="Q60" s="309">
        <f t="shared" si="0"/>
        <v>59.5</v>
      </c>
      <c r="R60" s="152">
        <f t="shared" si="1"/>
        <v>140.70000000000002</v>
      </c>
      <c r="S60" s="154">
        <f t="shared" si="2"/>
        <v>6.3</v>
      </c>
      <c r="T60" s="169">
        <f t="shared" si="3"/>
        <v>0.98000000000000009</v>
      </c>
      <c r="U60" s="153">
        <f t="shared" si="4"/>
        <v>147</v>
      </c>
      <c r="V60" s="166">
        <f t="shared" si="5"/>
        <v>2.0299999999999998</v>
      </c>
      <c r="W60" s="167">
        <f t="shared" si="6"/>
        <v>0.70000000000000007</v>
      </c>
      <c r="X60" s="168">
        <f t="shared" si="7"/>
        <v>0.70000000000000007</v>
      </c>
      <c r="Y60" s="14"/>
    </row>
    <row r="61" spans="1:25" ht="12" customHeight="1">
      <c r="A61" s="145"/>
      <c r="B61" s="48"/>
      <c r="C61" s="20" t="s">
        <v>105</v>
      </c>
      <c r="D61" s="20" t="s">
        <v>106</v>
      </c>
      <c r="E61" s="26">
        <v>13</v>
      </c>
      <c r="F61" s="20" t="s">
        <v>110</v>
      </c>
      <c r="G61" s="53">
        <v>39</v>
      </c>
      <c r="H61" s="150">
        <f t="shared" si="8"/>
        <v>507</v>
      </c>
      <c r="I61" s="306">
        <v>3.5</v>
      </c>
      <c r="J61" s="155">
        <v>7.02</v>
      </c>
      <c r="K61" s="156">
        <v>0.9</v>
      </c>
      <c r="L61" s="157">
        <v>0.14000000000000001</v>
      </c>
      <c r="M61" s="153">
        <f t="shared" si="9"/>
        <v>7.92</v>
      </c>
      <c r="N61" s="166">
        <v>0.33</v>
      </c>
      <c r="O61" s="167">
        <v>0.1</v>
      </c>
      <c r="P61" s="168">
        <v>0.1</v>
      </c>
      <c r="Q61" s="309">
        <f t="shared" si="0"/>
        <v>45.5</v>
      </c>
      <c r="R61" s="152">
        <f t="shared" si="1"/>
        <v>91.259999999999991</v>
      </c>
      <c r="S61" s="154">
        <f t="shared" si="2"/>
        <v>11.700000000000001</v>
      </c>
      <c r="T61" s="169">
        <f t="shared" si="3"/>
        <v>1.8200000000000003</v>
      </c>
      <c r="U61" s="153">
        <f t="shared" si="4"/>
        <v>102.96</v>
      </c>
      <c r="V61" s="166">
        <f t="shared" si="5"/>
        <v>4.29</v>
      </c>
      <c r="W61" s="167">
        <f t="shared" si="6"/>
        <v>1.3</v>
      </c>
      <c r="X61" s="168">
        <f t="shared" si="7"/>
        <v>1.3</v>
      </c>
      <c r="Y61" s="14"/>
    </row>
    <row r="62" spans="1:25" ht="12" customHeight="1">
      <c r="A62" s="145"/>
      <c r="B62" s="48"/>
      <c r="C62" s="20" t="s">
        <v>105</v>
      </c>
      <c r="D62" s="20" t="s">
        <v>106</v>
      </c>
      <c r="E62" s="26">
        <v>12</v>
      </c>
      <c r="F62" s="20" t="s">
        <v>111</v>
      </c>
      <c r="G62" s="53">
        <v>39</v>
      </c>
      <c r="H62" s="150">
        <f t="shared" si="8"/>
        <v>468</v>
      </c>
      <c r="I62" s="306">
        <v>3.5</v>
      </c>
      <c r="J62" s="155">
        <v>12.53</v>
      </c>
      <c r="K62" s="156">
        <v>0.9</v>
      </c>
      <c r="L62" s="157">
        <v>0.14000000000000001</v>
      </c>
      <c r="M62" s="153">
        <f t="shared" si="9"/>
        <v>13.43</v>
      </c>
      <c r="N62" s="166">
        <v>0.33</v>
      </c>
      <c r="O62" s="167">
        <v>0.1</v>
      </c>
      <c r="P62" s="168">
        <v>0.1</v>
      </c>
      <c r="Q62" s="309">
        <f t="shared" si="0"/>
        <v>42</v>
      </c>
      <c r="R62" s="152">
        <f t="shared" si="1"/>
        <v>150.35999999999999</v>
      </c>
      <c r="S62" s="154">
        <f t="shared" si="2"/>
        <v>10.8</v>
      </c>
      <c r="T62" s="169">
        <f t="shared" si="3"/>
        <v>1.6800000000000002</v>
      </c>
      <c r="U62" s="153">
        <f t="shared" si="4"/>
        <v>161.16</v>
      </c>
      <c r="V62" s="166">
        <f t="shared" si="5"/>
        <v>3.96</v>
      </c>
      <c r="W62" s="167">
        <f t="shared" si="6"/>
        <v>1.2000000000000002</v>
      </c>
      <c r="X62" s="168">
        <f t="shared" si="7"/>
        <v>1.2000000000000002</v>
      </c>
      <c r="Y62" s="14"/>
    </row>
    <row r="63" spans="1:25" ht="12" customHeight="1">
      <c r="A63" s="145">
        <v>40194</v>
      </c>
      <c r="B63" s="48">
        <v>309</v>
      </c>
      <c r="C63" s="20" t="s">
        <v>112</v>
      </c>
      <c r="D63" s="20" t="s">
        <v>113</v>
      </c>
      <c r="E63" s="26">
        <v>6</v>
      </c>
      <c r="F63" s="20" t="s">
        <v>114</v>
      </c>
      <c r="G63" s="53">
        <v>62.5</v>
      </c>
      <c r="H63" s="150">
        <f t="shared" si="8"/>
        <v>375</v>
      </c>
      <c r="I63" s="306">
        <v>8.5</v>
      </c>
      <c r="J63" s="155">
        <v>9.52</v>
      </c>
      <c r="K63" s="156">
        <v>5.5</v>
      </c>
      <c r="L63" s="157">
        <v>0.83</v>
      </c>
      <c r="M63" s="153">
        <f t="shared" si="9"/>
        <v>15.02</v>
      </c>
      <c r="N63" s="166">
        <v>0.33</v>
      </c>
      <c r="O63" s="167">
        <v>0.1</v>
      </c>
      <c r="P63" s="168">
        <v>0.1</v>
      </c>
      <c r="Q63" s="309">
        <f t="shared" si="0"/>
        <v>51</v>
      </c>
      <c r="R63" s="152">
        <f t="shared" si="1"/>
        <v>57.12</v>
      </c>
      <c r="S63" s="154">
        <f t="shared" si="2"/>
        <v>33</v>
      </c>
      <c r="T63" s="169">
        <f t="shared" si="3"/>
        <v>4.9799999999999995</v>
      </c>
      <c r="U63" s="153">
        <f t="shared" si="4"/>
        <v>90.12</v>
      </c>
      <c r="V63" s="166">
        <f t="shared" si="5"/>
        <v>1.98</v>
      </c>
      <c r="W63" s="167">
        <f t="shared" si="6"/>
        <v>0.60000000000000009</v>
      </c>
      <c r="X63" s="168">
        <f t="shared" si="7"/>
        <v>0.60000000000000009</v>
      </c>
      <c r="Y63" s="14"/>
    </row>
    <row r="64" spans="1:25" ht="12" customHeight="1">
      <c r="A64" s="145"/>
      <c r="B64" s="48"/>
      <c r="C64" s="20" t="s">
        <v>115</v>
      </c>
      <c r="D64" s="20" t="s">
        <v>113</v>
      </c>
      <c r="E64" s="26">
        <v>150</v>
      </c>
      <c r="F64" s="20" t="s">
        <v>116</v>
      </c>
      <c r="G64" s="53">
        <v>25</v>
      </c>
      <c r="H64" s="150">
        <f t="shared" si="8"/>
        <v>3750</v>
      </c>
      <c r="I64" s="306">
        <v>1</v>
      </c>
      <c r="J64" s="155">
        <v>4.7</v>
      </c>
      <c r="K64" s="156">
        <v>0</v>
      </c>
      <c r="L64" s="157">
        <v>0</v>
      </c>
      <c r="M64" s="153">
        <f t="shared" si="9"/>
        <v>4.7</v>
      </c>
      <c r="N64" s="166">
        <v>0.33</v>
      </c>
      <c r="O64" s="167">
        <v>0.1</v>
      </c>
      <c r="P64" s="168">
        <v>0.1</v>
      </c>
      <c r="Q64" s="309">
        <f t="shared" si="0"/>
        <v>150</v>
      </c>
      <c r="R64" s="152">
        <f t="shared" si="1"/>
        <v>705</v>
      </c>
      <c r="S64" s="154">
        <f t="shared" si="2"/>
        <v>0</v>
      </c>
      <c r="T64" s="169">
        <f t="shared" si="3"/>
        <v>0</v>
      </c>
      <c r="U64" s="153">
        <f t="shared" si="4"/>
        <v>705</v>
      </c>
      <c r="V64" s="166">
        <f t="shared" si="5"/>
        <v>49.5</v>
      </c>
      <c r="W64" s="167">
        <f t="shared" si="6"/>
        <v>15</v>
      </c>
      <c r="X64" s="168">
        <f t="shared" si="7"/>
        <v>15</v>
      </c>
      <c r="Y64" s="14" t="s">
        <v>26</v>
      </c>
    </row>
    <row r="65" spans="1:25" ht="12" customHeight="1">
      <c r="A65" s="145">
        <v>40197</v>
      </c>
      <c r="B65" s="48">
        <v>310</v>
      </c>
      <c r="C65" s="20" t="s">
        <v>41</v>
      </c>
      <c r="D65" s="20" t="s">
        <v>42</v>
      </c>
      <c r="E65" s="26">
        <v>3</v>
      </c>
      <c r="F65" s="20" t="s">
        <v>117</v>
      </c>
      <c r="G65" s="53">
        <v>95</v>
      </c>
      <c r="H65" s="150">
        <f t="shared" si="8"/>
        <v>285</v>
      </c>
      <c r="I65" s="306">
        <v>3</v>
      </c>
      <c r="J65" s="155">
        <v>3.25</v>
      </c>
      <c r="K65" s="156">
        <v>4</v>
      </c>
      <c r="L65" s="157">
        <v>0.6</v>
      </c>
      <c r="M65" s="153">
        <f t="shared" si="9"/>
        <v>7.25</v>
      </c>
      <c r="N65" s="166">
        <v>0.21</v>
      </c>
      <c r="O65" s="167">
        <v>0.1</v>
      </c>
      <c r="P65" s="168">
        <v>0.1</v>
      </c>
      <c r="Q65" s="309">
        <f t="shared" si="0"/>
        <v>9</v>
      </c>
      <c r="R65" s="152">
        <f t="shared" si="1"/>
        <v>9.75</v>
      </c>
      <c r="S65" s="154">
        <f t="shared" si="2"/>
        <v>12</v>
      </c>
      <c r="T65" s="169">
        <f t="shared" si="3"/>
        <v>1.7999999999999998</v>
      </c>
      <c r="U65" s="153">
        <f t="shared" si="4"/>
        <v>21.75</v>
      </c>
      <c r="V65" s="166">
        <f t="shared" si="5"/>
        <v>0.63</v>
      </c>
      <c r="W65" s="167">
        <f t="shared" si="6"/>
        <v>0.30000000000000004</v>
      </c>
      <c r="X65" s="168">
        <f t="shared" si="7"/>
        <v>0.30000000000000004</v>
      </c>
      <c r="Y65" s="14" t="s">
        <v>26</v>
      </c>
    </row>
    <row r="66" spans="1:25" ht="12" customHeight="1">
      <c r="A66" s="145"/>
      <c r="B66" s="48"/>
      <c r="C66" s="20" t="s">
        <v>41</v>
      </c>
      <c r="D66" s="20" t="s">
        <v>42</v>
      </c>
      <c r="E66" s="26">
        <v>3</v>
      </c>
      <c r="F66" s="20" t="s">
        <v>118</v>
      </c>
      <c r="G66" s="53">
        <v>95</v>
      </c>
      <c r="H66" s="150">
        <f t="shared" si="8"/>
        <v>285</v>
      </c>
      <c r="I66" s="307">
        <v>12.5</v>
      </c>
      <c r="J66" s="155">
        <v>9.9499999999999993</v>
      </c>
      <c r="K66" s="156">
        <v>3</v>
      </c>
      <c r="L66" s="157">
        <v>0.45</v>
      </c>
      <c r="M66" s="153">
        <f t="shared" si="9"/>
        <v>12.95</v>
      </c>
      <c r="N66" s="166">
        <v>0.21</v>
      </c>
      <c r="O66" s="167">
        <v>0.1</v>
      </c>
      <c r="P66" s="168">
        <v>0.1</v>
      </c>
      <c r="Q66" s="309">
        <f t="shared" si="0"/>
        <v>37.5</v>
      </c>
      <c r="R66" s="152">
        <f t="shared" si="1"/>
        <v>29.849999999999998</v>
      </c>
      <c r="S66" s="154">
        <f t="shared" si="2"/>
        <v>9</v>
      </c>
      <c r="T66" s="169">
        <f t="shared" si="3"/>
        <v>1.35</v>
      </c>
      <c r="U66" s="153">
        <f t="shared" si="4"/>
        <v>38.849999999999994</v>
      </c>
      <c r="V66" s="166">
        <f t="shared" si="5"/>
        <v>0.63</v>
      </c>
      <c r="W66" s="167">
        <f t="shared" si="6"/>
        <v>0.30000000000000004</v>
      </c>
      <c r="X66" s="168">
        <f t="shared" si="7"/>
        <v>0.30000000000000004</v>
      </c>
      <c r="Y66" s="14" t="s">
        <v>26</v>
      </c>
    </row>
    <row r="67" spans="1:25" ht="12" customHeight="1">
      <c r="A67" s="67"/>
      <c r="B67" s="49"/>
      <c r="C67" s="20" t="s">
        <v>41</v>
      </c>
      <c r="D67" s="20" t="s">
        <v>42</v>
      </c>
      <c r="E67" s="26">
        <v>12</v>
      </c>
      <c r="F67" s="20" t="s">
        <v>119</v>
      </c>
      <c r="G67" s="53">
        <v>45</v>
      </c>
      <c r="H67" s="150">
        <f t="shared" si="8"/>
        <v>540</v>
      </c>
      <c r="I67" s="306">
        <v>6.5</v>
      </c>
      <c r="J67" s="155">
        <v>13.22</v>
      </c>
      <c r="K67" s="156">
        <v>1.77</v>
      </c>
      <c r="L67" s="157">
        <v>0.31</v>
      </c>
      <c r="M67" s="153">
        <f t="shared" si="9"/>
        <v>14.99</v>
      </c>
      <c r="N67" s="166">
        <v>0</v>
      </c>
      <c r="O67" s="167">
        <v>0.1</v>
      </c>
      <c r="P67" s="168">
        <v>0.1</v>
      </c>
      <c r="Q67" s="309">
        <f t="shared" si="0"/>
        <v>78</v>
      </c>
      <c r="R67" s="152">
        <f t="shared" si="1"/>
        <v>158.64000000000001</v>
      </c>
      <c r="S67" s="154">
        <f t="shared" si="2"/>
        <v>21.240000000000002</v>
      </c>
      <c r="T67" s="169">
        <f t="shared" si="3"/>
        <v>3.7199999999999998</v>
      </c>
      <c r="U67" s="153">
        <f t="shared" si="4"/>
        <v>179.88</v>
      </c>
      <c r="V67" s="166">
        <f t="shared" si="5"/>
        <v>0</v>
      </c>
      <c r="W67" s="167">
        <f t="shared" si="6"/>
        <v>1.2000000000000002</v>
      </c>
      <c r="X67" s="168">
        <f t="shared" si="7"/>
        <v>1.2000000000000002</v>
      </c>
      <c r="Y67" s="15"/>
    </row>
    <row r="68" spans="1:25" ht="12" customHeight="1">
      <c r="A68" s="145">
        <v>40198</v>
      </c>
      <c r="B68" s="48">
        <v>311</v>
      </c>
      <c r="C68" s="20" t="s">
        <v>40</v>
      </c>
      <c r="D68" s="20" t="s">
        <v>42</v>
      </c>
      <c r="E68" s="26">
        <v>2100</v>
      </c>
      <c r="F68" s="20" t="s">
        <v>120</v>
      </c>
      <c r="G68" s="53">
        <v>8</v>
      </c>
      <c r="H68" s="150">
        <f t="shared" si="8"/>
        <v>16800</v>
      </c>
      <c r="I68" s="306">
        <v>1.1499999999999999</v>
      </c>
      <c r="J68" s="155">
        <v>1.3</v>
      </c>
      <c r="K68" s="156">
        <v>0</v>
      </c>
      <c r="L68" s="157">
        <v>0</v>
      </c>
      <c r="M68" s="153">
        <f t="shared" si="9"/>
        <v>1.3</v>
      </c>
      <c r="N68" s="166">
        <v>0.33</v>
      </c>
      <c r="O68" s="167">
        <v>0.1</v>
      </c>
      <c r="P68" s="168">
        <v>0.1</v>
      </c>
      <c r="Q68" s="309">
        <f t="shared" si="0"/>
        <v>2415</v>
      </c>
      <c r="R68" s="152">
        <f t="shared" si="1"/>
        <v>2730</v>
      </c>
      <c r="S68" s="154">
        <f t="shared" si="2"/>
        <v>0</v>
      </c>
      <c r="T68" s="169">
        <f t="shared" si="3"/>
        <v>0</v>
      </c>
      <c r="U68" s="153">
        <f t="shared" si="4"/>
        <v>2730</v>
      </c>
      <c r="V68" s="166">
        <f t="shared" si="5"/>
        <v>693</v>
      </c>
      <c r="W68" s="167">
        <f t="shared" si="6"/>
        <v>210</v>
      </c>
      <c r="X68" s="168">
        <f t="shared" si="7"/>
        <v>210</v>
      </c>
      <c r="Y68" s="14"/>
    </row>
    <row r="69" spans="1:25" ht="12" customHeight="1">
      <c r="A69" s="145"/>
      <c r="B69" s="48"/>
      <c r="C69" s="20" t="s">
        <v>40</v>
      </c>
      <c r="D69" s="20" t="s">
        <v>42</v>
      </c>
      <c r="E69" s="26">
        <v>720</v>
      </c>
      <c r="F69" s="20" t="s">
        <v>121</v>
      </c>
      <c r="G69" s="53">
        <v>8.4</v>
      </c>
      <c r="H69" s="150">
        <f t="shared" si="8"/>
        <v>6048</v>
      </c>
      <c r="I69" s="306">
        <v>1.1499999999999999</v>
      </c>
      <c r="J69" s="155">
        <v>1.42</v>
      </c>
      <c r="K69" s="156">
        <v>0</v>
      </c>
      <c r="L69" s="157">
        <f>K69*0.15</f>
        <v>0</v>
      </c>
      <c r="M69" s="153">
        <f t="shared" si="9"/>
        <v>1.42</v>
      </c>
      <c r="N69" s="166">
        <v>0.33</v>
      </c>
      <c r="O69" s="167">
        <v>0.1</v>
      </c>
      <c r="P69" s="168">
        <v>0.1</v>
      </c>
      <c r="Q69" s="309">
        <f t="shared" si="0"/>
        <v>827.99999999999989</v>
      </c>
      <c r="R69" s="152">
        <f t="shared" si="1"/>
        <v>1022.4</v>
      </c>
      <c r="S69" s="154">
        <f t="shared" si="2"/>
        <v>0</v>
      </c>
      <c r="T69" s="169">
        <f t="shared" si="3"/>
        <v>0</v>
      </c>
      <c r="U69" s="153">
        <f t="shared" si="4"/>
        <v>1022.4</v>
      </c>
      <c r="V69" s="166">
        <f t="shared" si="5"/>
        <v>237.60000000000002</v>
      </c>
      <c r="W69" s="167">
        <f t="shared" si="6"/>
        <v>72</v>
      </c>
      <c r="X69" s="168">
        <f t="shared" si="7"/>
        <v>72</v>
      </c>
      <c r="Y69" s="14"/>
    </row>
    <row r="70" spans="1:25" ht="12" customHeight="1">
      <c r="A70" s="145">
        <v>40198</v>
      </c>
      <c r="B70" s="48">
        <v>312</v>
      </c>
      <c r="C70" s="20" t="s">
        <v>122</v>
      </c>
      <c r="D70" s="20" t="s">
        <v>122</v>
      </c>
      <c r="E70" s="26">
        <v>60</v>
      </c>
      <c r="F70" s="20" t="s">
        <v>123</v>
      </c>
      <c r="G70" s="53">
        <v>45.5</v>
      </c>
      <c r="H70" s="150">
        <f t="shared" si="8"/>
        <v>2730</v>
      </c>
      <c r="I70" s="306">
        <v>6.5</v>
      </c>
      <c r="J70" s="155">
        <v>8.52</v>
      </c>
      <c r="K70" s="156">
        <v>7</v>
      </c>
      <c r="L70" s="157">
        <v>0.55000000000000004</v>
      </c>
      <c r="M70" s="153">
        <f t="shared" si="9"/>
        <v>15.52</v>
      </c>
      <c r="N70" s="166">
        <v>0.33</v>
      </c>
      <c r="O70" s="167">
        <v>0.1</v>
      </c>
      <c r="P70" s="168">
        <v>0.1</v>
      </c>
      <c r="Q70" s="309">
        <f t="shared" si="0"/>
        <v>390</v>
      </c>
      <c r="R70" s="152">
        <f t="shared" si="1"/>
        <v>511.2</v>
      </c>
      <c r="S70" s="154">
        <f t="shared" si="2"/>
        <v>420</v>
      </c>
      <c r="T70" s="169">
        <f t="shared" si="3"/>
        <v>33</v>
      </c>
      <c r="U70" s="153">
        <f t="shared" si="4"/>
        <v>931.19999999999993</v>
      </c>
      <c r="V70" s="166">
        <f t="shared" si="5"/>
        <v>19.8</v>
      </c>
      <c r="W70" s="167">
        <f t="shared" si="6"/>
        <v>6</v>
      </c>
      <c r="X70" s="168">
        <f t="shared" si="7"/>
        <v>6</v>
      </c>
      <c r="Y70" s="14"/>
    </row>
    <row r="71" spans="1:25" ht="12" customHeight="1">
      <c r="A71" s="67">
        <v>40199</v>
      </c>
      <c r="B71" s="46">
        <v>313</v>
      </c>
      <c r="C71" s="20" t="s">
        <v>21</v>
      </c>
      <c r="D71" s="20" t="s">
        <v>42</v>
      </c>
      <c r="E71" s="26">
        <v>5000</v>
      </c>
      <c r="F71" s="20" t="s">
        <v>124</v>
      </c>
      <c r="G71" s="53">
        <v>4.7</v>
      </c>
      <c r="H71" s="150">
        <f t="shared" si="8"/>
        <v>23500</v>
      </c>
      <c r="I71" s="306">
        <v>0.5</v>
      </c>
      <c r="J71" s="155">
        <v>0.3</v>
      </c>
      <c r="K71" s="156">
        <v>0.7</v>
      </c>
      <c r="L71" s="157">
        <v>0.1</v>
      </c>
      <c r="M71" s="153">
        <f t="shared" si="9"/>
        <v>1</v>
      </c>
      <c r="N71" s="166">
        <v>0.33</v>
      </c>
      <c r="O71" s="167">
        <v>0.1</v>
      </c>
      <c r="P71" s="168">
        <v>0.1</v>
      </c>
      <c r="Q71" s="309">
        <f t="shared" si="0"/>
        <v>2500</v>
      </c>
      <c r="R71" s="152">
        <f t="shared" si="1"/>
        <v>1500</v>
      </c>
      <c r="S71" s="154">
        <f t="shared" si="2"/>
        <v>3500</v>
      </c>
      <c r="T71" s="169">
        <f t="shared" si="3"/>
        <v>500</v>
      </c>
      <c r="U71" s="153">
        <f t="shared" si="4"/>
        <v>5000</v>
      </c>
      <c r="V71" s="166">
        <f t="shared" si="5"/>
        <v>1650</v>
      </c>
      <c r="W71" s="167">
        <f t="shared" si="6"/>
        <v>500</v>
      </c>
      <c r="X71" s="168">
        <f t="shared" si="7"/>
        <v>500</v>
      </c>
      <c r="Y71" s="14"/>
    </row>
    <row r="72" spans="1:25" ht="12" customHeight="1">
      <c r="A72" s="146">
        <v>40199</v>
      </c>
      <c r="B72" s="46">
        <v>314</v>
      </c>
      <c r="C72" s="20" t="s">
        <v>21</v>
      </c>
      <c r="D72" s="20" t="s">
        <v>42</v>
      </c>
      <c r="E72" s="26">
        <v>2050</v>
      </c>
      <c r="F72" s="20" t="s">
        <v>125</v>
      </c>
      <c r="G72" s="57">
        <v>12.5</v>
      </c>
      <c r="H72" s="150">
        <f t="shared" si="8"/>
        <v>25625</v>
      </c>
      <c r="I72" s="306">
        <v>1.5</v>
      </c>
      <c r="J72" s="155">
        <v>2.37</v>
      </c>
      <c r="K72" s="156">
        <v>0</v>
      </c>
      <c r="L72" s="157">
        <v>0</v>
      </c>
      <c r="M72" s="153">
        <f t="shared" si="9"/>
        <v>2.37</v>
      </c>
      <c r="N72" s="166">
        <v>1.1299999999999999</v>
      </c>
      <c r="O72" s="167">
        <v>0.2</v>
      </c>
      <c r="P72" s="168">
        <v>0.2</v>
      </c>
      <c r="Q72" s="309">
        <f t="shared" ref="Q72:Q87" si="10">E72*I72</f>
        <v>3075</v>
      </c>
      <c r="R72" s="152">
        <f t="shared" ref="R72:R87" si="11">E72*J72</f>
        <v>4858.5</v>
      </c>
      <c r="S72" s="154">
        <f t="shared" ref="S72:S87" si="12">E72*K72</f>
        <v>0</v>
      </c>
      <c r="T72" s="169">
        <f t="shared" ref="T72:T87" si="13">E72*L72</f>
        <v>0</v>
      </c>
      <c r="U72" s="153">
        <f t="shared" ref="U72:U87" si="14">E72*M72</f>
        <v>4858.5</v>
      </c>
      <c r="V72" s="166">
        <f t="shared" ref="V72:V87" si="15">N72*E72</f>
        <v>2316.5</v>
      </c>
      <c r="W72" s="167">
        <f t="shared" ref="W72:W87" si="16">O72*E72</f>
        <v>410</v>
      </c>
      <c r="X72" s="168">
        <f t="shared" ref="X72:X87" si="17">P72*E72</f>
        <v>410</v>
      </c>
      <c r="Y72" s="14"/>
    </row>
    <row r="73" spans="1:25" ht="12" customHeight="1">
      <c r="A73" s="146">
        <v>40198</v>
      </c>
      <c r="B73" s="46">
        <v>315</v>
      </c>
      <c r="C73" s="20" t="s">
        <v>21</v>
      </c>
      <c r="D73" s="20" t="s">
        <v>42</v>
      </c>
      <c r="E73" s="26">
        <v>5300</v>
      </c>
      <c r="F73" s="20" t="s">
        <v>126</v>
      </c>
      <c r="G73" s="57">
        <v>8.9499999999999993</v>
      </c>
      <c r="H73" s="150">
        <f t="shared" si="8"/>
        <v>47434.999999999993</v>
      </c>
      <c r="I73" s="306">
        <v>0.75</v>
      </c>
      <c r="J73" s="155">
        <v>2.21</v>
      </c>
      <c r="K73" s="156">
        <v>0</v>
      </c>
      <c r="L73" s="157">
        <v>0</v>
      </c>
      <c r="M73" s="153">
        <f t="shared" si="9"/>
        <v>2.21</v>
      </c>
      <c r="N73" s="166">
        <v>1.1299999999999999</v>
      </c>
      <c r="O73" s="167">
        <v>0.2</v>
      </c>
      <c r="P73" s="168">
        <v>0.2</v>
      </c>
      <c r="Q73" s="309">
        <f t="shared" si="10"/>
        <v>3975</v>
      </c>
      <c r="R73" s="178">
        <f t="shared" si="11"/>
        <v>11713</v>
      </c>
      <c r="S73" s="154">
        <f t="shared" si="12"/>
        <v>0</v>
      </c>
      <c r="T73" s="169">
        <f t="shared" si="13"/>
        <v>0</v>
      </c>
      <c r="U73" s="179">
        <f t="shared" si="14"/>
        <v>11713</v>
      </c>
      <c r="V73" s="166">
        <f t="shared" si="15"/>
        <v>5988.9999999999991</v>
      </c>
      <c r="W73" s="167">
        <f t="shared" si="16"/>
        <v>1060</v>
      </c>
      <c r="X73" s="168">
        <f t="shared" si="17"/>
        <v>1060</v>
      </c>
      <c r="Y73" s="14"/>
    </row>
    <row r="74" spans="1:25" ht="12" customHeight="1">
      <c r="A74" s="145">
        <v>40203</v>
      </c>
      <c r="B74" s="48">
        <v>316</v>
      </c>
      <c r="C74" s="20" t="s">
        <v>127</v>
      </c>
      <c r="D74" s="20" t="s">
        <v>42</v>
      </c>
      <c r="E74" s="26">
        <v>25</v>
      </c>
      <c r="F74" s="20" t="s">
        <v>128</v>
      </c>
      <c r="G74" s="53">
        <v>38</v>
      </c>
      <c r="H74" s="150">
        <f t="shared" ref="H74:H87" si="18">E74*G74</f>
        <v>950</v>
      </c>
      <c r="I74" s="306">
        <v>3.5</v>
      </c>
      <c r="J74" s="155">
        <v>-1.69</v>
      </c>
      <c r="K74" s="156">
        <v>5.5</v>
      </c>
      <c r="L74" s="157">
        <v>0.83</v>
      </c>
      <c r="M74" s="153">
        <f t="shared" ref="M74:M87" si="19">J74+K74</f>
        <v>3.81</v>
      </c>
      <c r="N74" s="166">
        <v>0.33</v>
      </c>
      <c r="O74" s="167">
        <v>0.1</v>
      </c>
      <c r="P74" s="168">
        <v>0.1</v>
      </c>
      <c r="Q74" s="309">
        <f t="shared" si="10"/>
        <v>87.5</v>
      </c>
      <c r="R74" s="152">
        <f t="shared" si="11"/>
        <v>-42.25</v>
      </c>
      <c r="S74" s="154">
        <f t="shared" si="12"/>
        <v>137.5</v>
      </c>
      <c r="T74" s="169">
        <f t="shared" si="13"/>
        <v>20.75</v>
      </c>
      <c r="U74" s="153">
        <f t="shared" si="14"/>
        <v>95.25</v>
      </c>
      <c r="V74" s="166">
        <f t="shared" si="15"/>
        <v>8.25</v>
      </c>
      <c r="W74" s="167">
        <f t="shared" si="16"/>
        <v>2.5</v>
      </c>
      <c r="X74" s="168">
        <f t="shared" si="17"/>
        <v>2.5</v>
      </c>
      <c r="Y74" s="14"/>
    </row>
    <row r="75" spans="1:25" ht="12" customHeight="1">
      <c r="A75" s="253"/>
      <c r="B75" s="50"/>
      <c r="C75" s="20" t="s">
        <v>127</v>
      </c>
      <c r="D75" s="20" t="s">
        <v>42</v>
      </c>
      <c r="E75" s="26">
        <v>2</v>
      </c>
      <c r="F75" s="20" t="s">
        <v>129</v>
      </c>
      <c r="G75" s="58">
        <v>30</v>
      </c>
      <c r="H75" s="150">
        <f t="shared" si="18"/>
        <v>60</v>
      </c>
      <c r="I75" s="306">
        <v>3.5</v>
      </c>
      <c r="J75" s="155">
        <v>-2.95</v>
      </c>
      <c r="K75" s="156">
        <v>5.5</v>
      </c>
      <c r="L75" s="157">
        <v>0.83</v>
      </c>
      <c r="M75" s="153">
        <f t="shared" si="19"/>
        <v>2.5499999999999998</v>
      </c>
      <c r="N75" s="166">
        <v>0.3</v>
      </c>
      <c r="O75" s="167">
        <v>0.1</v>
      </c>
      <c r="P75" s="168">
        <v>0.1</v>
      </c>
      <c r="Q75" s="309">
        <f t="shared" si="10"/>
        <v>7</v>
      </c>
      <c r="R75" s="152">
        <f t="shared" si="11"/>
        <v>-5.9</v>
      </c>
      <c r="S75" s="154">
        <f t="shared" si="12"/>
        <v>11</v>
      </c>
      <c r="T75" s="169">
        <f t="shared" si="13"/>
        <v>1.66</v>
      </c>
      <c r="U75" s="153">
        <f t="shared" si="14"/>
        <v>5.0999999999999996</v>
      </c>
      <c r="V75" s="166">
        <f t="shared" si="15"/>
        <v>0.6</v>
      </c>
      <c r="W75" s="167">
        <f t="shared" si="16"/>
        <v>0.2</v>
      </c>
      <c r="X75" s="168">
        <f t="shared" si="17"/>
        <v>0.2</v>
      </c>
      <c r="Y75" s="14"/>
    </row>
    <row r="76" spans="1:25" ht="12" customHeight="1">
      <c r="A76" s="253"/>
      <c r="B76" s="50"/>
      <c r="C76" s="20" t="s">
        <v>127</v>
      </c>
      <c r="D76" s="20" t="s">
        <v>42</v>
      </c>
      <c r="E76" s="26">
        <v>11</v>
      </c>
      <c r="F76" s="20" t="s">
        <v>130</v>
      </c>
      <c r="G76" s="58">
        <v>34</v>
      </c>
      <c r="H76" s="150">
        <f t="shared" si="18"/>
        <v>374</v>
      </c>
      <c r="I76" s="306">
        <v>3.5</v>
      </c>
      <c r="J76" s="155">
        <v>-6.71</v>
      </c>
      <c r="K76" s="156">
        <v>5.5</v>
      </c>
      <c r="L76" s="157">
        <v>0.83</v>
      </c>
      <c r="M76" s="153">
        <f t="shared" si="19"/>
        <v>-1.21</v>
      </c>
      <c r="N76" s="166">
        <v>0.33</v>
      </c>
      <c r="O76" s="167">
        <v>0.1</v>
      </c>
      <c r="P76" s="168">
        <v>0.1</v>
      </c>
      <c r="Q76" s="309">
        <f t="shared" si="10"/>
        <v>38.5</v>
      </c>
      <c r="R76" s="152">
        <f t="shared" si="11"/>
        <v>-73.81</v>
      </c>
      <c r="S76" s="154">
        <f t="shared" si="12"/>
        <v>60.5</v>
      </c>
      <c r="T76" s="169">
        <f t="shared" si="13"/>
        <v>9.129999999999999</v>
      </c>
      <c r="U76" s="153">
        <f t="shared" si="14"/>
        <v>-13.309999999999999</v>
      </c>
      <c r="V76" s="166">
        <f t="shared" si="15"/>
        <v>3.6300000000000003</v>
      </c>
      <c r="W76" s="167">
        <f t="shared" si="16"/>
        <v>1.1000000000000001</v>
      </c>
      <c r="X76" s="168">
        <f t="shared" si="17"/>
        <v>1.1000000000000001</v>
      </c>
      <c r="Y76" s="14"/>
    </row>
    <row r="77" spans="1:25" ht="12" customHeight="1">
      <c r="A77" s="254"/>
      <c r="B77" s="50"/>
      <c r="C77" s="20" t="s">
        <v>127</v>
      </c>
      <c r="D77" s="20" t="s">
        <v>42</v>
      </c>
      <c r="E77" s="26">
        <v>11</v>
      </c>
      <c r="F77" s="20" t="s">
        <v>131</v>
      </c>
      <c r="G77" s="58">
        <v>34</v>
      </c>
      <c r="H77" s="150">
        <f t="shared" si="18"/>
        <v>374</v>
      </c>
      <c r="I77" s="306">
        <v>3.5</v>
      </c>
      <c r="J77" s="155">
        <v>-6.71</v>
      </c>
      <c r="K77" s="156">
        <v>5.5</v>
      </c>
      <c r="L77" s="157">
        <v>0.83</v>
      </c>
      <c r="M77" s="153">
        <f t="shared" si="19"/>
        <v>-1.21</v>
      </c>
      <c r="N77" s="166">
        <v>0.33</v>
      </c>
      <c r="O77" s="167">
        <v>0.1</v>
      </c>
      <c r="P77" s="168">
        <v>0.1</v>
      </c>
      <c r="Q77" s="309">
        <f t="shared" si="10"/>
        <v>38.5</v>
      </c>
      <c r="R77" s="152">
        <f t="shared" si="11"/>
        <v>-73.81</v>
      </c>
      <c r="S77" s="154">
        <f t="shared" si="12"/>
        <v>60.5</v>
      </c>
      <c r="T77" s="169">
        <f t="shared" si="13"/>
        <v>9.129999999999999</v>
      </c>
      <c r="U77" s="153">
        <f t="shared" si="14"/>
        <v>-13.309999999999999</v>
      </c>
      <c r="V77" s="166">
        <f t="shared" si="15"/>
        <v>3.6300000000000003</v>
      </c>
      <c r="W77" s="167">
        <f t="shared" si="16"/>
        <v>1.1000000000000001</v>
      </c>
      <c r="X77" s="168">
        <f t="shared" si="17"/>
        <v>1.1000000000000001</v>
      </c>
      <c r="Y77" s="14"/>
    </row>
    <row r="78" spans="1:25" ht="12" customHeight="1">
      <c r="A78" s="232">
        <v>40203</v>
      </c>
      <c r="B78" s="51">
        <v>317</v>
      </c>
      <c r="C78" s="27" t="s">
        <v>132</v>
      </c>
      <c r="D78" s="27" t="s">
        <v>42</v>
      </c>
      <c r="E78" s="25">
        <v>35</v>
      </c>
      <c r="F78" s="27" t="s">
        <v>133</v>
      </c>
      <c r="G78" s="58">
        <v>42</v>
      </c>
      <c r="H78" s="150">
        <f t="shared" si="18"/>
        <v>1470</v>
      </c>
      <c r="I78" s="306">
        <v>3.5</v>
      </c>
      <c r="J78" s="155">
        <v>-1.71</v>
      </c>
      <c r="K78" s="156">
        <v>3.9</v>
      </c>
      <c r="L78" s="157">
        <v>0.59</v>
      </c>
      <c r="M78" s="153">
        <f t="shared" si="19"/>
        <v>2.19</v>
      </c>
      <c r="N78" s="166">
        <v>0.33</v>
      </c>
      <c r="O78" s="167">
        <v>0.1</v>
      </c>
      <c r="P78" s="168">
        <v>0.1</v>
      </c>
      <c r="Q78" s="309">
        <f t="shared" si="10"/>
        <v>122.5</v>
      </c>
      <c r="R78" s="152">
        <f t="shared" si="11"/>
        <v>-59.85</v>
      </c>
      <c r="S78" s="154">
        <f t="shared" si="12"/>
        <v>136.5</v>
      </c>
      <c r="T78" s="169">
        <f t="shared" si="13"/>
        <v>20.65</v>
      </c>
      <c r="U78" s="153">
        <f t="shared" si="14"/>
        <v>76.649999999999991</v>
      </c>
      <c r="V78" s="166">
        <f t="shared" si="15"/>
        <v>11.55</v>
      </c>
      <c r="W78" s="167">
        <f t="shared" si="16"/>
        <v>3.5</v>
      </c>
      <c r="X78" s="168">
        <f t="shared" si="17"/>
        <v>3.5</v>
      </c>
      <c r="Y78" s="14"/>
    </row>
    <row r="79" spans="1:25" ht="12" customHeight="1">
      <c r="A79" s="232"/>
      <c r="B79" s="51"/>
      <c r="C79" s="27" t="s">
        <v>132</v>
      </c>
      <c r="D79" s="27" t="s">
        <v>42</v>
      </c>
      <c r="E79" s="25">
        <v>10</v>
      </c>
      <c r="F79" s="27" t="s">
        <v>134</v>
      </c>
      <c r="G79" s="58">
        <v>46</v>
      </c>
      <c r="H79" s="150">
        <f t="shared" si="18"/>
        <v>460</v>
      </c>
      <c r="I79" s="306">
        <v>3.5</v>
      </c>
      <c r="J79" s="155">
        <v>2.0499999999999998</v>
      </c>
      <c r="K79" s="156">
        <v>3.9</v>
      </c>
      <c r="L79" s="157">
        <v>0.59</v>
      </c>
      <c r="M79" s="153">
        <f t="shared" si="19"/>
        <v>5.9499999999999993</v>
      </c>
      <c r="N79" s="166">
        <v>0.57999999999999996</v>
      </c>
      <c r="O79" s="167">
        <v>0.1</v>
      </c>
      <c r="P79" s="168">
        <v>0.1</v>
      </c>
      <c r="Q79" s="309">
        <f t="shared" si="10"/>
        <v>35</v>
      </c>
      <c r="R79" s="152">
        <f t="shared" si="11"/>
        <v>20.5</v>
      </c>
      <c r="S79" s="154">
        <f t="shared" si="12"/>
        <v>39</v>
      </c>
      <c r="T79" s="169">
        <f t="shared" si="13"/>
        <v>5.8999999999999995</v>
      </c>
      <c r="U79" s="153">
        <f t="shared" si="14"/>
        <v>59.499999999999993</v>
      </c>
      <c r="V79" s="166">
        <f t="shared" si="15"/>
        <v>5.8</v>
      </c>
      <c r="W79" s="167">
        <f t="shared" si="16"/>
        <v>1</v>
      </c>
      <c r="X79" s="168">
        <f t="shared" si="17"/>
        <v>1</v>
      </c>
      <c r="Y79" s="14"/>
    </row>
    <row r="80" spans="1:25" ht="12" customHeight="1">
      <c r="A80" s="254">
        <v>40204</v>
      </c>
      <c r="B80" s="51">
        <v>318</v>
      </c>
      <c r="C80" s="27"/>
      <c r="D80" s="27"/>
      <c r="E80" s="25"/>
      <c r="F80" s="27" t="s">
        <v>651</v>
      </c>
      <c r="G80" s="58">
        <v>0</v>
      </c>
      <c r="H80" s="150">
        <f t="shared" si="18"/>
        <v>0</v>
      </c>
      <c r="I80" s="306">
        <v>0</v>
      </c>
      <c r="J80" s="155">
        <v>0</v>
      </c>
      <c r="K80" s="156">
        <v>0</v>
      </c>
      <c r="L80" s="157">
        <v>0</v>
      </c>
      <c r="M80" s="153">
        <f t="shared" si="19"/>
        <v>0</v>
      </c>
      <c r="N80" s="166">
        <v>0.57999999999999996</v>
      </c>
      <c r="O80" s="167">
        <v>0.1</v>
      </c>
      <c r="P80" s="168">
        <v>0.1</v>
      </c>
      <c r="Q80" s="309">
        <f t="shared" si="10"/>
        <v>0</v>
      </c>
      <c r="R80" s="152">
        <f t="shared" si="11"/>
        <v>0</v>
      </c>
      <c r="S80" s="154">
        <f t="shared" si="12"/>
        <v>0</v>
      </c>
      <c r="T80" s="169">
        <f t="shared" si="13"/>
        <v>0</v>
      </c>
      <c r="U80" s="153">
        <f t="shared" si="14"/>
        <v>0</v>
      </c>
      <c r="V80" s="166">
        <f t="shared" si="15"/>
        <v>0</v>
      </c>
      <c r="W80" s="167">
        <f t="shared" si="16"/>
        <v>0</v>
      </c>
      <c r="X80" s="168">
        <f t="shared" si="17"/>
        <v>0</v>
      </c>
      <c r="Y80" s="14"/>
    </row>
    <row r="81" spans="1:25" ht="12" customHeight="1">
      <c r="A81" s="67">
        <v>40206</v>
      </c>
      <c r="B81" s="46">
        <v>319</v>
      </c>
      <c r="C81" s="20" t="s">
        <v>72</v>
      </c>
      <c r="D81" s="20" t="s">
        <v>37</v>
      </c>
      <c r="E81" s="26">
        <v>4000</v>
      </c>
      <c r="F81" s="20" t="s">
        <v>136</v>
      </c>
      <c r="G81" s="53">
        <v>15.95</v>
      </c>
      <c r="H81" s="150">
        <f t="shared" si="18"/>
        <v>63800</v>
      </c>
      <c r="I81" s="306">
        <v>0.85</v>
      </c>
      <c r="J81" s="155">
        <v>3.05</v>
      </c>
      <c r="K81" s="156">
        <v>0</v>
      </c>
      <c r="L81" s="157">
        <v>0</v>
      </c>
      <c r="M81" s="153">
        <f t="shared" si="19"/>
        <v>3.05</v>
      </c>
      <c r="N81" s="166">
        <v>0.33</v>
      </c>
      <c r="O81" s="167">
        <v>0.1</v>
      </c>
      <c r="P81" s="168">
        <v>0.1</v>
      </c>
      <c r="Q81" s="309">
        <f t="shared" si="10"/>
        <v>3400</v>
      </c>
      <c r="R81" s="178">
        <f t="shared" si="11"/>
        <v>12200</v>
      </c>
      <c r="S81" s="154">
        <f t="shared" si="12"/>
        <v>0</v>
      </c>
      <c r="T81" s="169">
        <f t="shared" si="13"/>
        <v>0</v>
      </c>
      <c r="U81" s="179">
        <f t="shared" si="14"/>
        <v>12200</v>
      </c>
      <c r="V81" s="166">
        <f t="shared" si="15"/>
        <v>1320</v>
      </c>
      <c r="W81" s="167">
        <f t="shared" si="16"/>
        <v>400</v>
      </c>
      <c r="X81" s="168">
        <f t="shared" si="17"/>
        <v>400</v>
      </c>
      <c r="Y81" s="14" t="s">
        <v>26</v>
      </c>
    </row>
    <row r="82" spans="1:25" ht="12" customHeight="1">
      <c r="A82" s="67">
        <v>40206</v>
      </c>
      <c r="B82" s="46">
        <v>320</v>
      </c>
      <c r="C82" s="20" t="s">
        <v>137</v>
      </c>
      <c r="D82" s="20" t="s">
        <v>138</v>
      </c>
      <c r="E82" s="26">
        <v>60</v>
      </c>
      <c r="F82" s="20" t="s">
        <v>139</v>
      </c>
      <c r="G82" s="53">
        <v>35.5</v>
      </c>
      <c r="H82" s="150">
        <f t="shared" si="18"/>
        <v>2130</v>
      </c>
      <c r="I82" s="306">
        <v>3.5</v>
      </c>
      <c r="J82" s="155">
        <v>1.82</v>
      </c>
      <c r="K82" s="156">
        <v>4</v>
      </c>
      <c r="L82" s="157">
        <v>0.6</v>
      </c>
      <c r="M82" s="153">
        <f t="shared" si="19"/>
        <v>5.82</v>
      </c>
      <c r="N82" s="166">
        <v>0</v>
      </c>
      <c r="O82" s="167">
        <v>0.1</v>
      </c>
      <c r="P82" s="168">
        <v>0.1</v>
      </c>
      <c r="Q82" s="309">
        <f t="shared" si="10"/>
        <v>210</v>
      </c>
      <c r="R82" s="152">
        <f t="shared" si="11"/>
        <v>109.2</v>
      </c>
      <c r="S82" s="154">
        <f t="shared" si="12"/>
        <v>240</v>
      </c>
      <c r="T82" s="169">
        <f t="shared" si="13"/>
        <v>36</v>
      </c>
      <c r="U82" s="153">
        <f t="shared" si="14"/>
        <v>349.20000000000005</v>
      </c>
      <c r="V82" s="166">
        <f t="shared" si="15"/>
        <v>0</v>
      </c>
      <c r="W82" s="167">
        <f t="shared" si="16"/>
        <v>6</v>
      </c>
      <c r="X82" s="168">
        <f t="shared" si="17"/>
        <v>6</v>
      </c>
      <c r="Y82" s="14"/>
    </row>
    <row r="83" spans="1:25" ht="12" customHeight="1">
      <c r="A83" s="254"/>
      <c r="B83" s="52"/>
      <c r="C83" s="20" t="s">
        <v>137</v>
      </c>
      <c r="D83" s="20" t="s">
        <v>138</v>
      </c>
      <c r="E83" s="26">
        <v>60</v>
      </c>
      <c r="F83" s="20" t="s">
        <v>140</v>
      </c>
      <c r="G83" s="58">
        <v>35.5</v>
      </c>
      <c r="H83" s="150">
        <f t="shared" si="18"/>
        <v>2130</v>
      </c>
      <c r="I83" s="306">
        <v>3.5</v>
      </c>
      <c r="J83" s="155">
        <v>7.82</v>
      </c>
      <c r="K83" s="156">
        <v>4</v>
      </c>
      <c r="L83" s="157">
        <v>0.6</v>
      </c>
      <c r="M83" s="153">
        <f t="shared" si="19"/>
        <v>11.82</v>
      </c>
      <c r="N83" s="166">
        <v>0</v>
      </c>
      <c r="O83" s="167">
        <v>0.1</v>
      </c>
      <c r="P83" s="168">
        <v>0.1</v>
      </c>
      <c r="Q83" s="309">
        <f t="shared" si="10"/>
        <v>210</v>
      </c>
      <c r="R83" s="152">
        <f t="shared" si="11"/>
        <v>469.20000000000005</v>
      </c>
      <c r="S83" s="154">
        <f t="shared" si="12"/>
        <v>240</v>
      </c>
      <c r="T83" s="169">
        <f t="shared" si="13"/>
        <v>36</v>
      </c>
      <c r="U83" s="153">
        <f t="shared" si="14"/>
        <v>709.2</v>
      </c>
      <c r="V83" s="166">
        <f t="shared" si="15"/>
        <v>0</v>
      </c>
      <c r="W83" s="167">
        <f t="shared" si="16"/>
        <v>6</v>
      </c>
      <c r="X83" s="168">
        <f t="shared" si="17"/>
        <v>6</v>
      </c>
      <c r="Y83" s="14"/>
    </row>
    <row r="84" spans="1:25" ht="12" customHeight="1">
      <c r="A84" s="254"/>
      <c r="B84" s="52"/>
      <c r="C84" s="20" t="s">
        <v>137</v>
      </c>
      <c r="D84" s="20" t="s">
        <v>138</v>
      </c>
      <c r="E84" s="26">
        <v>72</v>
      </c>
      <c r="F84" s="20" t="s">
        <v>141</v>
      </c>
      <c r="G84" s="58">
        <v>35</v>
      </c>
      <c r="H84" s="150">
        <f t="shared" si="18"/>
        <v>2520</v>
      </c>
      <c r="I84" s="306">
        <v>3.5</v>
      </c>
      <c r="J84" s="155"/>
      <c r="K84" s="156">
        <v>4</v>
      </c>
      <c r="L84" s="157">
        <v>0.6</v>
      </c>
      <c r="M84" s="153">
        <f t="shared" si="19"/>
        <v>4</v>
      </c>
      <c r="N84" s="166">
        <v>0.67</v>
      </c>
      <c r="O84" s="167">
        <v>0.1</v>
      </c>
      <c r="P84" s="168">
        <v>0.1</v>
      </c>
      <c r="Q84" s="309">
        <f t="shared" si="10"/>
        <v>252</v>
      </c>
      <c r="R84" s="152">
        <f t="shared" si="11"/>
        <v>0</v>
      </c>
      <c r="S84" s="154">
        <f t="shared" si="12"/>
        <v>288</v>
      </c>
      <c r="T84" s="169">
        <f t="shared" si="13"/>
        <v>43.199999999999996</v>
      </c>
      <c r="U84" s="153">
        <f t="shared" si="14"/>
        <v>288</v>
      </c>
      <c r="V84" s="166">
        <f t="shared" si="15"/>
        <v>48.24</v>
      </c>
      <c r="W84" s="167">
        <f t="shared" si="16"/>
        <v>7.2</v>
      </c>
      <c r="X84" s="168">
        <f t="shared" si="17"/>
        <v>7.2</v>
      </c>
      <c r="Y84" s="14"/>
    </row>
    <row r="85" spans="1:25" ht="12" customHeight="1">
      <c r="A85" s="254"/>
      <c r="B85" s="52"/>
      <c r="C85" s="20" t="s">
        <v>137</v>
      </c>
      <c r="D85" s="20" t="s">
        <v>138</v>
      </c>
      <c r="E85" s="26">
        <v>24</v>
      </c>
      <c r="F85" s="20" t="s">
        <v>142</v>
      </c>
      <c r="G85" s="58">
        <v>33</v>
      </c>
      <c r="H85" s="150">
        <f t="shared" si="18"/>
        <v>792</v>
      </c>
      <c r="I85" s="306">
        <v>3.5</v>
      </c>
      <c r="J85" s="155">
        <v>8.82</v>
      </c>
      <c r="K85" s="156">
        <v>4</v>
      </c>
      <c r="L85" s="157">
        <v>0.6</v>
      </c>
      <c r="M85" s="153">
        <f t="shared" si="19"/>
        <v>12.82</v>
      </c>
      <c r="N85" s="166">
        <v>0.21</v>
      </c>
      <c r="O85" s="167">
        <v>0.1</v>
      </c>
      <c r="P85" s="168">
        <v>0.2</v>
      </c>
      <c r="Q85" s="309">
        <f t="shared" si="10"/>
        <v>84</v>
      </c>
      <c r="R85" s="152">
        <f t="shared" si="11"/>
        <v>211.68</v>
      </c>
      <c r="S85" s="154">
        <f t="shared" si="12"/>
        <v>96</v>
      </c>
      <c r="T85" s="169">
        <f t="shared" si="13"/>
        <v>14.399999999999999</v>
      </c>
      <c r="U85" s="153">
        <f t="shared" si="14"/>
        <v>307.68</v>
      </c>
      <c r="V85" s="166">
        <f t="shared" si="15"/>
        <v>5.04</v>
      </c>
      <c r="W85" s="167">
        <f t="shared" si="16"/>
        <v>2.4000000000000004</v>
      </c>
      <c r="X85" s="168">
        <f t="shared" si="17"/>
        <v>4.8000000000000007</v>
      </c>
      <c r="Y85" s="14"/>
    </row>
    <row r="86" spans="1:25" ht="12" customHeight="1">
      <c r="A86" s="254">
        <v>40207</v>
      </c>
      <c r="B86" s="51">
        <v>321</v>
      </c>
      <c r="C86" s="20"/>
      <c r="D86" s="20"/>
      <c r="E86" s="25"/>
      <c r="F86" s="24" t="s">
        <v>651</v>
      </c>
      <c r="G86" s="58">
        <v>0</v>
      </c>
      <c r="H86" s="150">
        <f t="shared" si="18"/>
        <v>0</v>
      </c>
      <c r="I86" s="306">
        <v>0</v>
      </c>
      <c r="J86" s="155">
        <v>0</v>
      </c>
      <c r="K86" s="156">
        <v>0</v>
      </c>
      <c r="L86" s="157">
        <v>0</v>
      </c>
      <c r="M86" s="153">
        <f t="shared" si="19"/>
        <v>0</v>
      </c>
      <c r="N86" s="166">
        <v>0.33</v>
      </c>
      <c r="O86" s="167">
        <v>0.1</v>
      </c>
      <c r="P86" s="168">
        <v>0.1</v>
      </c>
      <c r="Q86" s="309">
        <f t="shared" si="10"/>
        <v>0</v>
      </c>
      <c r="R86" s="152">
        <f t="shared" si="11"/>
        <v>0</v>
      </c>
      <c r="S86" s="154">
        <f t="shared" si="12"/>
        <v>0</v>
      </c>
      <c r="T86" s="169">
        <f t="shared" si="13"/>
        <v>0</v>
      </c>
      <c r="U86" s="153">
        <f t="shared" si="14"/>
        <v>0</v>
      </c>
      <c r="V86" s="166">
        <f t="shared" si="15"/>
        <v>0</v>
      </c>
      <c r="W86" s="167">
        <f t="shared" si="16"/>
        <v>0</v>
      </c>
      <c r="X86" s="168">
        <f t="shared" si="17"/>
        <v>0</v>
      </c>
      <c r="Y86" s="14"/>
    </row>
    <row r="87" spans="1:25" ht="12" customHeight="1">
      <c r="A87" s="253">
        <v>40206</v>
      </c>
      <c r="B87" s="50">
        <v>322</v>
      </c>
      <c r="C87" s="24" t="s">
        <v>143</v>
      </c>
      <c r="D87" s="21" t="s">
        <v>144</v>
      </c>
      <c r="E87" s="25">
        <v>180</v>
      </c>
      <c r="F87" s="27" t="s">
        <v>145</v>
      </c>
      <c r="G87" s="58">
        <v>4</v>
      </c>
      <c r="H87" s="150">
        <f t="shared" si="18"/>
        <v>720</v>
      </c>
      <c r="I87" s="306">
        <v>0.5</v>
      </c>
      <c r="J87" s="155">
        <v>1.96</v>
      </c>
      <c r="K87" s="156">
        <v>0</v>
      </c>
      <c r="L87" s="157">
        <v>0</v>
      </c>
      <c r="M87" s="153">
        <f t="shared" si="19"/>
        <v>1.96</v>
      </c>
      <c r="N87" s="166">
        <v>0.33</v>
      </c>
      <c r="O87" s="167">
        <v>0.1</v>
      </c>
      <c r="P87" s="168">
        <v>0.1</v>
      </c>
      <c r="Q87" s="309">
        <f t="shared" si="10"/>
        <v>90</v>
      </c>
      <c r="R87" s="152">
        <f t="shared" si="11"/>
        <v>352.8</v>
      </c>
      <c r="S87" s="154">
        <f t="shared" si="12"/>
        <v>0</v>
      </c>
      <c r="T87" s="169">
        <f t="shared" si="13"/>
        <v>0</v>
      </c>
      <c r="U87" s="153">
        <f t="shared" si="14"/>
        <v>352.8</v>
      </c>
      <c r="V87" s="166">
        <f t="shared" si="15"/>
        <v>59.400000000000006</v>
      </c>
      <c r="W87" s="167">
        <f t="shared" si="16"/>
        <v>18</v>
      </c>
      <c r="X87" s="168">
        <f t="shared" si="17"/>
        <v>18</v>
      </c>
      <c r="Y87" s="14" t="s">
        <v>17</v>
      </c>
    </row>
    <row r="88" spans="1:25" ht="12" customHeight="1" thickBot="1">
      <c r="A88" s="105"/>
      <c r="B88" s="106"/>
      <c r="C88" s="107" t="s">
        <v>219</v>
      </c>
      <c r="D88" s="107" t="s">
        <v>42</v>
      </c>
      <c r="E88" s="108">
        <v>68</v>
      </c>
      <c r="F88" s="108" t="s">
        <v>650</v>
      </c>
      <c r="G88" s="148">
        <v>37</v>
      </c>
      <c r="H88" s="151">
        <f>E88*G88</f>
        <v>2516</v>
      </c>
      <c r="I88" s="310">
        <v>3.5</v>
      </c>
      <c r="J88" s="170">
        <v>9.9</v>
      </c>
      <c r="K88" s="171">
        <v>1.5</v>
      </c>
      <c r="L88" s="172">
        <v>0.23</v>
      </c>
      <c r="M88" s="173">
        <f>J88+K88</f>
        <v>11.4</v>
      </c>
      <c r="N88" s="174">
        <v>0.33</v>
      </c>
      <c r="O88" s="175">
        <v>0.1</v>
      </c>
      <c r="P88" s="176">
        <v>0.1</v>
      </c>
      <c r="Q88" s="310">
        <f>E88*I88</f>
        <v>238</v>
      </c>
      <c r="R88" s="170">
        <f>E88*J88</f>
        <v>673.2</v>
      </c>
      <c r="S88" s="171">
        <f>E88*K88</f>
        <v>102</v>
      </c>
      <c r="T88" s="172">
        <f>E88*L88</f>
        <v>15.64</v>
      </c>
      <c r="U88" s="173">
        <f>E88*M88</f>
        <v>775.2</v>
      </c>
      <c r="V88" s="174">
        <f>N88*E88</f>
        <v>22.44</v>
      </c>
      <c r="W88" s="175">
        <f>O88*E88</f>
        <v>6.8000000000000007</v>
      </c>
      <c r="X88" s="176">
        <f>P88*E88</f>
        <v>6.8000000000000007</v>
      </c>
      <c r="Y88" s="14" t="s">
        <v>17</v>
      </c>
    </row>
    <row r="89" spans="1:25" ht="20.25" customHeight="1" thickBot="1">
      <c r="A89" s="32"/>
      <c r="B89" s="32"/>
      <c r="C89" s="32"/>
      <c r="D89" s="32"/>
      <c r="E89" s="32"/>
      <c r="F89" s="76" t="s">
        <v>813</v>
      </c>
      <c r="G89" s="72"/>
      <c r="H89" s="362">
        <f>SUM(H8:H88)</f>
        <v>370834.6</v>
      </c>
      <c r="I89" s="363"/>
      <c r="J89" s="78" t="s">
        <v>36</v>
      </c>
      <c r="K89" s="79"/>
      <c r="L89" s="80"/>
      <c r="M89" s="81"/>
      <c r="N89" s="73"/>
      <c r="O89" s="74"/>
      <c r="P89" s="75"/>
      <c r="Q89" s="312">
        <f t="shared" ref="Q89:X89" si="20">SUM(Q8:Q88)</f>
        <v>34848.5</v>
      </c>
      <c r="R89" s="98">
        <f t="shared" si="20"/>
        <v>69346.469999999987</v>
      </c>
      <c r="S89" s="99">
        <f t="shared" si="20"/>
        <v>10663.690000000002</v>
      </c>
      <c r="T89" s="100">
        <f t="shared" si="20"/>
        <v>1559.0600000000009</v>
      </c>
      <c r="U89" s="101">
        <f t="shared" si="20"/>
        <v>80010.16</v>
      </c>
      <c r="V89" s="73">
        <f t="shared" si="20"/>
        <v>15672.79</v>
      </c>
      <c r="W89" s="88">
        <f t="shared" si="20"/>
        <v>3724.4</v>
      </c>
      <c r="X89" s="89">
        <f t="shared" si="20"/>
        <v>3792.8</v>
      </c>
      <c r="Y89" s="32" t="s">
        <v>36</v>
      </c>
    </row>
    <row r="90" spans="1:25" ht="20.25" customHeight="1" thickBot="1">
      <c r="A90" s="32"/>
      <c r="B90" s="32"/>
      <c r="C90" s="32"/>
      <c r="D90" s="32"/>
      <c r="E90" s="32"/>
      <c r="F90" s="76" t="s">
        <v>813</v>
      </c>
      <c r="G90" s="72"/>
      <c r="H90" s="364">
        <f>H89/7.06</f>
        <v>52526.147308781867</v>
      </c>
      <c r="I90" s="365"/>
      <c r="J90" s="78" t="s">
        <v>407</v>
      </c>
      <c r="K90" s="79"/>
      <c r="L90" s="80"/>
      <c r="M90" s="81"/>
      <c r="N90" s="73"/>
      <c r="O90" s="74"/>
      <c r="P90" s="77"/>
      <c r="Q90" s="313">
        <f t="shared" ref="Q90:X90" si="21">Q89/7.06</f>
        <v>4936.0481586402266</v>
      </c>
      <c r="R90" s="82">
        <f t="shared" si="21"/>
        <v>9822.446175637393</v>
      </c>
      <c r="S90" s="79">
        <f t="shared" si="21"/>
        <v>1510.4376770538247</v>
      </c>
      <c r="T90" s="80">
        <f t="shared" si="21"/>
        <v>220.83002832861203</v>
      </c>
      <c r="U90" s="81">
        <f t="shared" si="21"/>
        <v>11332.883852691219</v>
      </c>
      <c r="V90" s="73">
        <f t="shared" si="21"/>
        <v>2219.9419263456093</v>
      </c>
      <c r="W90" s="88">
        <f t="shared" si="21"/>
        <v>527.53541076487261</v>
      </c>
      <c r="X90" s="89">
        <f t="shared" si="21"/>
        <v>537.2237960339944</v>
      </c>
      <c r="Y90" s="32" t="s">
        <v>407</v>
      </c>
    </row>
  </sheetData>
  <autoFilter ref="A7:S90">
    <filterColumn colId="7"/>
    <filterColumn colId="11"/>
    <filterColumn colId="16"/>
  </autoFilter>
  <mergeCells count="3">
    <mergeCell ref="E3:M4"/>
    <mergeCell ref="H89:I89"/>
    <mergeCell ref="H90:I90"/>
  </mergeCells>
  <pageMargins left="0.19685039370078741" right="0.19685039370078741" top="0.98425196850393704" bottom="0.78740157480314965" header="0" footer="0"/>
  <pageSetup paperSize="5" scale="75" orientation="landscape" horizontalDpi="4294967294" verticalDpi="300" r:id="rId1"/>
  <headerFooter alignWithMargins="0"/>
  <drawing r:id="rId2"/>
</worksheet>
</file>

<file path=xl/worksheets/sheet10.xml><?xml version="1.0" encoding="utf-8"?>
<worksheet xmlns="http://schemas.openxmlformats.org/spreadsheetml/2006/main" xmlns:r="http://schemas.openxmlformats.org/officeDocument/2006/relationships">
  <sheetPr codeName="Hoja10">
    <tabColor rgb="FF000099"/>
  </sheetPr>
  <dimension ref="A1:Y146"/>
  <sheetViews>
    <sheetView workbookViewId="0">
      <pane ySplit="7" topLeftCell="A137" activePane="bottomLeft" state="frozen"/>
      <selection pane="bottomLeft" activeCell="K171" sqref="K171"/>
    </sheetView>
  </sheetViews>
  <sheetFormatPr baseColWidth="10" defaultRowHeight="12.75"/>
  <cols>
    <col min="1" max="1" width="7.42578125" customWidth="1"/>
    <col min="2" max="2" width="6.28515625" customWidth="1"/>
    <col min="3" max="3" width="13.7109375" customWidth="1"/>
    <col min="4" max="4" width="11.42578125" customWidth="1"/>
    <col min="5" max="5" width="4.85546875" customWidth="1"/>
    <col min="6" max="6" width="36.28515625" customWidth="1"/>
    <col min="7" max="7" width="5.42578125" customWidth="1"/>
    <col min="8" max="8" width="6.5703125" customWidth="1"/>
    <col min="9" max="9" width="5.7109375" customWidth="1"/>
    <col min="10" max="12" width="5.42578125" customWidth="1"/>
    <col min="13" max="13" width="8" customWidth="1"/>
    <col min="14" max="14" width="5.85546875" customWidth="1"/>
    <col min="15" max="16" width="5.28515625" customWidth="1"/>
    <col min="17" max="20" width="7.42578125" customWidth="1"/>
    <col min="21" max="21" width="8.140625" customWidth="1"/>
    <col min="22" max="22" width="6.5703125" customWidth="1"/>
    <col min="23" max="23" width="7" customWidth="1"/>
    <col min="24" max="24" width="6.7109375" customWidth="1"/>
    <col min="25" max="25" width="7.5703125" customWidth="1"/>
    <col min="26" max="26" width="14" customWidth="1"/>
  </cols>
  <sheetData>
    <row r="1" spans="1:25" ht="13.5">
      <c r="A1" s="261" t="s">
        <v>12</v>
      </c>
      <c r="B1" s="3"/>
      <c r="C1" s="3"/>
      <c r="N1" s="5"/>
    </row>
    <row r="2" spans="1:25" ht="13.5">
      <c r="A2" s="261" t="s">
        <v>13</v>
      </c>
      <c r="B2" s="3"/>
      <c r="C2" s="3"/>
      <c r="D2" s="2"/>
      <c r="N2" s="5"/>
      <c r="P2" s="4"/>
      <c r="Q2" s="4"/>
      <c r="R2" s="4"/>
      <c r="S2" s="4"/>
    </row>
    <row r="3" spans="1:25" ht="12.75" customHeight="1">
      <c r="A3" s="261" t="s">
        <v>14</v>
      </c>
      <c r="B3" s="3"/>
      <c r="C3" s="3"/>
      <c r="D3" s="2"/>
      <c r="E3" s="260"/>
      <c r="F3" s="260"/>
      <c r="G3" s="369" t="s">
        <v>146</v>
      </c>
      <c r="H3" s="369"/>
      <c r="I3" s="369"/>
      <c r="J3" s="369"/>
      <c r="K3" s="369"/>
      <c r="L3" s="260"/>
      <c r="M3" s="260"/>
      <c r="N3" s="5"/>
      <c r="P3" s="4"/>
      <c r="Q3" s="4"/>
      <c r="R3" s="4"/>
      <c r="S3" s="4"/>
    </row>
    <row r="4" spans="1:25" ht="12.75" customHeight="1">
      <c r="A4" s="261" t="s">
        <v>34</v>
      </c>
      <c r="B4" s="3"/>
      <c r="C4" s="3"/>
      <c r="D4" s="2" t="s">
        <v>16</v>
      </c>
      <c r="E4" s="260"/>
      <c r="F4" s="260"/>
      <c r="G4" s="369"/>
      <c r="H4" s="369"/>
      <c r="I4" s="369"/>
      <c r="J4" s="369"/>
      <c r="K4" s="369"/>
      <c r="L4" s="260"/>
      <c r="M4" s="260"/>
      <c r="N4" s="5"/>
      <c r="P4" s="4"/>
      <c r="Q4" s="4"/>
      <c r="R4" s="4"/>
      <c r="S4" s="4"/>
    </row>
    <row r="5" spans="1:25" ht="12.75" customHeight="1">
      <c r="A5" s="261" t="s">
        <v>15</v>
      </c>
      <c r="B5" s="3"/>
      <c r="C5" s="3"/>
      <c r="D5" s="2"/>
      <c r="E5" s="6"/>
      <c r="F5" s="6"/>
      <c r="G5" s="6"/>
      <c r="H5" s="6"/>
      <c r="I5" s="6"/>
      <c r="N5" s="5"/>
      <c r="P5" s="4"/>
      <c r="Q5" s="4"/>
      <c r="R5" s="4"/>
      <c r="S5" s="4"/>
    </row>
    <row r="6" spans="1:25" ht="25.5" customHeight="1" thickBot="1">
      <c r="A6" s="255" t="s">
        <v>1748</v>
      </c>
      <c r="D6" s="1"/>
      <c r="N6" s="5"/>
    </row>
    <row r="7" spans="1:25" s="13" customFormat="1" ht="26.25" customHeight="1" thickBot="1">
      <c r="A7" s="9" t="s">
        <v>0</v>
      </c>
      <c r="B7" s="10" t="s">
        <v>1</v>
      </c>
      <c r="C7" s="9" t="s">
        <v>19</v>
      </c>
      <c r="D7" s="11" t="s">
        <v>18</v>
      </c>
      <c r="E7" s="12" t="s">
        <v>9</v>
      </c>
      <c r="F7" s="9" t="s">
        <v>2</v>
      </c>
      <c r="G7" s="8" t="s">
        <v>20</v>
      </c>
      <c r="H7" s="8" t="s">
        <v>405</v>
      </c>
      <c r="I7" s="305" t="s">
        <v>3</v>
      </c>
      <c r="J7" s="31" t="s">
        <v>10</v>
      </c>
      <c r="K7" s="61" t="s">
        <v>11</v>
      </c>
      <c r="L7" s="62" t="s">
        <v>29</v>
      </c>
      <c r="M7" s="16" t="s">
        <v>6</v>
      </c>
      <c r="N7" s="63" t="s">
        <v>147</v>
      </c>
      <c r="O7" s="64" t="s">
        <v>148</v>
      </c>
      <c r="P7" s="65" t="s">
        <v>149</v>
      </c>
      <c r="Q7" s="311" t="s">
        <v>8</v>
      </c>
      <c r="R7" s="31" t="s">
        <v>4</v>
      </c>
      <c r="S7" s="61" t="s">
        <v>5</v>
      </c>
      <c r="T7" s="62" t="s">
        <v>31</v>
      </c>
      <c r="U7" s="9" t="s">
        <v>7</v>
      </c>
      <c r="V7" s="63" t="s">
        <v>150</v>
      </c>
      <c r="W7" s="64" t="s">
        <v>151</v>
      </c>
      <c r="X7" s="65" t="s">
        <v>152</v>
      </c>
      <c r="Y7" s="9" t="s">
        <v>22</v>
      </c>
    </row>
    <row r="8" spans="1:25" s="7" customFormat="1" ht="13.5" customHeight="1">
      <c r="A8" s="111">
        <v>40452</v>
      </c>
      <c r="B8" s="115">
        <v>688</v>
      </c>
      <c r="C8" s="92" t="s">
        <v>652</v>
      </c>
      <c r="D8" s="92" t="s">
        <v>653</v>
      </c>
      <c r="E8" s="103">
        <v>50</v>
      </c>
      <c r="F8" s="103" t="s">
        <v>654</v>
      </c>
      <c r="G8" s="118">
        <v>16.5</v>
      </c>
      <c r="H8" s="121">
        <f>E8*G8</f>
        <v>825</v>
      </c>
      <c r="I8" s="322">
        <v>1</v>
      </c>
      <c r="J8" s="207">
        <v>3.44</v>
      </c>
      <c r="K8" s="208">
        <v>3</v>
      </c>
      <c r="L8" s="209">
        <v>0.45</v>
      </c>
      <c r="M8" s="210">
        <f>J8+K8</f>
        <v>6.4399999999999995</v>
      </c>
      <c r="N8" s="211">
        <v>0.28999999999999998</v>
      </c>
      <c r="O8" s="212">
        <v>0.1</v>
      </c>
      <c r="P8" s="213">
        <v>0.1</v>
      </c>
      <c r="Q8" s="322">
        <f>E8*I8</f>
        <v>50</v>
      </c>
      <c r="R8" s="207">
        <f>E8*J8</f>
        <v>172</v>
      </c>
      <c r="S8" s="208">
        <f>E8*K8</f>
        <v>150</v>
      </c>
      <c r="T8" s="209">
        <f>E8*L8</f>
        <v>22.5</v>
      </c>
      <c r="U8" s="210">
        <f t="shared" ref="U8:U69" si="0">E8*M8</f>
        <v>322</v>
      </c>
      <c r="V8" s="211">
        <f>N8*E8</f>
        <v>14.499999999999998</v>
      </c>
      <c r="W8" s="212">
        <f>O8*E8</f>
        <v>5</v>
      </c>
      <c r="X8" s="213">
        <f>P8*E8</f>
        <v>5</v>
      </c>
      <c r="Y8" s="17"/>
    </row>
    <row r="9" spans="1:25" s="7" customFormat="1" ht="13.5" customHeight="1">
      <c r="A9" s="123">
        <v>40452</v>
      </c>
      <c r="B9" s="124">
        <v>689</v>
      </c>
      <c r="C9" s="125"/>
      <c r="D9" s="125"/>
      <c r="E9" s="34"/>
      <c r="F9" s="34" t="s">
        <v>651</v>
      </c>
      <c r="G9" s="119">
        <v>0</v>
      </c>
      <c r="H9" s="122">
        <f>E9*G9</f>
        <v>0</v>
      </c>
      <c r="I9" s="323">
        <v>0</v>
      </c>
      <c r="J9" s="214">
        <v>0</v>
      </c>
      <c r="K9" s="215">
        <v>0</v>
      </c>
      <c r="L9" s="216">
        <v>0</v>
      </c>
      <c r="M9" s="217">
        <f>J9+K9</f>
        <v>0</v>
      </c>
      <c r="N9" s="218">
        <v>0</v>
      </c>
      <c r="O9" s="219">
        <v>0</v>
      </c>
      <c r="P9" s="220">
        <v>0</v>
      </c>
      <c r="Q9" s="323">
        <f>E9*I9</f>
        <v>0</v>
      </c>
      <c r="R9" s="214">
        <f>E9*J9</f>
        <v>0</v>
      </c>
      <c r="S9" s="215">
        <f>E9*K9</f>
        <v>0</v>
      </c>
      <c r="T9" s="216">
        <f>E9*L9</f>
        <v>0</v>
      </c>
      <c r="U9" s="217">
        <f t="shared" si="0"/>
        <v>0</v>
      </c>
      <c r="V9" s="218">
        <f>N9*E9</f>
        <v>0</v>
      </c>
      <c r="W9" s="219">
        <f>O9*E9</f>
        <v>0</v>
      </c>
      <c r="X9" s="220">
        <f>P9*E9</f>
        <v>0</v>
      </c>
      <c r="Y9" s="15"/>
    </row>
    <row r="10" spans="1:25" s="7" customFormat="1" ht="13.5" customHeight="1">
      <c r="A10" s="112">
        <v>40452</v>
      </c>
      <c r="B10" s="48">
        <v>690</v>
      </c>
      <c r="C10" s="20" t="s">
        <v>269</v>
      </c>
      <c r="D10" s="20" t="s">
        <v>135</v>
      </c>
      <c r="E10" s="28">
        <v>30</v>
      </c>
      <c r="F10" s="28" t="s">
        <v>655</v>
      </c>
      <c r="G10" s="119">
        <v>63.5</v>
      </c>
      <c r="H10" s="122">
        <f t="shared" ref="H10:H71" si="1">E10*G10</f>
        <v>1905</v>
      </c>
      <c r="I10" s="323">
        <v>5.5</v>
      </c>
      <c r="J10" s="222">
        <v>13.95</v>
      </c>
      <c r="K10" s="215">
        <v>2</v>
      </c>
      <c r="L10" s="216">
        <v>0.3</v>
      </c>
      <c r="M10" s="217">
        <f t="shared" ref="M10:M71" si="2">J10+K10</f>
        <v>15.95</v>
      </c>
      <c r="N10" s="218">
        <v>0.57999999999999996</v>
      </c>
      <c r="O10" s="219">
        <v>0.1</v>
      </c>
      <c r="P10" s="220">
        <v>0.2</v>
      </c>
      <c r="Q10" s="323">
        <f>E10*I10</f>
        <v>165</v>
      </c>
      <c r="R10" s="214">
        <f>E10*J10</f>
        <v>418.5</v>
      </c>
      <c r="S10" s="215">
        <f>E10*K10</f>
        <v>60</v>
      </c>
      <c r="T10" s="216">
        <f>E10*L10</f>
        <v>9</v>
      </c>
      <c r="U10" s="221">
        <f t="shared" si="0"/>
        <v>478.5</v>
      </c>
      <c r="V10" s="218">
        <f t="shared" ref="V10:V71" si="3">N10*E10</f>
        <v>17.399999999999999</v>
      </c>
      <c r="W10" s="219">
        <f t="shared" ref="W10:W71" si="4">O10*E10</f>
        <v>3</v>
      </c>
      <c r="X10" s="220">
        <f t="shared" ref="X10:X71" si="5">P10*E10</f>
        <v>6</v>
      </c>
      <c r="Y10" s="14"/>
    </row>
    <row r="11" spans="1:25" s="7" customFormat="1" ht="13.5" customHeight="1">
      <c r="A11" s="112"/>
      <c r="B11" s="48"/>
      <c r="C11" s="20" t="s">
        <v>269</v>
      </c>
      <c r="D11" s="20" t="s">
        <v>135</v>
      </c>
      <c r="E11" s="28">
        <v>2</v>
      </c>
      <c r="F11" s="28" t="s">
        <v>656</v>
      </c>
      <c r="G11" s="119">
        <v>89</v>
      </c>
      <c r="H11" s="122">
        <f t="shared" si="1"/>
        <v>178</v>
      </c>
      <c r="I11" s="323">
        <v>8</v>
      </c>
      <c r="J11" s="214">
        <v>7.98</v>
      </c>
      <c r="K11" s="215">
        <v>2</v>
      </c>
      <c r="L11" s="216">
        <v>0.3</v>
      </c>
      <c r="M11" s="217">
        <f t="shared" si="2"/>
        <v>9.98</v>
      </c>
      <c r="N11" s="218">
        <v>1.25</v>
      </c>
      <c r="O11" s="219">
        <v>0.1</v>
      </c>
      <c r="P11" s="220">
        <v>0.1</v>
      </c>
      <c r="Q11" s="323">
        <f t="shared" ref="Q11:Q72" si="6">E11*I11</f>
        <v>16</v>
      </c>
      <c r="R11" s="214">
        <f t="shared" ref="R11:R72" si="7">E11*J11</f>
        <v>15.96</v>
      </c>
      <c r="S11" s="215">
        <f t="shared" ref="S11:S72" si="8">E11*K11</f>
        <v>4</v>
      </c>
      <c r="T11" s="216">
        <f t="shared" ref="T11:T72" si="9">E11*L11</f>
        <v>0.6</v>
      </c>
      <c r="U11" s="221">
        <f t="shared" si="0"/>
        <v>19.96</v>
      </c>
      <c r="V11" s="218">
        <f t="shared" si="3"/>
        <v>2.5</v>
      </c>
      <c r="W11" s="219">
        <f t="shared" si="4"/>
        <v>0.2</v>
      </c>
      <c r="X11" s="220">
        <f t="shared" si="5"/>
        <v>0.2</v>
      </c>
      <c r="Y11" s="14"/>
    </row>
    <row r="12" spans="1:25" s="7" customFormat="1" ht="13.5" customHeight="1">
      <c r="A12" s="112">
        <v>40455</v>
      </c>
      <c r="B12" s="48">
        <v>691</v>
      </c>
      <c r="C12" s="20" t="s">
        <v>209</v>
      </c>
      <c r="D12" s="20" t="s">
        <v>210</v>
      </c>
      <c r="E12" s="28">
        <v>6</v>
      </c>
      <c r="F12" s="28" t="s">
        <v>657</v>
      </c>
      <c r="G12" s="119">
        <v>37</v>
      </c>
      <c r="H12" s="122">
        <f t="shared" si="1"/>
        <v>222</v>
      </c>
      <c r="I12" s="323">
        <v>3.5</v>
      </c>
      <c r="J12" s="214">
        <v>5.39</v>
      </c>
      <c r="K12" s="215">
        <v>0.6</v>
      </c>
      <c r="L12" s="216">
        <v>0.09</v>
      </c>
      <c r="M12" s="217">
        <f t="shared" si="2"/>
        <v>5.9899999999999993</v>
      </c>
      <c r="N12" s="218">
        <v>0.33</v>
      </c>
      <c r="O12" s="219">
        <v>0.1</v>
      </c>
      <c r="P12" s="220">
        <v>0.1</v>
      </c>
      <c r="Q12" s="323">
        <f t="shared" si="6"/>
        <v>21</v>
      </c>
      <c r="R12" s="214">
        <f t="shared" si="7"/>
        <v>32.339999999999996</v>
      </c>
      <c r="S12" s="215">
        <f t="shared" si="8"/>
        <v>3.5999999999999996</v>
      </c>
      <c r="T12" s="216">
        <f t="shared" si="9"/>
        <v>0.54</v>
      </c>
      <c r="U12" s="221">
        <f t="shared" si="0"/>
        <v>35.94</v>
      </c>
      <c r="V12" s="218">
        <f t="shared" si="3"/>
        <v>1.98</v>
      </c>
      <c r="W12" s="219">
        <f t="shared" si="4"/>
        <v>0.60000000000000009</v>
      </c>
      <c r="X12" s="220">
        <f t="shared" si="5"/>
        <v>0.60000000000000009</v>
      </c>
      <c r="Y12" s="14"/>
    </row>
    <row r="13" spans="1:25" s="7" customFormat="1" ht="13.5" customHeight="1">
      <c r="A13" s="112"/>
      <c r="B13" s="48"/>
      <c r="C13" s="20" t="s">
        <v>209</v>
      </c>
      <c r="D13" s="20" t="s">
        <v>210</v>
      </c>
      <c r="E13" s="28">
        <v>6</v>
      </c>
      <c r="F13" s="28" t="s">
        <v>658</v>
      </c>
      <c r="G13" s="119">
        <v>54.5</v>
      </c>
      <c r="H13" s="122">
        <f t="shared" si="1"/>
        <v>327</v>
      </c>
      <c r="I13" s="323">
        <v>5.5</v>
      </c>
      <c r="J13" s="222">
        <v>15.69</v>
      </c>
      <c r="K13" s="215">
        <v>4.8</v>
      </c>
      <c r="L13" s="216">
        <v>0.72</v>
      </c>
      <c r="M13" s="217">
        <f t="shared" si="2"/>
        <v>20.49</v>
      </c>
      <c r="N13" s="218">
        <v>0.67</v>
      </c>
      <c r="O13" s="219">
        <v>0.1</v>
      </c>
      <c r="P13" s="220">
        <v>0.1</v>
      </c>
      <c r="Q13" s="323">
        <f t="shared" si="6"/>
        <v>33</v>
      </c>
      <c r="R13" s="214">
        <f t="shared" si="7"/>
        <v>94.14</v>
      </c>
      <c r="S13" s="215">
        <f t="shared" si="8"/>
        <v>28.799999999999997</v>
      </c>
      <c r="T13" s="216">
        <f t="shared" si="9"/>
        <v>4.32</v>
      </c>
      <c r="U13" s="221">
        <f t="shared" si="0"/>
        <v>122.94</v>
      </c>
      <c r="V13" s="218">
        <f t="shared" si="3"/>
        <v>4.0200000000000005</v>
      </c>
      <c r="W13" s="219">
        <f t="shared" si="4"/>
        <v>0.60000000000000009</v>
      </c>
      <c r="X13" s="220">
        <f t="shared" si="5"/>
        <v>0.60000000000000009</v>
      </c>
      <c r="Y13" s="14"/>
    </row>
    <row r="14" spans="1:25" s="7" customFormat="1" ht="13.5" customHeight="1">
      <c r="A14" s="112"/>
      <c r="B14" s="48"/>
      <c r="C14" s="20" t="s">
        <v>209</v>
      </c>
      <c r="D14" s="20" t="s">
        <v>210</v>
      </c>
      <c r="E14" s="28">
        <v>6</v>
      </c>
      <c r="F14" s="28" t="s">
        <v>659</v>
      </c>
      <c r="G14" s="119">
        <v>12.5</v>
      </c>
      <c r="H14" s="122">
        <f t="shared" si="1"/>
        <v>75</v>
      </c>
      <c r="I14" s="323">
        <v>1</v>
      </c>
      <c r="J14" s="214">
        <v>3.49</v>
      </c>
      <c r="K14" s="215">
        <v>0.6</v>
      </c>
      <c r="L14" s="216">
        <v>0.09</v>
      </c>
      <c r="M14" s="217">
        <f t="shared" si="2"/>
        <v>4.09</v>
      </c>
      <c r="N14" s="218">
        <v>0.28999999999999998</v>
      </c>
      <c r="O14" s="219">
        <v>0.1</v>
      </c>
      <c r="P14" s="220">
        <v>0.1</v>
      </c>
      <c r="Q14" s="323">
        <f t="shared" si="6"/>
        <v>6</v>
      </c>
      <c r="R14" s="214">
        <f t="shared" si="7"/>
        <v>20.94</v>
      </c>
      <c r="S14" s="215">
        <f t="shared" si="8"/>
        <v>3.5999999999999996</v>
      </c>
      <c r="T14" s="216">
        <f t="shared" si="9"/>
        <v>0.54</v>
      </c>
      <c r="U14" s="221">
        <f t="shared" si="0"/>
        <v>24.54</v>
      </c>
      <c r="V14" s="218">
        <f t="shared" si="3"/>
        <v>1.7399999999999998</v>
      </c>
      <c r="W14" s="219">
        <f t="shared" si="4"/>
        <v>0.60000000000000009</v>
      </c>
      <c r="X14" s="220">
        <f t="shared" si="5"/>
        <v>0.60000000000000009</v>
      </c>
      <c r="Y14" s="14"/>
    </row>
    <row r="15" spans="1:25" s="7" customFormat="1" ht="13.5" customHeight="1">
      <c r="A15" s="112">
        <v>40456</v>
      </c>
      <c r="B15" s="48">
        <v>692</v>
      </c>
      <c r="C15" s="20" t="s">
        <v>660</v>
      </c>
      <c r="D15" s="20" t="s">
        <v>660</v>
      </c>
      <c r="E15" s="28">
        <v>75</v>
      </c>
      <c r="F15" s="28" t="s">
        <v>661</v>
      </c>
      <c r="G15" s="119">
        <v>46</v>
      </c>
      <c r="H15" s="122">
        <f t="shared" si="1"/>
        <v>3450</v>
      </c>
      <c r="I15" s="323">
        <v>3.5</v>
      </c>
      <c r="J15" s="222">
        <v>10.62</v>
      </c>
      <c r="K15" s="215">
        <v>4.8</v>
      </c>
      <c r="L15" s="216">
        <v>0.72</v>
      </c>
      <c r="M15" s="217">
        <f t="shared" si="2"/>
        <v>15.419999999999998</v>
      </c>
      <c r="N15" s="218">
        <v>0.33</v>
      </c>
      <c r="O15" s="219">
        <v>0.1</v>
      </c>
      <c r="P15" s="220">
        <v>0.1</v>
      </c>
      <c r="Q15" s="323">
        <f t="shared" si="6"/>
        <v>262.5</v>
      </c>
      <c r="R15" s="214">
        <f t="shared" si="7"/>
        <v>796.49999999999989</v>
      </c>
      <c r="S15" s="215">
        <f t="shared" si="8"/>
        <v>360</v>
      </c>
      <c r="T15" s="216">
        <f t="shared" si="9"/>
        <v>54</v>
      </c>
      <c r="U15" s="221">
        <f t="shared" si="0"/>
        <v>1156.4999999999998</v>
      </c>
      <c r="V15" s="218">
        <f t="shared" si="3"/>
        <v>24.75</v>
      </c>
      <c r="W15" s="219">
        <f t="shared" si="4"/>
        <v>7.5</v>
      </c>
      <c r="X15" s="220">
        <f t="shared" si="5"/>
        <v>7.5</v>
      </c>
      <c r="Y15" s="14"/>
    </row>
    <row r="16" spans="1:25" s="7" customFormat="1" ht="13.5" customHeight="1">
      <c r="A16" s="112"/>
      <c r="B16" s="48"/>
      <c r="C16" s="20" t="s">
        <v>660</v>
      </c>
      <c r="D16" s="20" t="s">
        <v>660</v>
      </c>
      <c r="E16" s="28">
        <v>5</v>
      </c>
      <c r="F16" s="28" t="s">
        <v>662</v>
      </c>
      <c r="G16" s="119">
        <v>50</v>
      </c>
      <c r="H16" s="122">
        <f t="shared" si="1"/>
        <v>250</v>
      </c>
      <c r="I16" s="323">
        <v>3.5</v>
      </c>
      <c r="J16" s="222">
        <v>10.62</v>
      </c>
      <c r="K16" s="215">
        <v>4.8</v>
      </c>
      <c r="L16" s="216">
        <v>0.72</v>
      </c>
      <c r="M16" s="217">
        <f t="shared" si="2"/>
        <v>15.419999999999998</v>
      </c>
      <c r="N16" s="218">
        <v>0.33</v>
      </c>
      <c r="O16" s="219">
        <v>0.1</v>
      </c>
      <c r="P16" s="220">
        <v>0.1</v>
      </c>
      <c r="Q16" s="323">
        <f t="shared" si="6"/>
        <v>17.5</v>
      </c>
      <c r="R16" s="214">
        <f t="shared" si="7"/>
        <v>53.099999999999994</v>
      </c>
      <c r="S16" s="215">
        <f t="shared" si="8"/>
        <v>24</v>
      </c>
      <c r="T16" s="216">
        <f t="shared" si="9"/>
        <v>3.5999999999999996</v>
      </c>
      <c r="U16" s="221">
        <f t="shared" si="0"/>
        <v>77.099999999999994</v>
      </c>
      <c r="V16" s="218">
        <f t="shared" si="3"/>
        <v>1.6500000000000001</v>
      </c>
      <c r="W16" s="219">
        <f t="shared" si="4"/>
        <v>0.5</v>
      </c>
      <c r="X16" s="220">
        <f t="shared" si="5"/>
        <v>0.5</v>
      </c>
      <c r="Y16" s="14"/>
    </row>
    <row r="17" spans="1:25" s="7" customFormat="1" ht="13.5" customHeight="1">
      <c r="A17" s="112"/>
      <c r="B17" s="48"/>
      <c r="C17" s="20" t="s">
        <v>660</v>
      </c>
      <c r="D17" s="20" t="s">
        <v>660</v>
      </c>
      <c r="E17" s="28">
        <v>12</v>
      </c>
      <c r="F17" s="28" t="s">
        <v>663</v>
      </c>
      <c r="G17" s="119">
        <v>46</v>
      </c>
      <c r="H17" s="122">
        <f t="shared" si="1"/>
        <v>552</v>
      </c>
      <c r="I17" s="323">
        <v>3.5</v>
      </c>
      <c r="J17" s="222">
        <v>11.55</v>
      </c>
      <c r="K17" s="215">
        <v>5</v>
      </c>
      <c r="L17" s="216">
        <v>0.72</v>
      </c>
      <c r="M17" s="217">
        <f t="shared" si="2"/>
        <v>16.55</v>
      </c>
      <c r="N17" s="218">
        <v>0.33</v>
      </c>
      <c r="O17" s="219">
        <v>0.1</v>
      </c>
      <c r="P17" s="220">
        <v>0.1</v>
      </c>
      <c r="Q17" s="323">
        <f t="shared" si="6"/>
        <v>42</v>
      </c>
      <c r="R17" s="214">
        <f t="shared" si="7"/>
        <v>138.60000000000002</v>
      </c>
      <c r="S17" s="215">
        <f t="shared" si="8"/>
        <v>60</v>
      </c>
      <c r="T17" s="216">
        <f t="shared" si="9"/>
        <v>8.64</v>
      </c>
      <c r="U17" s="221">
        <f t="shared" si="0"/>
        <v>198.60000000000002</v>
      </c>
      <c r="V17" s="218">
        <f t="shared" si="3"/>
        <v>3.96</v>
      </c>
      <c r="W17" s="219">
        <f t="shared" si="4"/>
        <v>1.2000000000000002</v>
      </c>
      <c r="X17" s="220">
        <f t="shared" si="5"/>
        <v>1.2000000000000002</v>
      </c>
      <c r="Y17" s="14"/>
    </row>
    <row r="18" spans="1:25" s="7" customFormat="1" ht="13.5" customHeight="1">
      <c r="A18" s="112">
        <v>40456</v>
      </c>
      <c r="B18" s="48">
        <v>693</v>
      </c>
      <c r="C18" s="110" t="s">
        <v>425</v>
      </c>
      <c r="D18" s="20" t="s">
        <v>664</v>
      </c>
      <c r="E18" s="28">
        <v>15</v>
      </c>
      <c r="F18" s="28" t="s">
        <v>665</v>
      </c>
      <c r="G18" s="119">
        <v>34</v>
      </c>
      <c r="H18" s="122">
        <f t="shared" si="1"/>
        <v>510</v>
      </c>
      <c r="I18" s="323">
        <v>3.5</v>
      </c>
      <c r="J18" s="214">
        <v>4.01</v>
      </c>
      <c r="K18" s="215">
        <v>1</v>
      </c>
      <c r="L18" s="216">
        <v>0.15</v>
      </c>
      <c r="M18" s="217">
        <f t="shared" si="2"/>
        <v>5.01</v>
      </c>
      <c r="N18" s="218">
        <v>0.33</v>
      </c>
      <c r="O18" s="219">
        <v>0.1</v>
      </c>
      <c r="P18" s="220">
        <v>0.1</v>
      </c>
      <c r="Q18" s="323">
        <f t="shared" si="6"/>
        <v>52.5</v>
      </c>
      <c r="R18" s="214">
        <f t="shared" si="7"/>
        <v>60.15</v>
      </c>
      <c r="S18" s="215">
        <f t="shared" si="8"/>
        <v>15</v>
      </c>
      <c r="T18" s="216">
        <f t="shared" si="9"/>
        <v>2.25</v>
      </c>
      <c r="U18" s="221">
        <f t="shared" si="0"/>
        <v>75.149999999999991</v>
      </c>
      <c r="V18" s="218">
        <f t="shared" si="3"/>
        <v>4.95</v>
      </c>
      <c r="W18" s="219">
        <f t="shared" si="4"/>
        <v>1.5</v>
      </c>
      <c r="X18" s="220">
        <f t="shared" si="5"/>
        <v>1.5</v>
      </c>
      <c r="Y18" s="14"/>
    </row>
    <row r="19" spans="1:25" s="7" customFormat="1" ht="13.5" customHeight="1">
      <c r="A19" s="112"/>
      <c r="B19" s="48"/>
      <c r="C19" s="110" t="s">
        <v>425</v>
      </c>
      <c r="D19" s="20" t="s">
        <v>664</v>
      </c>
      <c r="E19" s="28">
        <v>5</v>
      </c>
      <c r="F19" s="28" t="s">
        <v>666</v>
      </c>
      <c r="G19" s="119">
        <v>34</v>
      </c>
      <c r="H19" s="122">
        <f t="shared" si="1"/>
        <v>170</v>
      </c>
      <c r="I19" s="323">
        <v>3.5</v>
      </c>
      <c r="J19" s="214">
        <v>7.83</v>
      </c>
      <c r="K19" s="215">
        <v>1</v>
      </c>
      <c r="L19" s="216">
        <v>0.15</v>
      </c>
      <c r="M19" s="217">
        <f t="shared" si="2"/>
        <v>8.83</v>
      </c>
      <c r="N19" s="218">
        <v>0.33</v>
      </c>
      <c r="O19" s="219">
        <v>0.1</v>
      </c>
      <c r="P19" s="220">
        <v>0.1</v>
      </c>
      <c r="Q19" s="323">
        <f t="shared" si="6"/>
        <v>17.5</v>
      </c>
      <c r="R19" s="214">
        <f t="shared" si="7"/>
        <v>39.15</v>
      </c>
      <c r="S19" s="215">
        <f t="shared" si="8"/>
        <v>5</v>
      </c>
      <c r="T19" s="216">
        <f t="shared" si="9"/>
        <v>0.75</v>
      </c>
      <c r="U19" s="221">
        <f t="shared" si="0"/>
        <v>44.15</v>
      </c>
      <c r="V19" s="218">
        <f t="shared" si="3"/>
        <v>1.6500000000000001</v>
      </c>
      <c r="W19" s="219">
        <f t="shared" si="4"/>
        <v>0.5</v>
      </c>
      <c r="X19" s="220">
        <f t="shared" si="5"/>
        <v>0.5</v>
      </c>
      <c r="Y19" s="14"/>
    </row>
    <row r="20" spans="1:25" s="7" customFormat="1" ht="13.5" customHeight="1">
      <c r="A20" s="112"/>
      <c r="B20" s="48"/>
      <c r="C20" s="110" t="s">
        <v>425</v>
      </c>
      <c r="D20" s="20" t="s">
        <v>664</v>
      </c>
      <c r="E20" s="28">
        <v>20</v>
      </c>
      <c r="F20" s="28" t="s">
        <v>667</v>
      </c>
      <c r="G20" s="119">
        <v>13</v>
      </c>
      <c r="H20" s="122">
        <f t="shared" si="1"/>
        <v>260</v>
      </c>
      <c r="I20" s="323">
        <v>1</v>
      </c>
      <c r="J20" s="214">
        <v>2.2799999999999998</v>
      </c>
      <c r="K20" s="215">
        <v>1</v>
      </c>
      <c r="L20" s="216">
        <v>0.15</v>
      </c>
      <c r="M20" s="217">
        <f t="shared" si="2"/>
        <v>3.28</v>
      </c>
      <c r="N20" s="218">
        <v>0.28999999999999998</v>
      </c>
      <c r="O20" s="219">
        <v>0.1</v>
      </c>
      <c r="P20" s="220">
        <v>0.1</v>
      </c>
      <c r="Q20" s="323">
        <f t="shared" si="6"/>
        <v>20</v>
      </c>
      <c r="R20" s="214">
        <f t="shared" si="7"/>
        <v>45.599999999999994</v>
      </c>
      <c r="S20" s="215">
        <f t="shared" si="8"/>
        <v>20</v>
      </c>
      <c r="T20" s="216">
        <f t="shared" si="9"/>
        <v>3</v>
      </c>
      <c r="U20" s="221">
        <f t="shared" si="0"/>
        <v>65.599999999999994</v>
      </c>
      <c r="V20" s="218">
        <f t="shared" si="3"/>
        <v>5.8</v>
      </c>
      <c r="W20" s="219">
        <f t="shared" si="4"/>
        <v>2</v>
      </c>
      <c r="X20" s="220">
        <f t="shared" si="5"/>
        <v>2</v>
      </c>
      <c r="Y20" s="14"/>
    </row>
    <row r="21" spans="1:25" s="7" customFormat="1" ht="13.5" customHeight="1">
      <c r="A21" s="112">
        <v>40456</v>
      </c>
      <c r="B21" s="48">
        <v>694</v>
      </c>
      <c r="C21" s="20" t="s">
        <v>425</v>
      </c>
      <c r="D21" s="20" t="s">
        <v>668</v>
      </c>
      <c r="E21" s="28">
        <v>12</v>
      </c>
      <c r="F21" s="28" t="s">
        <v>669</v>
      </c>
      <c r="G21" s="119">
        <v>45</v>
      </c>
      <c r="H21" s="122">
        <f t="shared" si="1"/>
        <v>540</v>
      </c>
      <c r="I21" s="323">
        <v>3.5</v>
      </c>
      <c r="J21" s="214">
        <v>5.67</v>
      </c>
      <c r="K21" s="215">
        <v>0</v>
      </c>
      <c r="L21" s="216">
        <v>0</v>
      </c>
      <c r="M21" s="217">
        <f t="shared" si="2"/>
        <v>5.67</v>
      </c>
      <c r="N21" s="218">
        <v>0.33</v>
      </c>
      <c r="O21" s="219">
        <v>0.1</v>
      </c>
      <c r="P21" s="220">
        <v>0.1</v>
      </c>
      <c r="Q21" s="323">
        <f t="shared" si="6"/>
        <v>42</v>
      </c>
      <c r="R21" s="214">
        <f t="shared" si="7"/>
        <v>68.039999999999992</v>
      </c>
      <c r="S21" s="215">
        <f t="shared" si="8"/>
        <v>0</v>
      </c>
      <c r="T21" s="216">
        <f t="shared" si="9"/>
        <v>0</v>
      </c>
      <c r="U21" s="221">
        <f t="shared" si="0"/>
        <v>68.039999999999992</v>
      </c>
      <c r="V21" s="218">
        <f t="shared" si="3"/>
        <v>3.96</v>
      </c>
      <c r="W21" s="219">
        <f t="shared" si="4"/>
        <v>1.2000000000000002</v>
      </c>
      <c r="X21" s="220">
        <f t="shared" si="5"/>
        <v>1.2000000000000002</v>
      </c>
      <c r="Y21" s="14"/>
    </row>
    <row r="22" spans="1:25" s="7" customFormat="1" ht="13.5" customHeight="1">
      <c r="A22" s="112">
        <v>40456</v>
      </c>
      <c r="B22" s="48">
        <v>695</v>
      </c>
      <c r="C22" s="20" t="s">
        <v>330</v>
      </c>
      <c r="D22" s="20" t="s">
        <v>24</v>
      </c>
      <c r="E22" s="28">
        <v>2000</v>
      </c>
      <c r="F22" s="28" t="s">
        <v>670</v>
      </c>
      <c r="G22" s="119">
        <v>15.65</v>
      </c>
      <c r="H22" s="122">
        <f t="shared" si="1"/>
        <v>31300</v>
      </c>
      <c r="I22" s="323">
        <v>0.8</v>
      </c>
      <c r="J22" s="214">
        <v>1.81</v>
      </c>
      <c r="K22" s="215">
        <v>0</v>
      </c>
      <c r="L22" s="216">
        <v>0</v>
      </c>
      <c r="M22" s="217">
        <f t="shared" si="2"/>
        <v>1.81</v>
      </c>
      <c r="N22" s="218">
        <v>0</v>
      </c>
      <c r="O22" s="219">
        <v>0.05</v>
      </c>
      <c r="P22" s="220">
        <v>0.05</v>
      </c>
      <c r="Q22" s="325">
        <f t="shared" si="6"/>
        <v>1600</v>
      </c>
      <c r="R22" s="222">
        <f t="shared" si="7"/>
        <v>3620</v>
      </c>
      <c r="S22" s="215">
        <f t="shared" si="8"/>
        <v>0</v>
      </c>
      <c r="T22" s="216">
        <f t="shared" si="9"/>
        <v>0</v>
      </c>
      <c r="U22" s="221">
        <f t="shared" si="0"/>
        <v>3620</v>
      </c>
      <c r="V22" s="218">
        <f t="shared" si="3"/>
        <v>0</v>
      </c>
      <c r="W22" s="219">
        <f t="shared" si="4"/>
        <v>100</v>
      </c>
      <c r="X22" s="220">
        <f t="shared" si="5"/>
        <v>100</v>
      </c>
      <c r="Y22" s="14"/>
    </row>
    <row r="23" spans="1:25" s="7" customFormat="1" ht="13.5" customHeight="1">
      <c r="A23" s="112"/>
      <c r="B23" s="48"/>
      <c r="C23" s="20" t="s">
        <v>330</v>
      </c>
      <c r="D23" s="20" t="s">
        <v>24</v>
      </c>
      <c r="E23" s="28">
        <v>2000</v>
      </c>
      <c r="F23" s="28" t="s">
        <v>671</v>
      </c>
      <c r="G23" s="119">
        <v>15.65</v>
      </c>
      <c r="H23" s="122">
        <f t="shared" si="1"/>
        <v>31300</v>
      </c>
      <c r="I23" s="323">
        <v>0.8</v>
      </c>
      <c r="J23" s="214">
        <v>1.81</v>
      </c>
      <c r="K23" s="215">
        <v>0</v>
      </c>
      <c r="L23" s="216">
        <v>0</v>
      </c>
      <c r="M23" s="217">
        <f t="shared" si="2"/>
        <v>1.81</v>
      </c>
      <c r="N23" s="218">
        <v>0</v>
      </c>
      <c r="O23" s="219">
        <v>0.05</v>
      </c>
      <c r="P23" s="220">
        <v>0.05</v>
      </c>
      <c r="Q23" s="325">
        <f t="shared" si="6"/>
        <v>1600</v>
      </c>
      <c r="R23" s="222">
        <f t="shared" si="7"/>
        <v>3620</v>
      </c>
      <c r="S23" s="215">
        <f t="shared" si="8"/>
        <v>0</v>
      </c>
      <c r="T23" s="216">
        <f t="shared" si="9"/>
        <v>0</v>
      </c>
      <c r="U23" s="221">
        <f t="shared" si="0"/>
        <v>3620</v>
      </c>
      <c r="V23" s="218">
        <f t="shared" si="3"/>
        <v>0</v>
      </c>
      <c r="W23" s="219">
        <f t="shared" si="4"/>
        <v>100</v>
      </c>
      <c r="X23" s="220">
        <f t="shared" si="5"/>
        <v>100</v>
      </c>
      <c r="Y23" s="14"/>
    </row>
    <row r="24" spans="1:25" s="7" customFormat="1" ht="13.5" customHeight="1">
      <c r="A24" s="112"/>
      <c r="B24" s="48"/>
      <c r="C24" s="20" t="s">
        <v>330</v>
      </c>
      <c r="D24" s="20" t="s">
        <v>24</v>
      </c>
      <c r="E24" s="28">
        <v>2000</v>
      </c>
      <c r="F24" s="28" t="s">
        <v>672</v>
      </c>
      <c r="G24" s="119">
        <v>15.65</v>
      </c>
      <c r="H24" s="122">
        <f t="shared" si="1"/>
        <v>31300</v>
      </c>
      <c r="I24" s="323">
        <v>0.8</v>
      </c>
      <c r="J24" s="214">
        <v>1.81</v>
      </c>
      <c r="K24" s="215">
        <v>0</v>
      </c>
      <c r="L24" s="216">
        <v>0</v>
      </c>
      <c r="M24" s="217">
        <f t="shared" si="2"/>
        <v>1.81</v>
      </c>
      <c r="N24" s="218">
        <v>0</v>
      </c>
      <c r="O24" s="219">
        <v>0.05</v>
      </c>
      <c r="P24" s="220">
        <v>0.05</v>
      </c>
      <c r="Q24" s="325">
        <f t="shared" si="6"/>
        <v>1600</v>
      </c>
      <c r="R24" s="222">
        <f t="shared" si="7"/>
        <v>3620</v>
      </c>
      <c r="S24" s="215">
        <f t="shared" si="8"/>
        <v>0</v>
      </c>
      <c r="T24" s="216">
        <f t="shared" si="9"/>
        <v>0</v>
      </c>
      <c r="U24" s="221">
        <f t="shared" si="0"/>
        <v>3620</v>
      </c>
      <c r="V24" s="218">
        <f t="shared" si="3"/>
        <v>0</v>
      </c>
      <c r="W24" s="219">
        <f t="shared" si="4"/>
        <v>100</v>
      </c>
      <c r="X24" s="220">
        <f t="shared" si="5"/>
        <v>100</v>
      </c>
      <c r="Y24" s="14"/>
    </row>
    <row r="25" spans="1:25" s="7" customFormat="1" ht="13.5" customHeight="1">
      <c r="A25" s="112"/>
      <c r="B25" s="48"/>
      <c r="C25" s="20" t="s">
        <v>330</v>
      </c>
      <c r="D25" s="20" t="s">
        <v>24</v>
      </c>
      <c r="E25" s="28">
        <v>2000</v>
      </c>
      <c r="F25" s="28" t="s">
        <v>673</v>
      </c>
      <c r="G25" s="119">
        <v>15.65</v>
      </c>
      <c r="H25" s="122">
        <f t="shared" si="1"/>
        <v>31300</v>
      </c>
      <c r="I25" s="323">
        <v>0.8</v>
      </c>
      <c r="J25" s="214">
        <v>1.81</v>
      </c>
      <c r="K25" s="215">
        <v>0</v>
      </c>
      <c r="L25" s="216">
        <v>0</v>
      </c>
      <c r="M25" s="217">
        <f t="shared" si="2"/>
        <v>1.81</v>
      </c>
      <c r="N25" s="218">
        <v>0</v>
      </c>
      <c r="O25" s="219">
        <v>0.05</v>
      </c>
      <c r="P25" s="220">
        <v>0.05</v>
      </c>
      <c r="Q25" s="325">
        <f t="shared" si="6"/>
        <v>1600</v>
      </c>
      <c r="R25" s="222">
        <f t="shared" si="7"/>
        <v>3620</v>
      </c>
      <c r="S25" s="215">
        <f t="shared" si="8"/>
        <v>0</v>
      </c>
      <c r="T25" s="216">
        <f t="shared" si="9"/>
        <v>0</v>
      </c>
      <c r="U25" s="221">
        <f t="shared" si="0"/>
        <v>3620</v>
      </c>
      <c r="V25" s="218">
        <f t="shared" si="3"/>
        <v>0</v>
      </c>
      <c r="W25" s="219">
        <f t="shared" si="4"/>
        <v>100</v>
      </c>
      <c r="X25" s="220">
        <f t="shared" si="5"/>
        <v>100</v>
      </c>
      <c r="Y25" s="14"/>
    </row>
    <row r="26" spans="1:25" s="7" customFormat="1" ht="13.5" customHeight="1">
      <c r="A26" s="112"/>
      <c r="B26" s="48"/>
      <c r="C26" s="20" t="s">
        <v>330</v>
      </c>
      <c r="D26" s="20" t="s">
        <v>24</v>
      </c>
      <c r="E26" s="28">
        <v>10</v>
      </c>
      <c r="F26" s="28" t="s">
        <v>674</v>
      </c>
      <c r="G26" s="119">
        <v>4.7</v>
      </c>
      <c r="H26" s="122">
        <f t="shared" si="1"/>
        <v>47</v>
      </c>
      <c r="I26" s="323">
        <v>0.4</v>
      </c>
      <c r="J26" s="214">
        <v>0.28000000000000003</v>
      </c>
      <c r="K26" s="215">
        <v>0</v>
      </c>
      <c r="L26" s="216">
        <v>0</v>
      </c>
      <c r="M26" s="217">
        <f t="shared" si="2"/>
        <v>0.28000000000000003</v>
      </c>
      <c r="N26" s="218">
        <v>0.04</v>
      </c>
      <c r="O26" s="219">
        <v>0.1</v>
      </c>
      <c r="P26" s="220">
        <v>0.1</v>
      </c>
      <c r="Q26" s="323">
        <f t="shared" si="6"/>
        <v>4</v>
      </c>
      <c r="R26" s="214">
        <f t="shared" si="7"/>
        <v>2.8000000000000003</v>
      </c>
      <c r="S26" s="215">
        <f t="shared" si="8"/>
        <v>0</v>
      </c>
      <c r="T26" s="216">
        <f t="shared" si="9"/>
        <v>0</v>
      </c>
      <c r="U26" s="221">
        <f t="shared" si="0"/>
        <v>2.8000000000000003</v>
      </c>
      <c r="V26" s="218">
        <f t="shared" si="3"/>
        <v>0.4</v>
      </c>
      <c r="W26" s="219">
        <f t="shared" si="4"/>
        <v>1</v>
      </c>
      <c r="X26" s="220">
        <f t="shared" si="5"/>
        <v>1</v>
      </c>
      <c r="Y26" s="14"/>
    </row>
    <row r="27" spans="1:25" s="7" customFormat="1" ht="13.5" customHeight="1">
      <c r="A27" s="112"/>
      <c r="B27" s="48"/>
      <c r="C27" s="20" t="s">
        <v>330</v>
      </c>
      <c r="D27" s="20" t="s">
        <v>24</v>
      </c>
      <c r="E27" s="28">
        <v>10</v>
      </c>
      <c r="F27" s="27" t="s">
        <v>675</v>
      </c>
      <c r="G27" s="119">
        <v>4.7</v>
      </c>
      <c r="H27" s="122">
        <f t="shared" si="1"/>
        <v>47</v>
      </c>
      <c r="I27" s="323">
        <v>0.4</v>
      </c>
      <c r="J27" s="214">
        <v>0.28000000000000003</v>
      </c>
      <c r="K27" s="215">
        <v>0</v>
      </c>
      <c r="L27" s="216">
        <v>0</v>
      </c>
      <c r="M27" s="217">
        <f t="shared" si="2"/>
        <v>0.28000000000000003</v>
      </c>
      <c r="N27" s="218">
        <v>0.04</v>
      </c>
      <c r="O27" s="219">
        <v>0.1</v>
      </c>
      <c r="P27" s="220">
        <v>0.1</v>
      </c>
      <c r="Q27" s="323">
        <f t="shared" si="6"/>
        <v>4</v>
      </c>
      <c r="R27" s="214">
        <f t="shared" si="7"/>
        <v>2.8000000000000003</v>
      </c>
      <c r="S27" s="215">
        <f t="shared" si="8"/>
        <v>0</v>
      </c>
      <c r="T27" s="216">
        <f t="shared" si="9"/>
        <v>0</v>
      </c>
      <c r="U27" s="221">
        <f t="shared" si="0"/>
        <v>2.8000000000000003</v>
      </c>
      <c r="V27" s="218">
        <f t="shared" si="3"/>
        <v>0.4</v>
      </c>
      <c r="W27" s="219">
        <f t="shared" si="4"/>
        <v>1</v>
      </c>
      <c r="X27" s="220">
        <f t="shared" si="5"/>
        <v>1</v>
      </c>
      <c r="Y27" s="14"/>
    </row>
    <row r="28" spans="1:25" s="7" customFormat="1" ht="13.5" customHeight="1">
      <c r="A28" s="112"/>
      <c r="B28" s="48"/>
      <c r="C28" s="20" t="s">
        <v>330</v>
      </c>
      <c r="D28" s="20" t="s">
        <v>24</v>
      </c>
      <c r="E28" s="28">
        <v>10</v>
      </c>
      <c r="F28" s="28" t="s">
        <v>676</v>
      </c>
      <c r="G28" s="119">
        <v>4.7</v>
      </c>
      <c r="H28" s="122">
        <f t="shared" si="1"/>
        <v>47</v>
      </c>
      <c r="I28" s="323">
        <v>0.4</v>
      </c>
      <c r="J28" s="214">
        <v>0.87</v>
      </c>
      <c r="K28" s="215">
        <v>0</v>
      </c>
      <c r="L28" s="216">
        <v>0</v>
      </c>
      <c r="M28" s="217">
        <f t="shared" si="2"/>
        <v>0.87</v>
      </c>
      <c r="N28" s="218">
        <v>0</v>
      </c>
      <c r="O28" s="219">
        <v>0.1</v>
      </c>
      <c r="P28" s="220">
        <v>0.1</v>
      </c>
      <c r="Q28" s="323">
        <f t="shared" si="6"/>
        <v>4</v>
      </c>
      <c r="R28" s="214">
        <f t="shared" si="7"/>
        <v>8.6999999999999993</v>
      </c>
      <c r="S28" s="215">
        <f t="shared" si="8"/>
        <v>0</v>
      </c>
      <c r="T28" s="216">
        <f t="shared" si="9"/>
        <v>0</v>
      </c>
      <c r="U28" s="221">
        <f t="shared" si="0"/>
        <v>8.6999999999999993</v>
      </c>
      <c r="V28" s="218">
        <f t="shared" si="3"/>
        <v>0</v>
      </c>
      <c r="W28" s="219">
        <f t="shared" si="4"/>
        <v>1</v>
      </c>
      <c r="X28" s="220">
        <f t="shared" si="5"/>
        <v>1</v>
      </c>
      <c r="Y28" s="14"/>
    </row>
    <row r="29" spans="1:25" s="7" customFormat="1" ht="13.5" customHeight="1">
      <c r="A29" s="112">
        <v>40456</v>
      </c>
      <c r="B29" s="48">
        <v>696</v>
      </c>
      <c r="C29" s="20" t="s">
        <v>520</v>
      </c>
      <c r="D29" s="20" t="s">
        <v>425</v>
      </c>
      <c r="E29" s="28">
        <v>16</v>
      </c>
      <c r="F29" s="28" t="s">
        <v>677</v>
      </c>
      <c r="G29" s="119">
        <v>9.5</v>
      </c>
      <c r="H29" s="122">
        <f t="shared" si="1"/>
        <v>152</v>
      </c>
      <c r="I29" s="323">
        <v>1</v>
      </c>
      <c r="J29" s="214">
        <v>0.41</v>
      </c>
      <c r="K29" s="215">
        <v>1.4</v>
      </c>
      <c r="L29" s="216">
        <v>0.21</v>
      </c>
      <c r="M29" s="217">
        <f t="shared" si="2"/>
        <v>1.8099999999999998</v>
      </c>
      <c r="N29" s="218">
        <v>0.21</v>
      </c>
      <c r="O29" s="219">
        <v>0.1</v>
      </c>
      <c r="P29" s="220">
        <v>0.2</v>
      </c>
      <c r="Q29" s="323">
        <f t="shared" si="6"/>
        <v>16</v>
      </c>
      <c r="R29" s="214">
        <f t="shared" si="7"/>
        <v>6.56</v>
      </c>
      <c r="S29" s="215">
        <f t="shared" si="8"/>
        <v>22.4</v>
      </c>
      <c r="T29" s="216">
        <f t="shared" si="9"/>
        <v>3.36</v>
      </c>
      <c r="U29" s="221">
        <f t="shared" si="0"/>
        <v>28.959999999999997</v>
      </c>
      <c r="V29" s="218">
        <f t="shared" si="3"/>
        <v>3.36</v>
      </c>
      <c r="W29" s="219">
        <f t="shared" si="4"/>
        <v>1.6</v>
      </c>
      <c r="X29" s="220">
        <f t="shared" si="5"/>
        <v>3.2</v>
      </c>
      <c r="Y29" s="14"/>
    </row>
    <row r="30" spans="1:25" s="7" customFormat="1" ht="13.5" customHeight="1">
      <c r="A30" s="112">
        <v>40457</v>
      </c>
      <c r="B30" s="48">
        <v>697</v>
      </c>
      <c r="C30" s="20" t="s">
        <v>678</v>
      </c>
      <c r="D30" s="20" t="s">
        <v>679</v>
      </c>
      <c r="E30" s="28">
        <v>24</v>
      </c>
      <c r="F30" s="28" t="s">
        <v>680</v>
      </c>
      <c r="G30" s="119">
        <v>45</v>
      </c>
      <c r="H30" s="122">
        <f t="shared" si="1"/>
        <v>1080</v>
      </c>
      <c r="I30" s="323">
        <v>5</v>
      </c>
      <c r="J30" s="222">
        <v>10.58</v>
      </c>
      <c r="K30" s="215">
        <v>1.5</v>
      </c>
      <c r="L30" s="216">
        <v>0.23</v>
      </c>
      <c r="M30" s="217">
        <f t="shared" si="2"/>
        <v>12.08</v>
      </c>
      <c r="N30" s="218">
        <v>0.57999999999999996</v>
      </c>
      <c r="O30" s="219">
        <v>0.1</v>
      </c>
      <c r="P30" s="220">
        <v>0.2</v>
      </c>
      <c r="Q30" s="323">
        <f t="shared" si="6"/>
        <v>120</v>
      </c>
      <c r="R30" s="214">
        <f t="shared" si="7"/>
        <v>253.92000000000002</v>
      </c>
      <c r="S30" s="215">
        <f t="shared" si="8"/>
        <v>36</v>
      </c>
      <c r="T30" s="216">
        <f t="shared" si="9"/>
        <v>5.5200000000000005</v>
      </c>
      <c r="U30" s="221">
        <f t="shared" si="0"/>
        <v>289.92</v>
      </c>
      <c r="V30" s="218">
        <f t="shared" si="3"/>
        <v>13.919999999999998</v>
      </c>
      <c r="W30" s="219">
        <f t="shared" si="4"/>
        <v>2.4000000000000004</v>
      </c>
      <c r="X30" s="220">
        <f t="shared" si="5"/>
        <v>4.8000000000000007</v>
      </c>
      <c r="Y30" s="14"/>
    </row>
    <row r="31" spans="1:25" s="7" customFormat="1" ht="13.5" customHeight="1">
      <c r="A31" s="112"/>
      <c r="B31" s="48"/>
      <c r="C31" s="20" t="s">
        <v>678</v>
      </c>
      <c r="D31" s="20" t="s">
        <v>679</v>
      </c>
      <c r="E31" s="28">
        <v>173</v>
      </c>
      <c r="F31" s="28" t="s">
        <v>681</v>
      </c>
      <c r="G31" s="119">
        <v>45</v>
      </c>
      <c r="H31" s="122">
        <f t="shared" si="1"/>
        <v>7785</v>
      </c>
      <c r="I31" s="323">
        <v>5</v>
      </c>
      <c r="J31" s="222">
        <v>13.5</v>
      </c>
      <c r="K31" s="215">
        <v>1.5</v>
      </c>
      <c r="L31" s="216">
        <v>0.23</v>
      </c>
      <c r="M31" s="217">
        <f>J31+K31</f>
        <v>15</v>
      </c>
      <c r="N31" s="218">
        <v>0.57999999999999996</v>
      </c>
      <c r="O31" s="219">
        <v>0.1</v>
      </c>
      <c r="P31" s="220">
        <v>0.2</v>
      </c>
      <c r="Q31" s="323">
        <f t="shared" si="6"/>
        <v>865</v>
      </c>
      <c r="R31" s="222">
        <f t="shared" si="7"/>
        <v>2335.5</v>
      </c>
      <c r="S31" s="215">
        <f t="shared" si="8"/>
        <v>259.5</v>
      </c>
      <c r="T31" s="216">
        <f t="shared" si="9"/>
        <v>39.79</v>
      </c>
      <c r="U31" s="221">
        <f t="shared" si="0"/>
        <v>2595</v>
      </c>
      <c r="V31" s="218">
        <f t="shared" si="3"/>
        <v>100.33999999999999</v>
      </c>
      <c r="W31" s="219">
        <f t="shared" si="4"/>
        <v>17.3</v>
      </c>
      <c r="X31" s="220">
        <f t="shared" si="5"/>
        <v>34.6</v>
      </c>
      <c r="Y31" s="14"/>
    </row>
    <row r="32" spans="1:25" s="7" customFormat="1" ht="13.5" customHeight="1">
      <c r="A32" s="112"/>
      <c r="B32" s="48"/>
      <c r="C32" s="20" t="s">
        <v>678</v>
      </c>
      <c r="D32" s="20" t="s">
        <v>679</v>
      </c>
      <c r="E32" s="28">
        <v>13</v>
      </c>
      <c r="F32" s="28" t="s">
        <v>682</v>
      </c>
      <c r="G32" s="119">
        <v>45</v>
      </c>
      <c r="H32" s="122">
        <f t="shared" si="1"/>
        <v>585</v>
      </c>
      <c r="I32" s="323">
        <v>5</v>
      </c>
      <c r="J32" s="222">
        <v>10.58</v>
      </c>
      <c r="K32" s="215">
        <v>1.5</v>
      </c>
      <c r="L32" s="216">
        <v>0.23</v>
      </c>
      <c r="M32" s="217">
        <f t="shared" si="2"/>
        <v>12.08</v>
      </c>
      <c r="N32" s="218">
        <v>0.57999999999999996</v>
      </c>
      <c r="O32" s="219">
        <v>0.1</v>
      </c>
      <c r="P32" s="220">
        <v>0.2</v>
      </c>
      <c r="Q32" s="323">
        <f t="shared" si="6"/>
        <v>65</v>
      </c>
      <c r="R32" s="214">
        <f t="shared" si="7"/>
        <v>137.54</v>
      </c>
      <c r="S32" s="215">
        <f t="shared" si="8"/>
        <v>19.5</v>
      </c>
      <c r="T32" s="216">
        <f t="shared" si="9"/>
        <v>2.99</v>
      </c>
      <c r="U32" s="221">
        <f t="shared" si="0"/>
        <v>157.04</v>
      </c>
      <c r="V32" s="218">
        <f t="shared" si="3"/>
        <v>7.5399999999999991</v>
      </c>
      <c r="W32" s="219">
        <f t="shared" si="4"/>
        <v>1.3</v>
      </c>
      <c r="X32" s="220">
        <f t="shared" si="5"/>
        <v>2.6</v>
      </c>
      <c r="Y32" s="14"/>
    </row>
    <row r="33" spans="1:25" s="7" customFormat="1" ht="13.5" customHeight="1">
      <c r="A33" s="112">
        <v>40456</v>
      </c>
      <c r="B33" s="48">
        <v>698</v>
      </c>
      <c r="C33" s="20" t="s">
        <v>425</v>
      </c>
      <c r="D33" s="20" t="s">
        <v>341</v>
      </c>
      <c r="E33" s="28">
        <v>2</v>
      </c>
      <c r="F33" s="28" t="s">
        <v>683</v>
      </c>
      <c r="G33" s="119">
        <v>70</v>
      </c>
      <c r="H33" s="122">
        <f t="shared" si="1"/>
        <v>140</v>
      </c>
      <c r="I33" s="323">
        <v>5.5</v>
      </c>
      <c r="J33" s="222">
        <v>31.65</v>
      </c>
      <c r="K33" s="215">
        <v>1.1000000000000001</v>
      </c>
      <c r="L33" s="216">
        <v>0.17</v>
      </c>
      <c r="M33" s="217">
        <f t="shared" si="2"/>
        <v>32.75</v>
      </c>
      <c r="N33" s="218">
        <v>1.25</v>
      </c>
      <c r="O33" s="219">
        <v>0.1</v>
      </c>
      <c r="P33" s="220">
        <v>0.1</v>
      </c>
      <c r="Q33" s="323">
        <f t="shared" si="6"/>
        <v>11</v>
      </c>
      <c r="R33" s="214">
        <f t="shared" si="7"/>
        <v>63.3</v>
      </c>
      <c r="S33" s="215">
        <f t="shared" si="8"/>
        <v>2.2000000000000002</v>
      </c>
      <c r="T33" s="216">
        <f t="shared" si="9"/>
        <v>0.34</v>
      </c>
      <c r="U33" s="221">
        <f t="shared" si="0"/>
        <v>65.5</v>
      </c>
      <c r="V33" s="218">
        <f t="shared" si="3"/>
        <v>2.5</v>
      </c>
      <c r="W33" s="219">
        <f t="shared" si="4"/>
        <v>0.2</v>
      </c>
      <c r="X33" s="220">
        <f t="shared" si="5"/>
        <v>0.2</v>
      </c>
      <c r="Y33" s="14"/>
    </row>
    <row r="34" spans="1:25" s="7" customFormat="1" ht="13.5" customHeight="1">
      <c r="A34" s="112">
        <v>40456</v>
      </c>
      <c r="B34" s="48">
        <v>699</v>
      </c>
      <c r="C34" s="20" t="s">
        <v>684</v>
      </c>
      <c r="D34" s="20" t="s">
        <v>684</v>
      </c>
      <c r="E34" s="28">
        <v>18</v>
      </c>
      <c r="F34" s="28" t="s">
        <v>685</v>
      </c>
      <c r="G34" s="119">
        <v>55</v>
      </c>
      <c r="H34" s="122">
        <f t="shared" si="1"/>
        <v>990</v>
      </c>
      <c r="I34" s="323">
        <v>3.5</v>
      </c>
      <c r="J34" s="214">
        <v>9.43</v>
      </c>
      <c r="K34" s="215">
        <v>3.5</v>
      </c>
      <c r="L34" s="216">
        <v>0.53</v>
      </c>
      <c r="M34" s="221">
        <f t="shared" si="2"/>
        <v>12.93</v>
      </c>
      <c r="N34" s="218">
        <v>0.3</v>
      </c>
      <c r="O34" s="219">
        <v>0.1</v>
      </c>
      <c r="P34" s="220">
        <v>0.1</v>
      </c>
      <c r="Q34" s="323">
        <f t="shared" si="6"/>
        <v>63</v>
      </c>
      <c r="R34" s="214">
        <f t="shared" si="7"/>
        <v>169.74</v>
      </c>
      <c r="S34" s="215">
        <f t="shared" si="8"/>
        <v>63</v>
      </c>
      <c r="T34" s="216">
        <f t="shared" si="9"/>
        <v>9.5400000000000009</v>
      </c>
      <c r="U34" s="221">
        <f t="shared" si="0"/>
        <v>232.74</v>
      </c>
      <c r="V34" s="218">
        <f t="shared" si="3"/>
        <v>5.3999999999999995</v>
      </c>
      <c r="W34" s="219">
        <f t="shared" si="4"/>
        <v>1.8</v>
      </c>
      <c r="X34" s="220">
        <f t="shared" si="5"/>
        <v>1.8</v>
      </c>
      <c r="Y34" s="14"/>
    </row>
    <row r="35" spans="1:25" s="7" customFormat="1" ht="13.5" customHeight="1">
      <c r="A35" s="112"/>
      <c r="B35" s="48"/>
      <c r="C35" s="20" t="s">
        <v>684</v>
      </c>
      <c r="D35" s="20" t="s">
        <v>684</v>
      </c>
      <c r="E35" s="28">
        <v>2</v>
      </c>
      <c r="F35" s="28" t="s">
        <v>686</v>
      </c>
      <c r="G35" s="119">
        <v>55</v>
      </c>
      <c r="H35" s="122">
        <f t="shared" si="1"/>
        <v>110</v>
      </c>
      <c r="I35" s="323">
        <v>3.5</v>
      </c>
      <c r="J35" s="214">
        <v>7.36</v>
      </c>
      <c r="K35" s="215">
        <v>3.5</v>
      </c>
      <c r="L35" s="216">
        <v>0.53</v>
      </c>
      <c r="M35" s="221">
        <f t="shared" si="2"/>
        <v>10.86</v>
      </c>
      <c r="N35" s="218">
        <v>0.3</v>
      </c>
      <c r="O35" s="219">
        <v>0.1</v>
      </c>
      <c r="P35" s="220">
        <v>0.1</v>
      </c>
      <c r="Q35" s="323">
        <f t="shared" si="6"/>
        <v>7</v>
      </c>
      <c r="R35" s="214">
        <f t="shared" si="7"/>
        <v>14.72</v>
      </c>
      <c r="S35" s="215">
        <f t="shared" si="8"/>
        <v>7</v>
      </c>
      <c r="T35" s="216">
        <f t="shared" si="9"/>
        <v>1.06</v>
      </c>
      <c r="U35" s="221">
        <f t="shared" si="0"/>
        <v>21.72</v>
      </c>
      <c r="V35" s="218">
        <f t="shared" si="3"/>
        <v>0.6</v>
      </c>
      <c r="W35" s="219">
        <f t="shared" si="4"/>
        <v>0.2</v>
      </c>
      <c r="X35" s="220">
        <f t="shared" si="5"/>
        <v>0.2</v>
      </c>
      <c r="Y35" s="14"/>
    </row>
    <row r="36" spans="1:25" s="7" customFormat="1" ht="13.5" customHeight="1">
      <c r="A36" s="112">
        <v>40458</v>
      </c>
      <c r="B36" s="48">
        <v>700</v>
      </c>
      <c r="C36" s="20" t="s">
        <v>687</v>
      </c>
      <c r="D36" s="20" t="s">
        <v>688</v>
      </c>
      <c r="E36" s="28">
        <f>10+10</f>
        <v>20</v>
      </c>
      <c r="F36" s="28" t="s">
        <v>689</v>
      </c>
      <c r="G36" s="119">
        <v>87.5</v>
      </c>
      <c r="H36" s="122">
        <f t="shared" si="1"/>
        <v>1750</v>
      </c>
      <c r="I36" s="323">
        <v>10</v>
      </c>
      <c r="J36" s="222">
        <v>18.41</v>
      </c>
      <c r="K36" s="215">
        <v>4.5</v>
      </c>
      <c r="L36" s="216">
        <v>0.68</v>
      </c>
      <c r="M36" s="221">
        <f t="shared" si="2"/>
        <v>22.91</v>
      </c>
      <c r="N36" s="218">
        <v>1.17</v>
      </c>
      <c r="O36" s="219">
        <v>0.1</v>
      </c>
      <c r="P36" s="220">
        <v>0.1</v>
      </c>
      <c r="Q36" s="323">
        <f t="shared" si="6"/>
        <v>200</v>
      </c>
      <c r="R36" s="214">
        <f t="shared" si="7"/>
        <v>368.2</v>
      </c>
      <c r="S36" s="215">
        <f t="shared" si="8"/>
        <v>90</v>
      </c>
      <c r="T36" s="216">
        <f t="shared" si="9"/>
        <v>13.600000000000001</v>
      </c>
      <c r="U36" s="221">
        <f t="shared" si="0"/>
        <v>458.2</v>
      </c>
      <c r="V36" s="218">
        <f t="shared" si="3"/>
        <v>23.4</v>
      </c>
      <c r="W36" s="219">
        <f t="shared" si="4"/>
        <v>2</v>
      </c>
      <c r="X36" s="220">
        <f t="shared" si="5"/>
        <v>2</v>
      </c>
      <c r="Y36" s="14"/>
    </row>
    <row r="37" spans="1:25" s="7" customFormat="1" ht="13.5" customHeight="1">
      <c r="A37" s="112"/>
      <c r="B37" s="48"/>
      <c r="C37" s="20" t="s">
        <v>687</v>
      </c>
      <c r="D37" s="20" t="s">
        <v>688</v>
      </c>
      <c r="E37" s="28">
        <v>30</v>
      </c>
      <c r="F37" s="28" t="s">
        <v>690</v>
      </c>
      <c r="G37" s="119">
        <v>45</v>
      </c>
      <c r="H37" s="122">
        <f t="shared" si="1"/>
        <v>1350</v>
      </c>
      <c r="I37" s="323">
        <v>5</v>
      </c>
      <c r="J37" s="222">
        <v>14.03</v>
      </c>
      <c r="K37" s="215">
        <v>0</v>
      </c>
      <c r="L37" s="216">
        <v>0</v>
      </c>
      <c r="M37" s="221">
        <f t="shared" si="2"/>
        <v>14.03</v>
      </c>
      <c r="N37" s="218">
        <v>0.57999999999999996</v>
      </c>
      <c r="O37" s="219">
        <v>0.1</v>
      </c>
      <c r="P37" s="220">
        <v>0.1</v>
      </c>
      <c r="Q37" s="323">
        <f t="shared" si="6"/>
        <v>150</v>
      </c>
      <c r="R37" s="214">
        <f t="shared" si="7"/>
        <v>420.9</v>
      </c>
      <c r="S37" s="215">
        <f t="shared" si="8"/>
        <v>0</v>
      </c>
      <c r="T37" s="216">
        <f t="shared" si="9"/>
        <v>0</v>
      </c>
      <c r="U37" s="221">
        <f t="shared" si="0"/>
        <v>420.9</v>
      </c>
      <c r="V37" s="218">
        <f>N37*E37</f>
        <v>17.399999999999999</v>
      </c>
      <c r="W37" s="219">
        <f>O37*E37</f>
        <v>3</v>
      </c>
      <c r="X37" s="220">
        <f>P37*E37</f>
        <v>3</v>
      </c>
      <c r="Y37" s="14"/>
    </row>
    <row r="38" spans="1:25" s="7" customFormat="1" ht="13.5" customHeight="1">
      <c r="A38" s="112"/>
      <c r="B38" s="48"/>
      <c r="C38" s="20" t="s">
        <v>687</v>
      </c>
      <c r="D38" s="20" t="s">
        <v>688</v>
      </c>
      <c r="E38" s="28">
        <v>30</v>
      </c>
      <c r="F38" s="28" t="s">
        <v>691</v>
      </c>
      <c r="G38" s="119">
        <f>39.75+3.5</f>
        <v>43.25</v>
      </c>
      <c r="H38" s="122">
        <f t="shared" si="1"/>
        <v>1297.5</v>
      </c>
      <c r="I38" s="323">
        <v>3.5</v>
      </c>
      <c r="J38" s="214">
        <v>7.08</v>
      </c>
      <c r="K38" s="215">
        <v>3.8</v>
      </c>
      <c r="L38" s="216">
        <v>0.56999999999999995</v>
      </c>
      <c r="M38" s="221">
        <f t="shared" si="2"/>
        <v>10.879999999999999</v>
      </c>
      <c r="N38" s="218">
        <v>0.33</v>
      </c>
      <c r="O38" s="219">
        <v>0.1</v>
      </c>
      <c r="P38" s="220">
        <v>0.2</v>
      </c>
      <c r="Q38" s="323">
        <f t="shared" si="6"/>
        <v>105</v>
      </c>
      <c r="R38" s="214">
        <f t="shared" si="7"/>
        <v>212.4</v>
      </c>
      <c r="S38" s="215">
        <f t="shared" si="8"/>
        <v>114</v>
      </c>
      <c r="T38" s="216">
        <f t="shared" si="9"/>
        <v>17.099999999999998</v>
      </c>
      <c r="U38" s="221">
        <f t="shared" si="0"/>
        <v>326.39999999999998</v>
      </c>
      <c r="V38" s="218">
        <f t="shared" si="3"/>
        <v>9.9</v>
      </c>
      <c r="W38" s="219">
        <f t="shared" si="4"/>
        <v>3</v>
      </c>
      <c r="X38" s="220">
        <f t="shared" si="5"/>
        <v>6</v>
      </c>
      <c r="Y38" s="14"/>
    </row>
    <row r="39" spans="1:25" s="7" customFormat="1" ht="13.5" customHeight="1">
      <c r="A39" s="112"/>
      <c r="B39" s="48"/>
      <c r="C39" s="20" t="s">
        <v>687</v>
      </c>
      <c r="D39" s="20" t="s">
        <v>688</v>
      </c>
      <c r="E39" s="28">
        <v>30</v>
      </c>
      <c r="F39" s="28" t="s">
        <v>692</v>
      </c>
      <c r="G39" s="119">
        <f>39.75+3.5</f>
        <v>43.25</v>
      </c>
      <c r="H39" s="122">
        <f t="shared" si="1"/>
        <v>1297.5</v>
      </c>
      <c r="I39" s="323">
        <v>3.5</v>
      </c>
      <c r="J39" s="214">
        <v>7.08</v>
      </c>
      <c r="K39" s="215">
        <v>3.8</v>
      </c>
      <c r="L39" s="216"/>
      <c r="M39" s="221">
        <f t="shared" si="2"/>
        <v>10.879999999999999</v>
      </c>
      <c r="N39" s="218">
        <v>0.33</v>
      </c>
      <c r="O39" s="219">
        <v>0.1</v>
      </c>
      <c r="P39" s="220">
        <v>0.2</v>
      </c>
      <c r="Q39" s="323">
        <f t="shared" si="6"/>
        <v>105</v>
      </c>
      <c r="R39" s="214">
        <f t="shared" si="7"/>
        <v>212.4</v>
      </c>
      <c r="S39" s="215">
        <f t="shared" si="8"/>
        <v>114</v>
      </c>
      <c r="T39" s="216">
        <f t="shared" si="9"/>
        <v>0</v>
      </c>
      <c r="U39" s="221">
        <f t="shared" si="0"/>
        <v>326.39999999999998</v>
      </c>
      <c r="V39" s="218">
        <f t="shared" si="3"/>
        <v>9.9</v>
      </c>
      <c r="W39" s="219">
        <f t="shared" si="4"/>
        <v>3</v>
      </c>
      <c r="X39" s="220">
        <f t="shared" si="5"/>
        <v>6</v>
      </c>
      <c r="Y39" s="14"/>
    </row>
    <row r="40" spans="1:25" s="7" customFormat="1" ht="13.5" customHeight="1">
      <c r="A40" s="112"/>
      <c r="B40" s="48"/>
      <c r="C40" s="20" t="s">
        <v>687</v>
      </c>
      <c r="D40" s="20" t="s">
        <v>688</v>
      </c>
      <c r="E40" s="28">
        <v>30</v>
      </c>
      <c r="F40" s="28" t="s">
        <v>690</v>
      </c>
      <c r="G40" s="119">
        <v>45</v>
      </c>
      <c r="H40" s="122">
        <f t="shared" si="1"/>
        <v>1350</v>
      </c>
      <c r="I40" s="323">
        <v>5</v>
      </c>
      <c r="J40" s="222">
        <v>14.03</v>
      </c>
      <c r="K40" s="215">
        <v>0</v>
      </c>
      <c r="L40" s="216">
        <v>0</v>
      </c>
      <c r="M40" s="221">
        <f t="shared" si="2"/>
        <v>14.03</v>
      </c>
      <c r="N40" s="218">
        <v>0.57999999999999996</v>
      </c>
      <c r="O40" s="219">
        <v>0.1</v>
      </c>
      <c r="P40" s="220">
        <v>0.1</v>
      </c>
      <c r="Q40" s="323">
        <f t="shared" si="6"/>
        <v>150</v>
      </c>
      <c r="R40" s="214">
        <f t="shared" si="7"/>
        <v>420.9</v>
      </c>
      <c r="S40" s="215">
        <f t="shared" si="8"/>
        <v>0</v>
      </c>
      <c r="T40" s="216">
        <f t="shared" si="9"/>
        <v>0</v>
      </c>
      <c r="U40" s="221">
        <f t="shared" si="0"/>
        <v>420.9</v>
      </c>
      <c r="V40" s="218">
        <f>N40*E40</f>
        <v>17.399999999999999</v>
      </c>
      <c r="W40" s="219">
        <f>O40*E40</f>
        <v>3</v>
      </c>
      <c r="X40" s="220">
        <f>P40*E40</f>
        <v>3</v>
      </c>
      <c r="Y40" s="14"/>
    </row>
    <row r="41" spans="1:25" s="7" customFormat="1" ht="13.5" customHeight="1">
      <c r="A41" s="112"/>
      <c r="B41" s="48"/>
      <c r="C41" s="20" t="s">
        <v>687</v>
      </c>
      <c r="D41" s="20" t="s">
        <v>688</v>
      </c>
      <c r="E41" s="28">
        <v>20</v>
      </c>
      <c r="F41" s="28" t="s">
        <v>689</v>
      </c>
      <c r="G41" s="119">
        <v>87.5</v>
      </c>
      <c r="H41" s="122">
        <f t="shared" si="1"/>
        <v>1750</v>
      </c>
      <c r="I41" s="323">
        <v>10</v>
      </c>
      <c r="J41" s="222">
        <v>18.41</v>
      </c>
      <c r="K41" s="215">
        <v>4.5</v>
      </c>
      <c r="L41" s="216">
        <v>0.68</v>
      </c>
      <c r="M41" s="221">
        <f t="shared" si="2"/>
        <v>22.91</v>
      </c>
      <c r="N41" s="218">
        <v>1.17</v>
      </c>
      <c r="O41" s="219">
        <v>0.1</v>
      </c>
      <c r="P41" s="220">
        <v>0.1</v>
      </c>
      <c r="Q41" s="323">
        <f t="shared" si="6"/>
        <v>200</v>
      </c>
      <c r="R41" s="214">
        <f t="shared" si="7"/>
        <v>368.2</v>
      </c>
      <c r="S41" s="215">
        <f t="shared" si="8"/>
        <v>90</v>
      </c>
      <c r="T41" s="216">
        <f t="shared" si="9"/>
        <v>13.600000000000001</v>
      </c>
      <c r="U41" s="221">
        <f t="shared" si="0"/>
        <v>458.2</v>
      </c>
      <c r="V41" s="218">
        <f t="shared" si="3"/>
        <v>23.4</v>
      </c>
      <c r="W41" s="219">
        <f t="shared" si="4"/>
        <v>2</v>
      </c>
      <c r="X41" s="220">
        <f t="shared" si="5"/>
        <v>2</v>
      </c>
      <c r="Y41" s="14"/>
    </row>
    <row r="42" spans="1:25" s="7" customFormat="1" ht="13.5" customHeight="1">
      <c r="A42" s="112">
        <v>40458</v>
      </c>
      <c r="B42" s="48">
        <v>701</v>
      </c>
      <c r="C42" s="20" t="s">
        <v>143</v>
      </c>
      <c r="D42" s="20" t="s">
        <v>144</v>
      </c>
      <c r="E42" s="28">
        <v>10</v>
      </c>
      <c r="F42" s="28" t="s">
        <v>693</v>
      </c>
      <c r="G42" s="119">
        <v>41.5</v>
      </c>
      <c r="H42" s="122">
        <f t="shared" si="1"/>
        <v>415</v>
      </c>
      <c r="I42" s="323">
        <v>3.5</v>
      </c>
      <c r="J42" s="222">
        <v>12.93</v>
      </c>
      <c r="K42" s="215">
        <v>2</v>
      </c>
      <c r="L42" s="216">
        <v>0.3</v>
      </c>
      <c r="M42" s="221">
        <f t="shared" si="2"/>
        <v>14.93</v>
      </c>
      <c r="N42" s="218">
        <v>0.33</v>
      </c>
      <c r="O42" s="219">
        <v>0.15</v>
      </c>
      <c r="P42" s="220">
        <v>0.1</v>
      </c>
      <c r="Q42" s="323">
        <f t="shared" si="6"/>
        <v>35</v>
      </c>
      <c r="R42" s="214">
        <f t="shared" si="7"/>
        <v>129.30000000000001</v>
      </c>
      <c r="S42" s="215">
        <f t="shared" si="8"/>
        <v>20</v>
      </c>
      <c r="T42" s="216">
        <f t="shared" si="9"/>
        <v>3</v>
      </c>
      <c r="U42" s="221">
        <f t="shared" si="0"/>
        <v>149.30000000000001</v>
      </c>
      <c r="V42" s="218">
        <f t="shared" si="3"/>
        <v>3.3000000000000003</v>
      </c>
      <c r="W42" s="219">
        <f t="shared" si="4"/>
        <v>1.5</v>
      </c>
      <c r="X42" s="220">
        <f t="shared" si="5"/>
        <v>1</v>
      </c>
      <c r="Y42" s="14"/>
    </row>
    <row r="43" spans="1:25" s="7" customFormat="1" ht="13.5" customHeight="1">
      <c r="A43" s="112">
        <v>40458</v>
      </c>
      <c r="B43" s="48">
        <v>702</v>
      </c>
      <c r="C43" s="20" t="s">
        <v>678</v>
      </c>
      <c r="D43" s="20" t="s">
        <v>679</v>
      </c>
      <c r="E43" s="28">
        <v>57</v>
      </c>
      <c r="F43" s="28" t="s">
        <v>694</v>
      </c>
      <c r="G43" s="119">
        <v>44.5</v>
      </c>
      <c r="H43" s="122">
        <f t="shared" si="1"/>
        <v>2536.5</v>
      </c>
      <c r="I43" s="323">
        <v>5.5</v>
      </c>
      <c r="J43" s="222">
        <v>11.42</v>
      </c>
      <c r="K43" s="215">
        <v>1.5</v>
      </c>
      <c r="L43" s="216">
        <v>0.23</v>
      </c>
      <c r="M43" s="221">
        <f t="shared" si="2"/>
        <v>12.92</v>
      </c>
      <c r="N43" s="218">
        <v>0.57999999999999996</v>
      </c>
      <c r="O43" s="219">
        <v>0.1</v>
      </c>
      <c r="P43" s="220">
        <v>0.2</v>
      </c>
      <c r="Q43" s="323">
        <f t="shared" si="6"/>
        <v>313.5</v>
      </c>
      <c r="R43" s="214">
        <f t="shared" si="7"/>
        <v>650.93999999999994</v>
      </c>
      <c r="S43" s="215">
        <f t="shared" si="8"/>
        <v>85.5</v>
      </c>
      <c r="T43" s="216">
        <f t="shared" si="9"/>
        <v>13.110000000000001</v>
      </c>
      <c r="U43" s="221">
        <f t="shared" si="0"/>
        <v>736.43999999999994</v>
      </c>
      <c r="V43" s="218">
        <f t="shared" si="3"/>
        <v>33.059999999999995</v>
      </c>
      <c r="W43" s="219">
        <f t="shared" si="4"/>
        <v>5.7</v>
      </c>
      <c r="X43" s="220">
        <f t="shared" si="5"/>
        <v>11.4</v>
      </c>
      <c r="Y43" s="14"/>
    </row>
    <row r="44" spans="1:25" s="7" customFormat="1" ht="13.5" customHeight="1">
      <c r="A44" s="112"/>
      <c r="B44" s="48"/>
      <c r="C44" s="20" t="s">
        <v>678</v>
      </c>
      <c r="D44" s="20" t="s">
        <v>679</v>
      </c>
      <c r="E44" s="28">
        <v>2</v>
      </c>
      <c r="F44" s="28" t="s">
        <v>695</v>
      </c>
      <c r="G44" s="119">
        <v>44.5</v>
      </c>
      <c r="H44" s="122">
        <f t="shared" si="1"/>
        <v>89</v>
      </c>
      <c r="I44" s="323">
        <v>5.5</v>
      </c>
      <c r="J44" s="222">
        <v>11.42</v>
      </c>
      <c r="K44" s="215">
        <v>1.5</v>
      </c>
      <c r="L44" s="216">
        <v>0.23</v>
      </c>
      <c r="M44" s="221">
        <f t="shared" si="2"/>
        <v>12.92</v>
      </c>
      <c r="N44" s="218">
        <v>0.57999999999999996</v>
      </c>
      <c r="O44" s="219">
        <v>0.1</v>
      </c>
      <c r="P44" s="220">
        <v>0.2</v>
      </c>
      <c r="Q44" s="323">
        <f t="shared" si="6"/>
        <v>11</v>
      </c>
      <c r="R44" s="214">
        <f t="shared" si="7"/>
        <v>22.84</v>
      </c>
      <c r="S44" s="215">
        <f t="shared" si="8"/>
        <v>3</v>
      </c>
      <c r="T44" s="216">
        <f t="shared" si="9"/>
        <v>0.46</v>
      </c>
      <c r="U44" s="221">
        <f t="shared" si="0"/>
        <v>25.84</v>
      </c>
      <c r="V44" s="218">
        <f t="shared" si="3"/>
        <v>1.1599999999999999</v>
      </c>
      <c r="W44" s="219">
        <f t="shared" si="4"/>
        <v>0.2</v>
      </c>
      <c r="X44" s="220">
        <f t="shared" si="5"/>
        <v>0.4</v>
      </c>
      <c r="Y44" s="14"/>
    </row>
    <row r="45" spans="1:25" s="7" customFormat="1" ht="13.5" customHeight="1">
      <c r="A45" s="112"/>
      <c r="B45" s="48"/>
      <c r="C45" s="20" t="s">
        <v>678</v>
      </c>
      <c r="D45" s="20" t="s">
        <v>679</v>
      </c>
      <c r="E45" s="28">
        <v>1</v>
      </c>
      <c r="F45" s="28" t="s">
        <v>696</v>
      </c>
      <c r="G45" s="119">
        <v>44.5</v>
      </c>
      <c r="H45" s="122">
        <f t="shared" si="1"/>
        <v>44.5</v>
      </c>
      <c r="I45" s="323">
        <v>6.5</v>
      </c>
      <c r="J45" s="214">
        <v>7.77</v>
      </c>
      <c r="K45" s="215">
        <v>1.5</v>
      </c>
      <c r="L45" s="216">
        <v>0.23</v>
      </c>
      <c r="M45" s="221">
        <f t="shared" si="2"/>
        <v>9.27</v>
      </c>
      <c r="N45" s="218">
        <v>0.57999999999999996</v>
      </c>
      <c r="O45" s="219">
        <v>0.1</v>
      </c>
      <c r="P45" s="220">
        <v>0.2</v>
      </c>
      <c r="Q45" s="323">
        <f t="shared" si="6"/>
        <v>6.5</v>
      </c>
      <c r="R45" s="214">
        <f t="shared" si="7"/>
        <v>7.77</v>
      </c>
      <c r="S45" s="215">
        <f t="shared" si="8"/>
        <v>1.5</v>
      </c>
      <c r="T45" s="216">
        <f t="shared" si="9"/>
        <v>0.23</v>
      </c>
      <c r="U45" s="221">
        <f t="shared" si="0"/>
        <v>9.27</v>
      </c>
      <c r="V45" s="218">
        <f t="shared" si="3"/>
        <v>0.57999999999999996</v>
      </c>
      <c r="W45" s="219">
        <f t="shared" si="4"/>
        <v>0.1</v>
      </c>
      <c r="X45" s="220">
        <f t="shared" si="5"/>
        <v>0.2</v>
      </c>
      <c r="Y45" s="14"/>
    </row>
    <row r="46" spans="1:25" s="7" customFormat="1" ht="13.5" customHeight="1">
      <c r="A46" s="112"/>
      <c r="B46" s="48"/>
      <c r="C46" s="20" t="s">
        <v>678</v>
      </c>
      <c r="D46" s="20" t="s">
        <v>679</v>
      </c>
      <c r="E46" s="28">
        <v>1</v>
      </c>
      <c r="F46" s="28" t="s">
        <v>696</v>
      </c>
      <c r="G46" s="119">
        <v>44.5</v>
      </c>
      <c r="H46" s="122">
        <f t="shared" si="1"/>
        <v>44.5</v>
      </c>
      <c r="I46" s="323">
        <v>6.5</v>
      </c>
      <c r="J46" s="214">
        <v>7.77</v>
      </c>
      <c r="K46" s="215">
        <v>1.5</v>
      </c>
      <c r="L46" s="216">
        <v>0.23</v>
      </c>
      <c r="M46" s="221">
        <f t="shared" si="2"/>
        <v>9.27</v>
      </c>
      <c r="N46" s="218">
        <v>0.57999999999999996</v>
      </c>
      <c r="O46" s="219">
        <v>0.1</v>
      </c>
      <c r="P46" s="220">
        <v>0.2</v>
      </c>
      <c r="Q46" s="323">
        <f t="shared" si="6"/>
        <v>6.5</v>
      </c>
      <c r="R46" s="214">
        <f t="shared" si="7"/>
        <v>7.77</v>
      </c>
      <c r="S46" s="215">
        <f t="shared" si="8"/>
        <v>1.5</v>
      </c>
      <c r="T46" s="216">
        <f t="shared" si="9"/>
        <v>0.23</v>
      </c>
      <c r="U46" s="221">
        <f t="shared" si="0"/>
        <v>9.27</v>
      </c>
      <c r="V46" s="218">
        <f t="shared" si="3"/>
        <v>0.57999999999999996</v>
      </c>
      <c r="W46" s="219">
        <f t="shared" si="4"/>
        <v>0.1</v>
      </c>
      <c r="X46" s="220">
        <f t="shared" si="5"/>
        <v>0.2</v>
      </c>
      <c r="Y46" s="14"/>
    </row>
    <row r="47" spans="1:25" s="7" customFormat="1" ht="13.5" customHeight="1">
      <c r="A47" s="112"/>
      <c r="B47" s="48"/>
      <c r="C47" s="20" t="s">
        <v>678</v>
      </c>
      <c r="D47" s="20" t="s">
        <v>679</v>
      </c>
      <c r="E47" s="28">
        <v>7</v>
      </c>
      <c r="F47" s="28" t="s">
        <v>697</v>
      </c>
      <c r="G47" s="119">
        <v>43.5</v>
      </c>
      <c r="H47" s="122">
        <f t="shared" si="1"/>
        <v>304.5</v>
      </c>
      <c r="I47" s="323">
        <v>6.5</v>
      </c>
      <c r="J47" s="214">
        <v>7.77</v>
      </c>
      <c r="K47" s="215">
        <v>1.5</v>
      </c>
      <c r="L47" s="216">
        <v>0.23</v>
      </c>
      <c r="M47" s="221">
        <f t="shared" si="2"/>
        <v>9.27</v>
      </c>
      <c r="N47" s="218">
        <v>0.57999999999999996</v>
      </c>
      <c r="O47" s="219">
        <v>0.1</v>
      </c>
      <c r="P47" s="220">
        <v>0.2</v>
      </c>
      <c r="Q47" s="323">
        <f t="shared" si="6"/>
        <v>45.5</v>
      </c>
      <c r="R47" s="214">
        <f t="shared" si="7"/>
        <v>54.39</v>
      </c>
      <c r="S47" s="215">
        <f t="shared" si="8"/>
        <v>10.5</v>
      </c>
      <c r="T47" s="216">
        <f t="shared" si="9"/>
        <v>1.61</v>
      </c>
      <c r="U47" s="221">
        <f t="shared" si="0"/>
        <v>64.89</v>
      </c>
      <c r="V47" s="218">
        <f t="shared" si="3"/>
        <v>4.0599999999999996</v>
      </c>
      <c r="W47" s="219">
        <f t="shared" si="4"/>
        <v>0.70000000000000007</v>
      </c>
      <c r="X47" s="220">
        <f t="shared" si="5"/>
        <v>1.4000000000000001</v>
      </c>
      <c r="Y47" s="14"/>
    </row>
    <row r="48" spans="1:25" s="7" customFormat="1" ht="13.5" customHeight="1">
      <c r="A48" s="112"/>
      <c r="B48" s="48"/>
      <c r="C48" s="20" t="s">
        <v>678</v>
      </c>
      <c r="D48" s="20" t="s">
        <v>679</v>
      </c>
      <c r="E48" s="28">
        <v>6</v>
      </c>
      <c r="F48" s="28" t="s">
        <v>698</v>
      </c>
      <c r="G48" s="119">
        <v>43.5</v>
      </c>
      <c r="H48" s="122">
        <f t="shared" si="1"/>
        <v>261</v>
      </c>
      <c r="I48" s="323">
        <v>6.5</v>
      </c>
      <c r="J48" s="214">
        <v>7.77</v>
      </c>
      <c r="K48" s="215">
        <v>1.5</v>
      </c>
      <c r="L48" s="216">
        <v>0.23</v>
      </c>
      <c r="M48" s="221">
        <f t="shared" si="2"/>
        <v>9.27</v>
      </c>
      <c r="N48" s="218">
        <v>0.57999999999999996</v>
      </c>
      <c r="O48" s="219">
        <v>0.1</v>
      </c>
      <c r="P48" s="220">
        <v>0.2</v>
      </c>
      <c r="Q48" s="323">
        <f t="shared" si="6"/>
        <v>39</v>
      </c>
      <c r="R48" s="214">
        <f t="shared" si="7"/>
        <v>46.62</v>
      </c>
      <c r="S48" s="215">
        <f t="shared" si="8"/>
        <v>9</v>
      </c>
      <c r="T48" s="216">
        <f t="shared" si="9"/>
        <v>1.3800000000000001</v>
      </c>
      <c r="U48" s="221">
        <f t="shared" si="0"/>
        <v>55.62</v>
      </c>
      <c r="V48" s="218">
        <f t="shared" si="3"/>
        <v>3.4799999999999995</v>
      </c>
      <c r="W48" s="219">
        <f t="shared" si="4"/>
        <v>0.60000000000000009</v>
      </c>
      <c r="X48" s="220">
        <f t="shared" si="5"/>
        <v>1.2000000000000002</v>
      </c>
      <c r="Y48" s="14"/>
    </row>
    <row r="49" spans="1:25" s="7" customFormat="1" ht="13.5" customHeight="1">
      <c r="A49" s="112">
        <v>40458</v>
      </c>
      <c r="B49" s="48">
        <v>703</v>
      </c>
      <c r="C49" s="20" t="s">
        <v>678</v>
      </c>
      <c r="D49" s="20" t="s">
        <v>679</v>
      </c>
      <c r="E49" s="28">
        <v>206</v>
      </c>
      <c r="F49" s="28" t="s">
        <v>699</v>
      </c>
      <c r="G49" s="119">
        <v>49.5</v>
      </c>
      <c r="H49" s="122">
        <f t="shared" si="1"/>
        <v>10197</v>
      </c>
      <c r="I49" s="323">
        <v>5</v>
      </c>
      <c r="J49" s="214">
        <v>5.32</v>
      </c>
      <c r="K49" s="215">
        <v>0</v>
      </c>
      <c r="L49" s="216">
        <v>0</v>
      </c>
      <c r="M49" s="221">
        <f t="shared" si="2"/>
        <v>5.32</v>
      </c>
      <c r="N49" s="218">
        <v>0.57999999999999996</v>
      </c>
      <c r="O49" s="219">
        <v>0.1</v>
      </c>
      <c r="P49" s="220">
        <v>0.2</v>
      </c>
      <c r="Q49" s="325">
        <f t="shared" si="6"/>
        <v>1030</v>
      </c>
      <c r="R49" s="222">
        <f t="shared" si="7"/>
        <v>1095.92</v>
      </c>
      <c r="S49" s="215">
        <f t="shared" si="8"/>
        <v>0</v>
      </c>
      <c r="T49" s="216">
        <f t="shared" si="9"/>
        <v>0</v>
      </c>
      <c r="U49" s="221">
        <f t="shared" si="0"/>
        <v>1095.92</v>
      </c>
      <c r="V49" s="218">
        <f t="shared" si="3"/>
        <v>119.47999999999999</v>
      </c>
      <c r="W49" s="219">
        <f t="shared" si="4"/>
        <v>20.6</v>
      </c>
      <c r="X49" s="220">
        <f t="shared" si="5"/>
        <v>41.2</v>
      </c>
      <c r="Y49" s="14"/>
    </row>
    <row r="50" spans="1:25" s="7" customFormat="1" ht="13.5" customHeight="1">
      <c r="A50" s="112"/>
      <c r="B50" s="48"/>
      <c r="C50" s="20" t="s">
        <v>678</v>
      </c>
      <c r="D50" s="20" t="s">
        <v>679</v>
      </c>
      <c r="E50" s="28">
        <v>65</v>
      </c>
      <c r="F50" s="28" t="s">
        <v>700</v>
      </c>
      <c r="G50" s="119">
        <v>49.5</v>
      </c>
      <c r="H50" s="122">
        <f t="shared" si="1"/>
        <v>3217.5</v>
      </c>
      <c r="I50" s="323">
        <v>5</v>
      </c>
      <c r="J50" s="214">
        <v>7.93</v>
      </c>
      <c r="K50" s="215">
        <v>0</v>
      </c>
      <c r="L50" s="216">
        <v>0</v>
      </c>
      <c r="M50" s="221">
        <f t="shared" si="2"/>
        <v>7.93</v>
      </c>
      <c r="N50" s="218">
        <v>0.57999999999999996</v>
      </c>
      <c r="O50" s="219">
        <v>0.1</v>
      </c>
      <c r="P50" s="220">
        <v>0.2</v>
      </c>
      <c r="Q50" s="325">
        <f t="shared" si="6"/>
        <v>325</v>
      </c>
      <c r="R50" s="222">
        <f t="shared" si="7"/>
        <v>515.44999999999993</v>
      </c>
      <c r="S50" s="215">
        <f t="shared" si="8"/>
        <v>0</v>
      </c>
      <c r="T50" s="216">
        <f t="shared" si="9"/>
        <v>0</v>
      </c>
      <c r="U50" s="221">
        <f t="shared" si="0"/>
        <v>515.44999999999993</v>
      </c>
      <c r="V50" s="218">
        <f t="shared" si="3"/>
        <v>37.699999999999996</v>
      </c>
      <c r="W50" s="219">
        <f t="shared" si="4"/>
        <v>6.5</v>
      </c>
      <c r="X50" s="220">
        <f t="shared" si="5"/>
        <v>13</v>
      </c>
      <c r="Y50" s="14"/>
    </row>
    <row r="51" spans="1:25" s="7" customFormat="1" ht="13.5" customHeight="1">
      <c r="A51" s="112"/>
      <c r="B51" s="48"/>
      <c r="C51" s="20" t="s">
        <v>678</v>
      </c>
      <c r="D51" s="20" t="s">
        <v>679</v>
      </c>
      <c r="E51" s="28">
        <v>13</v>
      </c>
      <c r="F51" s="28" t="s">
        <v>701</v>
      </c>
      <c r="G51" s="119">
        <v>49.5</v>
      </c>
      <c r="H51" s="122">
        <f t="shared" si="1"/>
        <v>643.5</v>
      </c>
      <c r="I51" s="323">
        <v>5</v>
      </c>
      <c r="J51" s="214">
        <v>7.93</v>
      </c>
      <c r="K51" s="215">
        <v>0</v>
      </c>
      <c r="L51" s="216">
        <v>0</v>
      </c>
      <c r="M51" s="221">
        <f t="shared" si="2"/>
        <v>7.93</v>
      </c>
      <c r="N51" s="218">
        <v>0.57999999999999996</v>
      </c>
      <c r="O51" s="219">
        <v>0.1</v>
      </c>
      <c r="P51" s="220">
        <v>0.2</v>
      </c>
      <c r="Q51" s="323">
        <f t="shared" si="6"/>
        <v>65</v>
      </c>
      <c r="R51" s="214">
        <f t="shared" si="7"/>
        <v>103.09</v>
      </c>
      <c r="S51" s="215">
        <f t="shared" si="8"/>
        <v>0</v>
      </c>
      <c r="T51" s="216">
        <f t="shared" si="9"/>
        <v>0</v>
      </c>
      <c r="U51" s="221">
        <f t="shared" si="0"/>
        <v>103.09</v>
      </c>
      <c r="V51" s="218">
        <f t="shared" si="3"/>
        <v>7.5399999999999991</v>
      </c>
      <c r="W51" s="219">
        <f t="shared" si="4"/>
        <v>1.3</v>
      </c>
      <c r="X51" s="220">
        <f t="shared" si="5"/>
        <v>2.6</v>
      </c>
      <c r="Y51" s="14"/>
    </row>
    <row r="52" spans="1:25" s="7" customFormat="1" ht="13.5" customHeight="1">
      <c r="A52" s="112"/>
      <c r="B52" s="48"/>
      <c r="C52" s="20" t="s">
        <v>678</v>
      </c>
      <c r="D52" s="20" t="s">
        <v>679</v>
      </c>
      <c r="E52" s="28">
        <v>1</v>
      </c>
      <c r="F52" s="28" t="s">
        <v>702</v>
      </c>
      <c r="G52" s="119">
        <v>49.5</v>
      </c>
      <c r="H52" s="122">
        <f t="shared" si="1"/>
        <v>49.5</v>
      </c>
      <c r="I52" s="323">
        <v>5</v>
      </c>
      <c r="J52" s="214">
        <v>7.93</v>
      </c>
      <c r="K52" s="215">
        <v>0</v>
      </c>
      <c r="L52" s="216">
        <v>0</v>
      </c>
      <c r="M52" s="221">
        <f t="shared" si="2"/>
        <v>7.93</v>
      </c>
      <c r="N52" s="218">
        <v>0.57999999999999996</v>
      </c>
      <c r="O52" s="219">
        <v>0.1</v>
      </c>
      <c r="P52" s="220">
        <v>0.2</v>
      </c>
      <c r="Q52" s="323">
        <f t="shared" si="6"/>
        <v>5</v>
      </c>
      <c r="R52" s="214">
        <f t="shared" si="7"/>
        <v>7.93</v>
      </c>
      <c r="S52" s="215">
        <f t="shared" si="8"/>
        <v>0</v>
      </c>
      <c r="T52" s="216">
        <f t="shared" si="9"/>
        <v>0</v>
      </c>
      <c r="U52" s="221">
        <f t="shared" si="0"/>
        <v>7.93</v>
      </c>
      <c r="V52" s="218">
        <f t="shared" si="3"/>
        <v>0.57999999999999996</v>
      </c>
      <c r="W52" s="219">
        <f t="shared" si="4"/>
        <v>0.1</v>
      </c>
      <c r="X52" s="220">
        <f t="shared" si="5"/>
        <v>0.2</v>
      </c>
      <c r="Y52" s="14"/>
    </row>
    <row r="53" spans="1:25" s="7" customFormat="1" ht="13.5" customHeight="1">
      <c r="A53" s="112">
        <v>40459</v>
      </c>
      <c r="B53" s="48">
        <v>704</v>
      </c>
      <c r="C53" s="20" t="s">
        <v>703</v>
      </c>
      <c r="D53" s="20" t="s">
        <v>704</v>
      </c>
      <c r="E53" s="28">
        <v>3</v>
      </c>
      <c r="F53" s="28" t="s">
        <v>705</v>
      </c>
      <c r="G53" s="119">
        <v>43.5</v>
      </c>
      <c r="H53" s="122">
        <f t="shared" si="1"/>
        <v>130.5</v>
      </c>
      <c r="I53" s="323">
        <v>3.5</v>
      </c>
      <c r="J53" s="214">
        <v>5.33</v>
      </c>
      <c r="K53" s="215">
        <v>3.4</v>
      </c>
      <c r="L53" s="216">
        <v>0.51</v>
      </c>
      <c r="M53" s="221">
        <f t="shared" si="2"/>
        <v>8.73</v>
      </c>
      <c r="N53" s="218">
        <v>0.33</v>
      </c>
      <c r="O53" s="219">
        <v>0.1</v>
      </c>
      <c r="P53" s="220">
        <v>0.2</v>
      </c>
      <c r="Q53" s="323">
        <f t="shared" si="6"/>
        <v>10.5</v>
      </c>
      <c r="R53" s="214">
        <f t="shared" si="7"/>
        <v>15.99</v>
      </c>
      <c r="S53" s="215">
        <f t="shared" si="8"/>
        <v>10.199999999999999</v>
      </c>
      <c r="T53" s="216">
        <f t="shared" si="9"/>
        <v>1.53</v>
      </c>
      <c r="U53" s="221">
        <f t="shared" si="0"/>
        <v>26.19</v>
      </c>
      <c r="V53" s="218">
        <f t="shared" si="3"/>
        <v>0.99</v>
      </c>
      <c r="W53" s="219">
        <f t="shared" si="4"/>
        <v>0.30000000000000004</v>
      </c>
      <c r="X53" s="220">
        <f t="shared" si="5"/>
        <v>0.60000000000000009</v>
      </c>
      <c r="Y53" s="14"/>
    </row>
    <row r="54" spans="1:25" s="7" customFormat="1" ht="13.5" customHeight="1">
      <c r="A54" s="112"/>
      <c r="B54" s="48"/>
      <c r="C54" s="20" t="s">
        <v>703</v>
      </c>
      <c r="D54" s="20" t="s">
        <v>704</v>
      </c>
      <c r="E54" s="28">
        <v>1</v>
      </c>
      <c r="F54" s="28" t="s">
        <v>706</v>
      </c>
      <c r="G54" s="119">
        <v>39.5</v>
      </c>
      <c r="H54" s="122">
        <f t="shared" si="1"/>
        <v>39.5</v>
      </c>
      <c r="I54" s="323">
        <v>3.5</v>
      </c>
      <c r="J54" s="214">
        <v>7.0000000000000007E-2</v>
      </c>
      <c r="K54" s="215">
        <v>3.4</v>
      </c>
      <c r="L54" s="216">
        <v>0.51</v>
      </c>
      <c r="M54" s="221">
        <f t="shared" si="2"/>
        <v>3.4699999999999998</v>
      </c>
      <c r="N54" s="218">
        <v>0.33</v>
      </c>
      <c r="O54" s="219">
        <v>0.1</v>
      </c>
      <c r="P54" s="220">
        <v>0.2</v>
      </c>
      <c r="Q54" s="323">
        <f t="shared" si="6"/>
        <v>3.5</v>
      </c>
      <c r="R54" s="214">
        <f t="shared" si="7"/>
        <v>7.0000000000000007E-2</v>
      </c>
      <c r="S54" s="215">
        <f t="shared" si="8"/>
        <v>3.4</v>
      </c>
      <c r="T54" s="216">
        <f t="shared" si="9"/>
        <v>0.51</v>
      </c>
      <c r="U54" s="221">
        <f t="shared" si="0"/>
        <v>3.4699999999999998</v>
      </c>
      <c r="V54" s="218">
        <f t="shared" si="3"/>
        <v>0.33</v>
      </c>
      <c r="W54" s="219">
        <f t="shared" si="4"/>
        <v>0.1</v>
      </c>
      <c r="X54" s="220">
        <f t="shared" si="5"/>
        <v>0.2</v>
      </c>
      <c r="Y54" s="14"/>
    </row>
    <row r="55" spans="1:25" s="7" customFormat="1" ht="13.5" customHeight="1">
      <c r="A55" s="112"/>
      <c r="B55" s="48"/>
      <c r="C55" s="20" t="s">
        <v>703</v>
      </c>
      <c r="D55" s="20" t="s">
        <v>704</v>
      </c>
      <c r="E55" s="28">
        <v>3</v>
      </c>
      <c r="F55" s="28" t="s">
        <v>707</v>
      </c>
      <c r="G55" s="119">
        <v>43.5</v>
      </c>
      <c r="H55" s="122">
        <f t="shared" si="1"/>
        <v>130.5</v>
      </c>
      <c r="I55" s="323">
        <v>3.5</v>
      </c>
      <c r="J55" s="214">
        <v>7.13</v>
      </c>
      <c r="K55" s="215">
        <v>3.4</v>
      </c>
      <c r="L55" s="216">
        <v>0.51</v>
      </c>
      <c r="M55" s="221">
        <f t="shared" si="2"/>
        <v>10.53</v>
      </c>
      <c r="N55" s="218">
        <v>0.33</v>
      </c>
      <c r="O55" s="219">
        <v>0.1</v>
      </c>
      <c r="P55" s="220">
        <v>0.2</v>
      </c>
      <c r="Q55" s="323">
        <f t="shared" si="6"/>
        <v>10.5</v>
      </c>
      <c r="R55" s="214">
        <f t="shared" si="7"/>
        <v>21.39</v>
      </c>
      <c r="S55" s="215">
        <f t="shared" si="8"/>
        <v>10.199999999999999</v>
      </c>
      <c r="T55" s="216">
        <f t="shared" si="9"/>
        <v>1.53</v>
      </c>
      <c r="U55" s="221">
        <f t="shared" si="0"/>
        <v>31.589999999999996</v>
      </c>
      <c r="V55" s="218">
        <f t="shared" si="3"/>
        <v>0.99</v>
      </c>
      <c r="W55" s="219">
        <f t="shared" si="4"/>
        <v>0.30000000000000004</v>
      </c>
      <c r="X55" s="220">
        <f t="shared" si="5"/>
        <v>0.60000000000000009</v>
      </c>
      <c r="Y55" s="14"/>
    </row>
    <row r="56" spans="1:25" s="7" customFormat="1" ht="13.5" customHeight="1">
      <c r="A56" s="112"/>
      <c r="B56" s="48"/>
      <c r="C56" s="20" t="s">
        <v>703</v>
      </c>
      <c r="D56" s="20" t="s">
        <v>704</v>
      </c>
      <c r="E56" s="28">
        <v>1</v>
      </c>
      <c r="F56" s="28" t="s">
        <v>708</v>
      </c>
      <c r="G56" s="119">
        <v>39.5</v>
      </c>
      <c r="H56" s="122">
        <f t="shared" si="1"/>
        <v>39.5</v>
      </c>
      <c r="I56" s="323">
        <v>3.5</v>
      </c>
      <c r="J56" s="214">
        <v>1.87</v>
      </c>
      <c r="K56" s="215">
        <v>3.4</v>
      </c>
      <c r="L56" s="216">
        <v>0.51</v>
      </c>
      <c r="M56" s="221">
        <f t="shared" si="2"/>
        <v>5.27</v>
      </c>
      <c r="N56" s="218">
        <v>0.33</v>
      </c>
      <c r="O56" s="219">
        <v>0.1</v>
      </c>
      <c r="P56" s="220">
        <v>0.2</v>
      </c>
      <c r="Q56" s="323">
        <f t="shared" si="6"/>
        <v>3.5</v>
      </c>
      <c r="R56" s="214">
        <f t="shared" si="7"/>
        <v>1.87</v>
      </c>
      <c r="S56" s="215">
        <f t="shared" si="8"/>
        <v>3.4</v>
      </c>
      <c r="T56" s="216">
        <f t="shared" si="9"/>
        <v>0.51</v>
      </c>
      <c r="U56" s="221">
        <f t="shared" si="0"/>
        <v>5.27</v>
      </c>
      <c r="V56" s="218">
        <f t="shared" si="3"/>
        <v>0.33</v>
      </c>
      <c r="W56" s="219">
        <f t="shared" si="4"/>
        <v>0.1</v>
      </c>
      <c r="X56" s="220">
        <f t="shared" si="5"/>
        <v>0.2</v>
      </c>
      <c r="Y56" s="14"/>
    </row>
    <row r="57" spans="1:25" ht="13.5" customHeight="1">
      <c r="A57" s="112"/>
      <c r="B57" s="48"/>
      <c r="C57" s="20" t="s">
        <v>703</v>
      </c>
      <c r="D57" s="20" t="s">
        <v>704</v>
      </c>
      <c r="E57" s="28">
        <v>1</v>
      </c>
      <c r="F57" s="28" t="s">
        <v>709</v>
      </c>
      <c r="G57" s="119">
        <v>39.5</v>
      </c>
      <c r="H57" s="122">
        <f t="shared" si="1"/>
        <v>39.5</v>
      </c>
      <c r="I57" s="323">
        <v>3.5</v>
      </c>
      <c r="J57" s="214">
        <v>4.87</v>
      </c>
      <c r="K57" s="215">
        <v>3.4</v>
      </c>
      <c r="L57" s="216">
        <v>0.51</v>
      </c>
      <c r="M57" s="221">
        <f t="shared" si="2"/>
        <v>8.27</v>
      </c>
      <c r="N57" s="218">
        <v>0.33</v>
      </c>
      <c r="O57" s="219">
        <v>0.1</v>
      </c>
      <c r="P57" s="220">
        <v>0.2</v>
      </c>
      <c r="Q57" s="323">
        <f t="shared" si="6"/>
        <v>3.5</v>
      </c>
      <c r="R57" s="214">
        <f t="shared" si="7"/>
        <v>4.87</v>
      </c>
      <c r="S57" s="215">
        <f t="shared" si="8"/>
        <v>3.4</v>
      </c>
      <c r="T57" s="216">
        <f t="shared" si="9"/>
        <v>0.51</v>
      </c>
      <c r="U57" s="221">
        <f t="shared" si="0"/>
        <v>8.27</v>
      </c>
      <c r="V57" s="218">
        <f t="shared" si="3"/>
        <v>0.33</v>
      </c>
      <c r="W57" s="219">
        <f t="shared" si="4"/>
        <v>0.1</v>
      </c>
      <c r="X57" s="220">
        <f t="shared" si="5"/>
        <v>0.2</v>
      </c>
      <c r="Y57" s="14"/>
    </row>
    <row r="58" spans="1:25" ht="13.5" customHeight="1">
      <c r="A58" s="112">
        <v>40459</v>
      </c>
      <c r="B58" s="48">
        <v>705</v>
      </c>
      <c r="C58" s="20" t="s">
        <v>384</v>
      </c>
      <c r="D58" s="20" t="s">
        <v>144</v>
      </c>
      <c r="E58" s="28">
        <v>10</v>
      </c>
      <c r="F58" s="28" t="s">
        <v>710</v>
      </c>
      <c r="G58" s="119">
        <v>53.5</v>
      </c>
      <c r="H58" s="122">
        <f t="shared" si="1"/>
        <v>535</v>
      </c>
      <c r="I58" s="323">
        <v>3.5</v>
      </c>
      <c r="J58" s="214">
        <v>9.64</v>
      </c>
      <c r="K58" s="215">
        <v>0.8</v>
      </c>
      <c r="L58" s="216">
        <v>0.12</v>
      </c>
      <c r="M58" s="221">
        <f t="shared" si="2"/>
        <v>10.440000000000001</v>
      </c>
      <c r="N58" s="218">
        <v>0.33</v>
      </c>
      <c r="O58" s="219">
        <v>0.1</v>
      </c>
      <c r="P58" s="220">
        <v>0.2</v>
      </c>
      <c r="Q58" s="323">
        <f t="shared" si="6"/>
        <v>35</v>
      </c>
      <c r="R58" s="214">
        <f t="shared" si="7"/>
        <v>96.4</v>
      </c>
      <c r="S58" s="215">
        <f t="shared" si="8"/>
        <v>8</v>
      </c>
      <c r="T58" s="216">
        <f t="shared" si="9"/>
        <v>1.2</v>
      </c>
      <c r="U58" s="221">
        <f t="shared" si="0"/>
        <v>104.4</v>
      </c>
      <c r="V58" s="218">
        <f t="shared" si="3"/>
        <v>3.3000000000000003</v>
      </c>
      <c r="W58" s="219">
        <f t="shared" si="4"/>
        <v>1</v>
      </c>
      <c r="X58" s="220">
        <f t="shared" si="5"/>
        <v>2</v>
      </c>
      <c r="Y58" s="14"/>
    </row>
    <row r="59" spans="1:25" ht="13.5" customHeight="1">
      <c r="A59" s="112"/>
      <c r="B59" s="48"/>
      <c r="C59" s="20" t="s">
        <v>384</v>
      </c>
      <c r="D59" s="20" t="s">
        <v>144</v>
      </c>
      <c r="E59" s="28">
        <v>30</v>
      </c>
      <c r="F59" s="28" t="s">
        <v>711</v>
      </c>
      <c r="G59" s="119">
        <v>31</v>
      </c>
      <c r="H59" s="122">
        <f t="shared" si="1"/>
        <v>930</v>
      </c>
      <c r="I59" s="323">
        <v>3.5</v>
      </c>
      <c r="J59" s="214">
        <v>3.32</v>
      </c>
      <c r="K59" s="215">
        <v>0.8</v>
      </c>
      <c r="L59" s="216">
        <v>0.12</v>
      </c>
      <c r="M59" s="221">
        <f t="shared" si="2"/>
        <v>4.12</v>
      </c>
      <c r="N59" s="218">
        <v>0</v>
      </c>
      <c r="O59" s="219">
        <v>0.1</v>
      </c>
      <c r="P59" s="220">
        <v>0.2</v>
      </c>
      <c r="Q59" s="323">
        <f t="shared" si="6"/>
        <v>105</v>
      </c>
      <c r="R59" s="214">
        <f t="shared" si="7"/>
        <v>99.6</v>
      </c>
      <c r="S59" s="215">
        <f t="shared" si="8"/>
        <v>24</v>
      </c>
      <c r="T59" s="216">
        <f t="shared" si="9"/>
        <v>3.5999999999999996</v>
      </c>
      <c r="U59" s="221">
        <f t="shared" si="0"/>
        <v>123.60000000000001</v>
      </c>
      <c r="V59" s="218">
        <f t="shared" si="3"/>
        <v>0</v>
      </c>
      <c r="W59" s="219">
        <f t="shared" si="4"/>
        <v>3</v>
      </c>
      <c r="X59" s="220">
        <f t="shared" si="5"/>
        <v>6</v>
      </c>
      <c r="Y59" s="14"/>
    </row>
    <row r="60" spans="1:25" ht="13.5" customHeight="1">
      <c r="A60" s="112">
        <v>40459</v>
      </c>
      <c r="B60" s="48">
        <v>706</v>
      </c>
      <c r="C60" s="20" t="s">
        <v>30</v>
      </c>
      <c r="D60" s="20" t="s">
        <v>42</v>
      </c>
      <c r="E60" s="28">
        <v>100</v>
      </c>
      <c r="F60" s="28" t="s">
        <v>712</v>
      </c>
      <c r="G60" s="119">
        <v>12.5</v>
      </c>
      <c r="H60" s="122">
        <f t="shared" si="1"/>
        <v>1250</v>
      </c>
      <c r="I60" s="323">
        <v>1.5</v>
      </c>
      <c r="J60" s="214">
        <v>2.71</v>
      </c>
      <c r="K60" s="215">
        <v>2.5</v>
      </c>
      <c r="L60" s="216">
        <v>0.38</v>
      </c>
      <c r="M60" s="221">
        <f t="shared" si="2"/>
        <v>5.21</v>
      </c>
      <c r="N60" s="218">
        <v>0.17</v>
      </c>
      <c r="O60" s="219">
        <v>0.1</v>
      </c>
      <c r="P60" s="220">
        <v>0.1</v>
      </c>
      <c r="Q60" s="323">
        <f t="shared" si="6"/>
        <v>150</v>
      </c>
      <c r="R60" s="214">
        <f t="shared" si="7"/>
        <v>271</v>
      </c>
      <c r="S60" s="215">
        <f t="shared" si="8"/>
        <v>250</v>
      </c>
      <c r="T60" s="216">
        <f t="shared" si="9"/>
        <v>38</v>
      </c>
      <c r="U60" s="221">
        <f t="shared" si="0"/>
        <v>521</v>
      </c>
      <c r="V60" s="218">
        <f t="shared" si="3"/>
        <v>17</v>
      </c>
      <c r="W60" s="219">
        <f t="shared" si="4"/>
        <v>10</v>
      </c>
      <c r="X60" s="220">
        <f t="shared" si="5"/>
        <v>10</v>
      </c>
      <c r="Y60" s="14"/>
    </row>
    <row r="61" spans="1:25" ht="13.5" customHeight="1">
      <c r="A61" s="112"/>
      <c r="B61" s="48"/>
      <c r="C61" s="20" t="s">
        <v>30</v>
      </c>
      <c r="D61" s="20" t="s">
        <v>42</v>
      </c>
      <c r="E61" s="28">
        <v>100</v>
      </c>
      <c r="F61" s="28" t="s">
        <v>713</v>
      </c>
      <c r="G61" s="119">
        <v>16</v>
      </c>
      <c r="H61" s="122">
        <f t="shared" si="1"/>
        <v>1600</v>
      </c>
      <c r="I61" s="323">
        <v>1.5</v>
      </c>
      <c r="J61" s="214">
        <v>2.2999999999999998</v>
      </c>
      <c r="K61" s="215">
        <v>2.5</v>
      </c>
      <c r="L61" s="216">
        <v>0.38</v>
      </c>
      <c r="M61" s="221">
        <f t="shared" si="2"/>
        <v>4.8</v>
      </c>
      <c r="N61" s="218">
        <v>0.17</v>
      </c>
      <c r="O61" s="219">
        <v>0.1</v>
      </c>
      <c r="P61" s="220">
        <v>0.1</v>
      </c>
      <c r="Q61" s="323">
        <f t="shared" si="6"/>
        <v>150</v>
      </c>
      <c r="R61" s="214">
        <f t="shared" si="7"/>
        <v>229.99999999999997</v>
      </c>
      <c r="S61" s="215">
        <f t="shared" si="8"/>
        <v>250</v>
      </c>
      <c r="T61" s="216">
        <f t="shared" si="9"/>
        <v>38</v>
      </c>
      <c r="U61" s="221">
        <f t="shared" si="0"/>
        <v>480</v>
      </c>
      <c r="V61" s="218">
        <f t="shared" si="3"/>
        <v>17</v>
      </c>
      <c r="W61" s="219">
        <f t="shared" si="4"/>
        <v>10</v>
      </c>
      <c r="X61" s="220">
        <f t="shared" si="5"/>
        <v>10</v>
      </c>
      <c r="Y61" s="14"/>
    </row>
    <row r="62" spans="1:25" ht="13.5" customHeight="1">
      <c r="A62" s="113"/>
      <c r="B62" s="116"/>
      <c r="C62" s="20" t="s">
        <v>30</v>
      </c>
      <c r="D62" s="20" t="s">
        <v>42</v>
      </c>
      <c r="E62" s="28">
        <v>70</v>
      </c>
      <c r="F62" s="28" t="s">
        <v>714</v>
      </c>
      <c r="G62" s="119">
        <v>37</v>
      </c>
      <c r="H62" s="122">
        <f t="shared" si="1"/>
        <v>2590</v>
      </c>
      <c r="I62" s="323">
        <v>3.5</v>
      </c>
      <c r="J62" s="214">
        <v>2.1800000000000002</v>
      </c>
      <c r="K62" s="215">
        <v>1.7</v>
      </c>
      <c r="L62" s="216">
        <v>0.26</v>
      </c>
      <c r="M62" s="221">
        <f t="shared" si="2"/>
        <v>3.88</v>
      </c>
      <c r="N62" s="218">
        <v>0.33</v>
      </c>
      <c r="O62" s="219">
        <v>0.1</v>
      </c>
      <c r="P62" s="220">
        <v>0.2</v>
      </c>
      <c r="Q62" s="323">
        <f t="shared" si="6"/>
        <v>245</v>
      </c>
      <c r="R62" s="214">
        <f t="shared" si="7"/>
        <v>152.60000000000002</v>
      </c>
      <c r="S62" s="215">
        <f t="shared" si="8"/>
        <v>119</v>
      </c>
      <c r="T62" s="216">
        <f t="shared" si="9"/>
        <v>18.2</v>
      </c>
      <c r="U62" s="221">
        <f t="shared" si="0"/>
        <v>271.59999999999997</v>
      </c>
      <c r="V62" s="218">
        <f t="shared" si="3"/>
        <v>23.1</v>
      </c>
      <c r="W62" s="219">
        <f t="shared" si="4"/>
        <v>7</v>
      </c>
      <c r="X62" s="220">
        <f t="shared" si="5"/>
        <v>14</v>
      </c>
      <c r="Y62" s="14"/>
    </row>
    <row r="63" spans="1:25" ht="13.5" customHeight="1">
      <c r="A63" s="113"/>
      <c r="B63" s="116"/>
      <c r="C63" s="20" t="s">
        <v>30</v>
      </c>
      <c r="D63" s="20" t="s">
        <v>42</v>
      </c>
      <c r="E63" s="28">
        <v>30</v>
      </c>
      <c r="F63" s="28" t="s">
        <v>715</v>
      </c>
      <c r="G63" s="119">
        <v>37</v>
      </c>
      <c r="H63" s="122">
        <f t="shared" si="1"/>
        <v>1110</v>
      </c>
      <c r="I63" s="323">
        <v>3.5</v>
      </c>
      <c r="J63" s="214">
        <v>4.83</v>
      </c>
      <c r="K63" s="215">
        <v>1.7</v>
      </c>
      <c r="L63" s="216">
        <v>0.26</v>
      </c>
      <c r="M63" s="221">
        <f t="shared" si="2"/>
        <v>6.53</v>
      </c>
      <c r="N63" s="218">
        <v>0.33</v>
      </c>
      <c r="O63" s="219">
        <v>0.1</v>
      </c>
      <c r="P63" s="220">
        <v>0.2</v>
      </c>
      <c r="Q63" s="323">
        <f t="shared" si="6"/>
        <v>105</v>
      </c>
      <c r="R63" s="214">
        <f t="shared" si="7"/>
        <v>144.9</v>
      </c>
      <c r="S63" s="215">
        <f t="shared" si="8"/>
        <v>51</v>
      </c>
      <c r="T63" s="216">
        <f t="shared" si="9"/>
        <v>7.8000000000000007</v>
      </c>
      <c r="U63" s="221">
        <f t="shared" si="0"/>
        <v>195.9</v>
      </c>
      <c r="V63" s="218">
        <f t="shared" si="3"/>
        <v>9.9</v>
      </c>
      <c r="W63" s="219">
        <f t="shared" si="4"/>
        <v>3</v>
      </c>
      <c r="X63" s="220">
        <f t="shared" si="5"/>
        <v>6</v>
      </c>
      <c r="Y63" s="14"/>
    </row>
    <row r="64" spans="1:25" ht="13.5" customHeight="1">
      <c r="A64" s="112"/>
      <c r="B64" s="48"/>
      <c r="C64" s="20" t="s">
        <v>30</v>
      </c>
      <c r="D64" s="20" t="s">
        <v>42</v>
      </c>
      <c r="E64" s="28">
        <v>100</v>
      </c>
      <c r="F64" s="28" t="s">
        <v>716</v>
      </c>
      <c r="G64" s="119">
        <v>33</v>
      </c>
      <c r="H64" s="122">
        <f t="shared" si="1"/>
        <v>3300</v>
      </c>
      <c r="I64" s="323">
        <v>3.5</v>
      </c>
      <c r="J64" s="214">
        <v>5.03</v>
      </c>
      <c r="K64" s="215">
        <v>1.7</v>
      </c>
      <c r="L64" s="216">
        <v>0.26</v>
      </c>
      <c r="M64" s="221">
        <f t="shared" si="2"/>
        <v>6.73</v>
      </c>
      <c r="N64" s="218">
        <v>0.33</v>
      </c>
      <c r="O64" s="219">
        <v>0.1</v>
      </c>
      <c r="P64" s="220">
        <v>0.2</v>
      </c>
      <c r="Q64" s="323">
        <f t="shared" si="6"/>
        <v>350</v>
      </c>
      <c r="R64" s="214">
        <f t="shared" si="7"/>
        <v>503</v>
      </c>
      <c r="S64" s="215">
        <f t="shared" si="8"/>
        <v>170</v>
      </c>
      <c r="T64" s="216">
        <f t="shared" si="9"/>
        <v>26</v>
      </c>
      <c r="U64" s="221">
        <f t="shared" si="0"/>
        <v>673</v>
      </c>
      <c r="V64" s="218">
        <f t="shared" si="3"/>
        <v>33</v>
      </c>
      <c r="W64" s="219">
        <f t="shared" si="4"/>
        <v>10</v>
      </c>
      <c r="X64" s="220">
        <f t="shared" si="5"/>
        <v>20</v>
      </c>
      <c r="Y64" s="14"/>
    </row>
    <row r="65" spans="1:25" ht="13.5" customHeight="1">
      <c r="A65" s="112"/>
      <c r="B65" s="48"/>
      <c r="C65" s="20" t="s">
        <v>30</v>
      </c>
      <c r="D65" s="20" t="s">
        <v>42</v>
      </c>
      <c r="E65" s="28">
        <v>100</v>
      </c>
      <c r="F65" s="28" t="s">
        <v>717</v>
      </c>
      <c r="G65" s="119">
        <v>38.5</v>
      </c>
      <c r="H65" s="122">
        <f t="shared" si="1"/>
        <v>3850</v>
      </c>
      <c r="I65" s="323">
        <v>3.5</v>
      </c>
      <c r="J65" s="222">
        <v>11.11</v>
      </c>
      <c r="K65" s="215">
        <v>0</v>
      </c>
      <c r="L65" s="216">
        <v>0</v>
      </c>
      <c r="M65" s="221">
        <f t="shared" si="2"/>
        <v>11.11</v>
      </c>
      <c r="N65" s="218">
        <v>0.33</v>
      </c>
      <c r="O65" s="219">
        <v>0.1</v>
      </c>
      <c r="P65" s="220">
        <v>0.1</v>
      </c>
      <c r="Q65" s="323">
        <f t="shared" si="6"/>
        <v>350</v>
      </c>
      <c r="R65" s="222">
        <f t="shared" si="7"/>
        <v>1111</v>
      </c>
      <c r="S65" s="215">
        <f t="shared" si="8"/>
        <v>0</v>
      </c>
      <c r="T65" s="216">
        <f t="shared" si="9"/>
        <v>0</v>
      </c>
      <c r="U65" s="221">
        <f t="shared" si="0"/>
        <v>1111</v>
      </c>
      <c r="V65" s="218">
        <f t="shared" si="3"/>
        <v>33</v>
      </c>
      <c r="W65" s="219">
        <f t="shared" si="4"/>
        <v>10</v>
      </c>
      <c r="X65" s="220">
        <f t="shared" si="5"/>
        <v>10</v>
      </c>
      <c r="Y65" s="14"/>
    </row>
    <row r="66" spans="1:25" ht="13.5" customHeight="1">
      <c r="A66" s="112"/>
      <c r="B66" s="48"/>
      <c r="C66" s="20" t="s">
        <v>30</v>
      </c>
      <c r="D66" s="20" t="s">
        <v>42</v>
      </c>
      <c r="E66" s="28">
        <v>70</v>
      </c>
      <c r="F66" s="28" t="s">
        <v>718</v>
      </c>
      <c r="G66" s="119">
        <v>42.5</v>
      </c>
      <c r="H66" s="122">
        <f t="shared" si="1"/>
        <v>2975</v>
      </c>
      <c r="I66" s="323">
        <v>3.5</v>
      </c>
      <c r="J66" s="214">
        <v>7.37</v>
      </c>
      <c r="K66" s="215">
        <v>0</v>
      </c>
      <c r="L66" s="216">
        <v>0</v>
      </c>
      <c r="M66" s="221">
        <f>J66+K66</f>
        <v>7.37</v>
      </c>
      <c r="N66" s="218">
        <v>0.33</v>
      </c>
      <c r="O66" s="219">
        <v>0.1</v>
      </c>
      <c r="P66" s="220">
        <v>0.1</v>
      </c>
      <c r="Q66" s="323">
        <f t="shared" si="6"/>
        <v>245</v>
      </c>
      <c r="R66" s="214">
        <f t="shared" si="7"/>
        <v>515.9</v>
      </c>
      <c r="S66" s="215">
        <f t="shared" si="8"/>
        <v>0</v>
      </c>
      <c r="T66" s="216">
        <f t="shared" si="9"/>
        <v>0</v>
      </c>
      <c r="U66" s="221">
        <f t="shared" si="0"/>
        <v>515.9</v>
      </c>
      <c r="V66" s="218">
        <f t="shared" si="3"/>
        <v>23.1</v>
      </c>
      <c r="W66" s="219">
        <f t="shared" si="4"/>
        <v>7</v>
      </c>
      <c r="X66" s="220">
        <f t="shared" si="5"/>
        <v>7</v>
      </c>
      <c r="Y66" s="14"/>
    </row>
    <row r="67" spans="1:25" ht="13.5" customHeight="1">
      <c r="A67" s="112"/>
      <c r="B67" s="48"/>
      <c r="C67" s="20" t="s">
        <v>30</v>
      </c>
      <c r="D67" s="20" t="s">
        <v>42</v>
      </c>
      <c r="E67" s="28">
        <v>30</v>
      </c>
      <c r="F67" s="28" t="s">
        <v>719</v>
      </c>
      <c r="G67" s="119">
        <v>42.5</v>
      </c>
      <c r="H67" s="122">
        <f t="shared" si="1"/>
        <v>1275</v>
      </c>
      <c r="I67" s="323">
        <v>3.5</v>
      </c>
      <c r="J67" s="214">
        <v>8.42</v>
      </c>
      <c r="K67" s="215">
        <v>0</v>
      </c>
      <c r="L67" s="216">
        <v>0</v>
      </c>
      <c r="M67" s="221">
        <f t="shared" si="2"/>
        <v>8.42</v>
      </c>
      <c r="N67" s="218">
        <v>0.33</v>
      </c>
      <c r="O67" s="219">
        <v>0.1</v>
      </c>
      <c r="P67" s="220">
        <v>0.1</v>
      </c>
      <c r="Q67" s="323">
        <f t="shared" si="6"/>
        <v>105</v>
      </c>
      <c r="R67" s="214">
        <f t="shared" si="7"/>
        <v>252.6</v>
      </c>
      <c r="S67" s="215">
        <f t="shared" si="8"/>
        <v>0</v>
      </c>
      <c r="T67" s="216">
        <f t="shared" si="9"/>
        <v>0</v>
      </c>
      <c r="U67" s="221">
        <f t="shared" si="0"/>
        <v>252.6</v>
      </c>
      <c r="V67" s="218">
        <f t="shared" si="3"/>
        <v>9.9</v>
      </c>
      <c r="W67" s="219">
        <f t="shared" si="4"/>
        <v>3</v>
      </c>
      <c r="X67" s="220">
        <f t="shared" si="5"/>
        <v>3</v>
      </c>
      <c r="Y67" s="14"/>
    </row>
    <row r="68" spans="1:25" ht="13.5" customHeight="1">
      <c r="A68" s="112"/>
      <c r="B68" s="48"/>
      <c r="C68" s="20" t="s">
        <v>30</v>
      </c>
      <c r="D68" s="20" t="s">
        <v>42</v>
      </c>
      <c r="E68" s="28">
        <v>100</v>
      </c>
      <c r="F68" s="28" t="s">
        <v>720</v>
      </c>
      <c r="G68" s="119">
        <v>12.5</v>
      </c>
      <c r="H68" s="122">
        <f t="shared" si="1"/>
        <v>1250</v>
      </c>
      <c r="I68" s="323">
        <v>1</v>
      </c>
      <c r="J68" s="214">
        <v>2.52</v>
      </c>
      <c r="K68" s="215">
        <v>1.2</v>
      </c>
      <c r="L68" s="216">
        <v>0.18</v>
      </c>
      <c r="M68" s="221">
        <f t="shared" si="2"/>
        <v>3.7199999999999998</v>
      </c>
      <c r="N68" s="218">
        <v>0.28999999999999998</v>
      </c>
      <c r="O68" s="219">
        <v>0.1</v>
      </c>
      <c r="P68" s="220">
        <v>0.1</v>
      </c>
      <c r="Q68" s="323">
        <f t="shared" si="6"/>
        <v>100</v>
      </c>
      <c r="R68" s="214">
        <f t="shared" si="7"/>
        <v>252</v>
      </c>
      <c r="S68" s="215">
        <f t="shared" si="8"/>
        <v>120</v>
      </c>
      <c r="T68" s="216">
        <f t="shared" si="9"/>
        <v>18</v>
      </c>
      <c r="U68" s="221">
        <f t="shared" si="0"/>
        <v>372</v>
      </c>
      <c r="V68" s="218">
        <f t="shared" si="3"/>
        <v>28.999999999999996</v>
      </c>
      <c r="W68" s="219">
        <f t="shared" si="4"/>
        <v>10</v>
      </c>
      <c r="X68" s="220">
        <f t="shared" si="5"/>
        <v>10</v>
      </c>
      <c r="Y68" s="14"/>
    </row>
    <row r="69" spans="1:25" ht="13.5" customHeight="1">
      <c r="A69" s="112">
        <v>40461</v>
      </c>
      <c r="B69" s="48">
        <v>707</v>
      </c>
      <c r="C69" s="20" t="s">
        <v>570</v>
      </c>
      <c r="D69" s="20" t="s">
        <v>245</v>
      </c>
      <c r="E69" s="28">
        <v>1</v>
      </c>
      <c r="F69" s="28" t="s">
        <v>721</v>
      </c>
      <c r="G69" s="119">
        <v>36</v>
      </c>
      <c r="H69" s="122">
        <f t="shared" si="1"/>
        <v>36</v>
      </c>
      <c r="I69" s="323">
        <v>3.5</v>
      </c>
      <c r="J69" s="214">
        <v>0.76</v>
      </c>
      <c r="K69" s="215">
        <v>1.3</v>
      </c>
      <c r="L69" s="216">
        <v>0.2</v>
      </c>
      <c r="M69" s="221">
        <f t="shared" si="2"/>
        <v>2.06</v>
      </c>
      <c r="N69" s="218">
        <v>0.17</v>
      </c>
      <c r="O69" s="219">
        <v>0.1</v>
      </c>
      <c r="P69" s="220">
        <v>0.1</v>
      </c>
      <c r="Q69" s="323">
        <f t="shared" si="6"/>
        <v>3.5</v>
      </c>
      <c r="R69" s="214">
        <f t="shared" si="7"/>
        <v>0.76</v>
      </c>
      <c r="S69" s="215">
        <f t="shared" si="8"/>
        <v>1.3</v>
      </c>
      <c r="T69" s="216">
        <f t="shared" si="9"/>
        <v>0.2</v>
      </c>
      <c r="U69" s="221">
        <f t="shared" si="0"/>
        <v>2.06</v>
      </c>
      <c r="V69" s="218">
        <f t="shared" si="3"/>
        <v>0.17</v>
      </c>
      <c r="W69" s="219">
        <f t="shared" si="4"/>
        <v>0.1</v>
      </c>
      <c r="X69" s="220">
        <f t="shared" si="5"/>
        <v>0.1</v>
      </c>
      <c r="Y69" s="14"/>
    </row>
    <row r="70" spans="1:25" ht="13.5" customHeight="1">
      <c r="A70" s="112"/>
      <c r="B70" s="48"/>
      <c r="C70" s="20" t="s">
        <v>570</v>
      </c>
      <c r="D70" s="20" t="s">
        <v>245</v>
      </c>
      <c r="E70" s="28">
        <v>1</v>
      </c>
      <c r="F70" s="28" t="s">
        <v>722</v>
      </c>
      <c r="G70" s="119">
        <v>30</v>
      </c>
      <c r="H70" s="122">
        <f t="shared" si="1"/>
        <v>30</v>
      </c>
      <c r="I70" s="323">
        <v>3.5</v>
      </c>
      <c r="J70" s="214">
        <v>0.76</v>
      </c>
      <c r="K70" s="215">
        <v>1.3</v>
      </c>
      <c r="L70" s="216">
        <v>0.2</v>
      </c>
      <c r="M70" s="221">
        <f t="shared" si="2"/>
        <v>2.06</v>
      </c>
      <c r="N70" s="218">
        <v>0.17</v>
      </c>
      <c r="O70" s="219">
        <v>0.1</v>
      </c>
      <c r="P70" s="220">
        <v>0.1</v>
      </c>
      <c r="Q70" s="323">
        <f t="shared" si="6"/>
        <v>3.5</v>
      </c>
      <c r="R70" s="214">
        <f t="shared" si="7"/>
        <v>0.76</v>
      </c>
      <c r="S70" s="215">
        <f t="shared" si="8"/>
        <v>1.3</v>
      </c>
      <c r="T70" s="216">
        <f t="shared" si="9"/>
        <v>0.2</v>
      </c>
      <c r="U70" s="221">
        <f t="shared" ref="U70:U88" si="10">E70*M70</f>
        <v>2.06</v>
      </c>
      <c r="V70" s="218">
        <f t="shared" si="3"/>
        <v>0.17</v>
      </c>
      <c r="W70" s="219">
        <f t="shared" si="4"/>
        <v>0.1</v>
      </c>
      <c r="X70" s="220">
        <f t="shared" si="5"/>
        <v>0.1</v>
      </c>
      <c r="Y70" s="14"/>
    </row>
    <row r="71" spans="1:25" ht="13.5" customHeight="1">
      <c r="A71" s="112">
        <v>40462</v>
      </c>
      <c r="B71" s="48">
        <v>708</v>
      </c>
      <c r="C71" s="20" t="s">
        <v>723</v>
      </c>
      <c r="D71" s="20" t="s">
        <v>724</v>
      </c>
      <c r="E71" s="28">
        <v>45</v>
      </c>
      <c r="F71" s="28" t="s">
        <v>725</v>
      </c>
      <c r="G71" s="119">
        <v>19</v>
      </c>
      <c r="H71" s="122">
        <f t="shared" si="1"/>
        <v>855</v>
      </c>
      <c r="I71" s="323">
        <v>3.5</v>
      </c>
      <c r="J71" s="214">
        <v>2.8</v>
      </c>
      <c r="K71" s="215">
        <v>1</v>
      </c>
      <c r="L71" s="216">
        <v>0.15</v>
      </c>
      <c r="M71" s="221">
        <f t="shared" si="2"/>
        <v>3.8</v>
      </c>
      <c r="N71" s="218">
        <v>0</v>
      </c>
      <c r="O71" s="219">
        <v>0.1</v>
      </c>
      <c r="P71" s="220">
        <v>0.2</v>
      </c>
      <c r="Q71" s="323">
        <f t="shared" si="6"/>
        <v>157.5</v>
      </c>
      <c r="R71" s="214">
        <f t="shared" si="7"/>
        <v>125.99999999999999</v>
      </c>
      <c r="S71" s="215">
        <f t="shared" si="8"/>
        <v>45</v>
      </c>
      <c r="T71" s="216">
        <f t="shared" si="9"/>
        <v>6.75</v>
      </c>
      <c r="U71" s="221">
        <f t="shared" si="10"/>
        <v>171</v>
      </c>
      <c r="V71" s="218">
        <f t="shared" si="3"/>
        <v>0</v>
      </c>
      <c r="W71" s="219">
        <f t="shared" si="4"/>
        <v>4.5</v>
      </c>
      <c r="X71" s="220">
        <f t="shared" si="5"/>
        <v>9</v>
      </c>
      <c r="Y71" s="14"/>
    </row>
    <row r="72" spans="1:25" ht="13.5" customHeight="1">
      <c r="A72" s="112"/>
      <c r="B72" s="48"/>
      <c r="C72" s="20" t="s">
        <v>723</v>
      </c>
      <c r="D72" s="20" t="s">
        <v>724</v>
      </c>
      <c r="E72" s="28">
        <v>50</v>
      </c>
      <c r="F72" s="28" t="s">
        <v>726</v>
      </c>
      <c r="G72" s="119">
        <v>13</v>
      </c>
      <c r="H72" s="122">
        <f t="shared" ref="H72:H129" si="11">E72*G72</f>
        <v>650</v>
      </c>
      <c r="I72" s="323">
        <v>1</v>
      </c>
      <c r="J72" s="214">
        <v>2.75</v>
      </c>
      <c r="K72" s="215">
        <v>1</v>
      </c>
      <c r="L72" s="216">
        <v>0.15</v>
      </c>
      <c r="M72" s="221">
        <f t="shared" ref="M72:M88" si="12">J72+K72</f>
        <v>3.75</v>
      </c>
      <c r="N72" s="218">
        <v>0.28999999999999998</v>
      </c>
      <c r="O72" s="219">
        <v>0.1</v>
      </c>
      <c r="P72" s="220">
        <v>0.1</v>
      </c>
      <c r="Q72" s="323">
        <f t="shared" si="6"/>
        <v>50</v>
      </c>
      <c r="R72" s="214">
        <f t="shared" si="7"/>
        <v>137.5</v>
      </c>
      <c r="S72" s="215">
        <f t="shared" si="8"/>
        <v>50</v>
      </c>
      <c r="T72" s="216">
        <f t="shared" si="9"/>
        <v>7.5</v>
      </c>
      <c r="U72" s="221">
        <f t="shared" si="10"/>
        <v>187.5</v>
      </c>
      <c r="V72" s="218">
        <f t="shared" ref="V72:V88" si="13">N72*E72</f>
        <v>14.499999999999998</v>
      </c>
      <c r="W72" s="219">
        <f t="shared" ref="W72:W88" si="14">O72*E72</f>
        <v>5</v>
      </c>
      <c r="X72" s="220">
        <f t="shared" ref="X72:X88" si="15">P72*E72</f>
        <v>5</v>
      </c>
      <c r="Y72" s="14"/>
    </row>
    <row r="73" spans="1:25" ht="13.5" customHeight="1">
      <c r="A73" s="112">
        <v>40462</v>
      </c>
      <c r="B73" s="48">
        <v>709</v>
      </c>
      <c r="C73" s="20" t="s">
        <v>652</v>
      </c>
      <c r="D73" s="20" t="s">
        <v>653</v>
      </c>
      <c r="E73" s="28">
        <v>15</v>
      </c>
      <c r="F73" s="28" t="s">
        <v>727</v>
      </c>
      <c r="G73" s="119">
        <v>55.5</v>
      </c>
      <c r="H73" s="122">
        <f t="shared" si="11"/>
        <v>832.5</v>
      </c>
      <c r="I73" s="323">
        <v>6.5</v>
      </c>
      <c r="J73" s="222">
        <v>14.08</v>
      </c>
      <c r="K73" s="215">
        <v>2.2999999999999998</v>
      </c>
      <c r="L73" s="216">
        <v>0.35</v>
      </c>
      <c r="M73" s="221">
        <f t="shared" si="12"/>
        <v>16.38</v>
      </c>
      <c r="N73" s="218">
        <v>0.57999999999999996</v>
      </c>
      <c r="O73" s="219">
        <v>0.1</v>
      </c>
      <c r="P73" s="220">
        <v>0.2</v>
      </c>
      <c r="Q73" s="323">
        <f t="shared" ref="Q73:Q88" si="16">E73*I73</f>
        <v>97.5</v>
      </c>
      <c r="R73" s="214">
        <f t="shared" ref="R73:R88" si="17">E73*J73</f>
        <v>211.2</v>
      </c>
      <c r="S73" s="215">
        <f t="shared" ref="S73:S88" si="18">E73*K73</f>
        <v>34.5</v>
      </c>
      <c r="T73" s="216">
        <f t="shared" ref="T73:T88" si="19">E73*L73</f>
        <v>5.25</v>
      </c>
      <c r="U73" s="221">
        <f t="shared" si="10"/>
        <v>245.7</v>
      </c>
      <c r="V73" s="218">
        <f t="shared" si="13"/>
        <v>8.6999999999999993</v>
      </c>
      <c r="W73" s="219">
        <f t="shared" si="14"/>
        <v>1.5</v>
      </c>
      <c r="X73" s="220">
        <f t="shared" si="15"/>
        <v>3</v>
      </c>
      <c r="Y73" s="14"/>
    </row>
    <row r="74" spans="1:25" ht="13.5" customHeight="1">
      <c r="A74" s="112"/>
      <c r="B74" s="48"/>
      <c r="C74" s="20" t="s">
        <v>652</v>
      </c>
      <c r="D74" s="20" t="s">
        <v>653</v>
      </c>
      <c r="E74" s="28">
        <v>29</v>
      </c>
      <c r="F74" s="28" t="s">
        <v>728</v>
      </c>
      <c r="G74" s="119">
        <v>49.5</v>
      </c>
      <c r="H74" s="122">
        <f t="shared" si="11"/>
        <v>1435.5</v>
      </c>
      <c r="I74" s="323">
        <v>6.5</v>
      </c>
      <c r="J74" s="222">
        <v>12.44</v>
      </c>
      <c r="K74" s="215">
        <v>2.2999999999999998</v>
      </c>
      <c r="L74" s="216">
        <v>0.35</v>
      </c>
      <c r="M74" s="221">
        <f t="shared" si="12"/>
        <v>14.739999999999998</v>
      </c>
      <c r="N74" s="218">
        <v>0.57999999999999996</v>
      </c>
      <c r="O74" s="219">
        <v>0.1</v>
      </c>
      <c r="P74" s="220">
        <v>0.2</v>
      </c>
      <c r="Q74" s="323">
        <f t="shared" si="16"/>
        <v>188.5</v>
      </c>
      <c r="R74" s="214">
        <f t="shared" si="17"/>
        <v>360.76</v>
      </c>
      <c r="S74" s="215">
        <f t="shared" si="18"/>
        <v>66.699999999999989</v>
      </c>
      <c r="T74" s="216">
        <f t="shared" si="19"/>
        <v>10.149999999999999</v>
      </c>
      <c r="U74" s="221">
        <f t="shared" si="10"/>
        <v>427.46</v>
      </c>
      <c r="V74" s="218">
        <f t="shared" si="13"/>
        <v>16.82</v>
      </c>
      <c r="W74" s="219">
        <f t="shared" si="14"/>
        <v>2.9000000000000004</v>
      </c>
      <c r="X74" s="220">
        <f t="shared" si="15"/>
        <v>5.8000000000000007</v>
      </c>
      <c r="Y74" s="14"/>
    </row>
    <row r="75" spans="1:25" ht="13.5" customHeight="1">
      <c r="A75" s="112"/>
      <c r="B75" s="48"/>
      <c r="C75" s="20" t="s">
        <v>652</v>
      </c>
      <c r="D75" s="20" t="s">
        <v>653</v>
      </c>
      <c r="E75" s="28">
        <v>5</v>
      </c>
      <c r="F75" s="28" t="s">
        <v>729</v>
      </c>
      <c r="G75" s="119">
        <v>55.5</v>
      </c>
      <c r="H75" s="122">
        <f t="shared" si="11"/>
        <v>277.5</v>
      </c>
      <c r="I75" s="323">
        <v>6.5</v>
      </c>
      <c r="J75" s="222">
        <v>14.08</v>
      </c>
      <c r="K75" s="215">
        <v>2.2999999999999998</v>
      </c>
      <c r="L75" s="216">
        <v>0.35</v>
      </c>
      <c r="M75" s="221">
        <f t="shared" si="12"/>
        <v>16.38</v>
      </c>
      <c r="N75" s="218">
        <v>0.57999999999999996</v>
      </c>
      <c r="O75" s="219">
        <v>0.1</v>
      </c>
      <c r="P75" s="220">
        <v>0.2</v>
      </c>
      <c r="Q75" s="323">
        <f t="shared" si="16"/>
        <v>32.5</v>
      </c>
      <c r="R75" s="214">
        <f t="shared" si="17"/>
        <v>70.400000000000006</v>
      </c>
      <c r="S75" s="215">
        <f t="shared" si="18"/>
        <v>11.5</v>
      </c>
      <c r="T75" s="216">
        <f t="shared" si="19"/>
        <v>1.75</v>
      </c>
      <c r="U75" s="221">
        <f t="shared" si="10"/>
        <v>81.899999999999991</v>
      </c>
      <c r="V75" s="218">
        <f t="shared" si="13"/>
        <v>2.9</v>
      </c>
      <c r="W75" s="219">
        <f t="shared" si="14"/>
        <v>0.5</v>
      </c>
      <c r="X75" s="220">
        <f t="shared" si="15"/>
        <v>1</v>
      </c>
      <c r="Y75" s="14"/>
    </row>
    <row r="76" spans="1:25" ht="13.5" customHeight="1">
      <c r="A76" s="112"/>
      <c r="B76" s="48"/>
      <c r="C76" s="20" t="s">
        <v>652</v>
      </c>
      <c r="D76" s="20" t="s">
        <v>653</v>
      </c>
      <c r="E76" s="28">
        <v>10</v>
      </c>
      <c r="F76" s="28" t="s">
        <v>730</v>
      </c>
      <c r="G76" s="119">
        <v>49.5</v>
      </c>
      <c r="H76" s="122">
        <f t="shared" si="11"/>
        <v>495</v>
      </c>
      <c r="I76" s="323">
        <v>6.5</v>
      </c>
      <c r="J76" s="222">
        <v>12.44</v>
      </c>
      <c r="K76" s="215">
        <v>2.2999999999999998</v>
      </c>
      <c r="L76" s="216">
        <v>0.35</v>
      </c>
      <c r="M76" s="221">
        <f t="shared" si="12"/>
        <v>14.739999999999998</v>
      </c>
      <c r="N76" s="218">
        <v>0.57999999999999996</v>
      </c>
      <c r="O76" s="219">
        <v>0.1</v>
      </c>
      <c r="P76" s="220">
        <v>0.2</v>
      </c>
      <c r="Q76" s="323">
        <f t="shared" si="16"/>
        <v>65</v>
      </c>
      <c r="R76" s="214">
        <f t="shared" si="17"/>
        <v>124.39999999999999</v>
      </c>
      <c r="S76" s="215">
        <f t="shared" si="18"/>
        <v>23</v>
      </c>
      <c r="T76" s="216">
        <f t="shared" si="19"/>
        <v>3.5</v>
      </c>
      <c r="U76" s="221">
        <f t="shared" si="10"/>
        <v>147.39999999999998</v>
      </c>
      <c r="V76" s="218">
        <f t="shared" si="13"/>
        <v>5.8</v>
      </c>
      <c r="W76" s="219">
        <f t="shared" si="14"/>
        <v>1</v>
      </c>
      <c r="X76" s="220">
        <f t="shared" si="15"/>
        <v>2</v>
      </c>
      <c r="Y76" s="14"/>
    </row>
    <row r="77" spans="1:25" ht="13.5" customHeight="1">
      <c r="A77" s="112">
        <v>40463</v>
      </c>
      <c r="B77" s="48">
        <v>710</v>
      </c>
      <c r="C77" s="20" t="s">
        <v>27</v>
      </c>
      <c r="D77" s="20" t="s">
        <v>24</v>
      </c>
      <c r="E77" s="28">
        <v>18</v>
      </c>
      <c r="F77" s="28" t="s">
        <v>731</v>
      </c>
      <c r="G77" s="119">
        <v>45</v>
      </c>
      <c r="H77" s="122">
        <f t="shared" si="11"/>
        <v>810</v>
      </c>
      <c r="I77" s="323">
        <v>5.5</v>
      </c>
      <c r="J77" s="214">
        <v>9.91</v>
      </c>
      <c r="K77" s="215">
        <v>1.4</v>
      </c>
      <c r="L77" s="216">
        <v>0.21</v>
      </c>
      <c r="M77" s="221">
        <f t="shared" si="12"/>
        <v>11.31</v>
      </c>
      <c r="N77" s="218">
        <v>0.57999999999999996</v>
      </c>
      <c r="O77" s="219">
        <v>0.1</v>
      </c>
      <c r="P77" s="220">
        <v>0.2</v>
      </c>
      <c r="Q77" s="323">
        <f t="shared" si="16"/>
        <v>99</v>
      </c>
      <c r="R77" s="214">
        <f t="shared" si="17"/>
        <v>178.38</v>
      </c>
      <c r="S77" s="215">
        <f t="shared" si="18"/>
        <v>25.2</v>
      </c>
      <c r="T77" s="216">
        <f t="shared" si="19"/>
        <v>3.78</v>
      </c>
      <c r="U77" s="221">
        <f t="shared" si="10"/>
        <v>203.58</v>
      </c>
      <c r="V77" s="218">
        <f t="shared" si="13"/>
        <v>10.44</v>
      </c>
      <c r="W77" s="219">
        <f t="shared" si="14"/>
        <v>1.8</v>
      </c>
      <c r="X77" s="220">
        <f t="shared" si="15"/>
        <v>3.6</v>
      </c>
      <c r="Y77" s="14"/>
    </row>
    <row r="78" spans="1:25" ht="13.5" customHeight="1">
      <c r="A78" s="112"/>
      <c r="B78" s="48"/>
      <c r="C78" s="20" t="s">
        <v>27</v>
      </c>
      <c r="D78" s="20" t="s">
        <v>24</v>
      </c>
      <c r="E78" s="28">
        <v>12</v>
      </c>
      <c r="F78" s="28" t="s">
        <v>732</v>
      </c>
      <c r="G78" s="119">
        <v>45</v>
      </c>
      <c r="H78" s="122">
        <f t="shared" si="11"/>
        <v>540</v>
      </c>
      <c r="I78" s="323">
        <v>5.5</v>
      </c>
      <c r="J78" s="214">
        <v>6.71</v>
      </c>
      <c r="K78" s="215">
        <v>1.4</v>
      </c>
      <c r="L78" s="216">
        <v>0.21</v>
      </c>
      <c r="M78" s="221">
        <f t="shared" si="12"/>
        <v>8.11</v>
      </c>
      <c r="N78" s="218">
        <v>0.57999999999999996</v>
      </c>
      <c r="O78" s="219">
        <v>0.1</v>
      </c>
      <c r="P78" s="220">
        <v>0.2</v>
      </c>
      <c r="Q78" s="323">
        <f t="shared" si="16"/>
        <v>66</v>
      </c>
      <c r="R78" s="214">
        <f t="shared" si="17"/>
        <v>80.52</v>
      </c>
      <c r="S78" s="215">
        <f t="shared" si="18"/>
        <v>16.799999999999997</v>
      </c>
      <c r="T78" s="216">
        <f t="shared" si="19"/>
        <v>2.52</v>
      </c>
      <c r="U78" s="221">
        <f t="shared" si="10"/>
        <v>97.32</v>
      </c>
      <c r="V78" s="218">
        <f t="shared" si="13"/>
        <v>6.9599999999999991</v>
      </c>
      <c r="W78" s="219">
        <f t="shared" si="14"/>
        <v>1.2000000000000002</v>
      </c>
      <c r="X78" s="220">
        <f t="shared" si="15"/>
        <v>2.4000000000000004</v>
      </c>
      <c r="Y78" s="14"/>
    </row>
    <row r="79" spans="1:25" ht="13.5" customHeight="1">
      <c r="A79" s="112"/>
      <c r="B79" s="48"/>
      <c r="C79" s="20" t="s">
        <v>27</v>
      </c>
      <c r="D79" s="20" t="s">
        <v>24</v>
      </c>
      <c r="E79" s="28">
        <v>15</v>
      </c>
      <c r="F79" s="28" t="s">
        <v>733</v>
      </c>
      <c r="G79" s="119">
        <v>40</v>
      </c>
      <c r="H79" s="122">
        <f t="shared" si="11"/>
        <v>600</v>
      </c>
      <c r="I79" s="323">
        <v>5</v>
      </c>
      <c r="J79" s="222">
        <v>10.72</v>
      </c>
      <c r="K79" s="215">
        <v>0</v>
      </c>
      <c r="L79" s="216">
        <v>0</v>
      </c>
      <c r="M79" s="221">
        <f t="shared" si="12"/>
        <v>10.72</v>
      </c>
      <c r="N79" s="218">
        <v>0.57999999999999996</v>
      </c>
      <c r="O79" s="219">
        <v>0.1</v>
      </c>
      <c r="P79" s="220">
        <v>0.1</v>
      </c>
      <c r="Q79" s="323">
        <f t="shared" si="16"/>
        <v>75</v>
      </c>
      <c r="R79" s="214">
        <f t="shared" si="17"/>
        <v>160.80000000000001</v>
      </c>
      <c r="S79" s="215">
        <f t="shared" si="18"/>
        <v>0</v>
      </c>
      <c r="T79" s="216">
        <f t="shared" si="19"/>
        <v>0</v>
      </c>
      <c r="U79" s="221">
        <f t="shared" si="10"/>
        <v>160.80000000000001</v>
      </c>
      <c r="V79" s="218">
        <f t="shared" si="13"/>
        <v>8.6999999999999993</v>
      </c>
      <c r="W79" s="219">
        <f t="shared" si="14"/>
        <v>1.5</v>
      </c>
      <c r="X79" s="220">
        <f t="shared" si="15"/>
        <v>1.5</v>
      </c>
      <c r="Y79" s="14"/>
    </row>
    <row r="80" spans="1:25" ht="13.5" customHeight="1">
      <c r="A80" s="112">
        <v>40463</v>
      </c>
      <c r="B80" s="48">
        <v>711</v>
      </c>
      <c r="C80" s="20"/>
      <c r="D80" s="20"/>
      <c r="E80" s="28"/>
      <c r="F80" s="28" t="s">
        <v>651</v>
      </c>
      <c r="G80" s="119">
        <v>0</v>
      </c>
      <c r="H80" s="122">
        <f t="shared" si="11"/>
        <v>0</v>
      </c>
      <c r="I80" s="323">
        <v>0</v>
      </c>
      <c r="J80" s="214">
        <v>0</v>
      </c>
      <c r="K80" s="215">
        <v>0</v>
      </c>
      <c r="L80" s="216">
        <v>0</v>
      </c>
      <c r="M80" s="221">
        <f t="shared" si="12"/>
        <v>0</v>
      </c>
      <c r="N80" s="218">
        <v>0</v>
      </c>
      <c r="O80" s="219">
        <v>0</v>
      </c>
      <c r="P80" s="220">
        <v>0</v>
      </c>
      <c r="Q80" s="323">
        <f t="shared" si="16"/>
        <v>0</v>
      </c>
      <c r="R80" s="214">
        <f t="shared" si="17"/>
        <v>0</v>
      </c>
      <c r="S80" s="215">
        <f t="shared" si="18"/>
        <v>0</v>
      </c>
      <c r="T80" s="216">
        <f t="shared" si="19"/>
        <v>0</v>
      </c>
      <c r="U80" s="221">
        <f t="shared" si="10"/>
        <v>0</v>
      </c>
      <c r="V80" s="218">
        <f t="shared" si="13"/>
        <v>0</v>
      </c>
      <c r="W80" s="219">
        <f t="shared" si="14"/>
        <v>0</v>
      </c>
      <c r="X80" s="220">
        <f t="shared" si="15"/>
        <v>0</v>
      </c>
      <c r="Y80" s="14"/>
    </row>
    <row r="81" spans="1:25" ht="13.5" customHeight="1">
      <c r="A81" s="112">
        <v>40464</v>
      </c>
      <c r="B81" s="48">
        <v>712</v>
      </c>
      <c r="C81" s="20" t="s">
        <v>516</v>
      </c>
      <c r="D81" s="20" t="s">
        <v>42</v>
      </c>
      <c r="E81" s="28">
        <v>125</v>
      </c>
      <c r="F81" s="28" t="s">
        <v>736</v>
      </c>
      <c r="G81" s="119">
        <v>64.5</v>
      </c>
      <c r="H81" s="122">
        <f t="shared" si="11"/>
        <v>8062.5</v>
      </c>
      <c r="I81" s="323">
        <v>6.5</v>
      </c>
      <c r="J81" s="222">
        <v>19.84</v>
      </c>
      <c r="K81" s="215">
        <v>3.5</v>
      </c>
      <c r="L81" s="216">
        <v>0.53</v>
      </c>
      <c r="M81" s="221">
        <f t="shared" si="12"/>
        <v>23.34</v>
      </c>
      <c r="N81" s="218">
        <v>0.83</v>
      </c>
      <c r="O81" s="219">
        <v>0.1</v>
      </c>
      <c r="P81" s="220">
        <v>0.2</v>
      </c>
      <c r="Q81" s="323">
        <f t="shared" si="16"/>
        <v>812.5</v>
      </c>
      <c r="R81" s="222">
        <f t="shared" si="17"/>
        <v>2480</v>
      </c>
      <c r="S81" s="215">
        <f t="shared" si="18"/>
        <v>437.5</v>
      </c>
      <c r="T81" s="216">
        <f t="shared" si="19"/>
        <v>66.25</v>
      </c>
      <c r="U81" s="221">
        <f t="shared" si="10"/>
        <v>2917.5</v>
      </c>
      <c r="V81" s="218">
        <f t="shared" si="13"/>
        <v>103.75</v>
      </c>
      <c r="W81" s="219">
        <f t="shared" si="14"/>
        <v>12.5</v>
      </c>
      <c r="X81" s="220">
        <f t="shared" si="15"/>
        <v>25</v>
      </c>
      <c r="Y81" s="14"/>
    </row>
    <row r="82" spans="1:25" ht="13.5" customHeight="1">
      <c r="A82" s="112">
        <v>40464</v>
      </c>
      <c r="B82" s="48">
        <v>713</v>
      </c>
      <c r="C82" s="20"/>
      <c r="D82" s="20" t="s">
        <v>42</v>
      </c>
      <c r="E82" s="28">
        <v>14</v>
      </c>
      <c r="F82" s="28" t="s">
        <v>737</v>
      </c>
      <c r="G82" s="119">
        <v>54.5</v>
      </c>
      <c r="H82" s="122">
        <f t="shared" si="11"/>
        <v>763</v>
      </c>
      <c r="I82" s="323">
        <v>2.5</v>
      </c>
      <c r="J82" s="222">
        <v>12.43</v>
      </c>
      <c r="K82" s="215">
        <v>0</v>
      </c>
      <c r="L82" s="216">
        <v>0</v>
      </c>
      <c r="M82" s="221">
        <f t="shared" si="12"/>
        <v>12.43</v>
      </c>
      <c r="N82" s="218">
        <v>0</v>
      </c>
      <c r="O82" s="219">
        <v>0.1</v>
      </c>
      <c r="P82" s="220">
        <v>0.1</v>
      </c>
      <c r="Q82" s="323">
        <f t="shared" si="16"/>
        <v>35</v>
      </c>
      <c r="R82" s="214">
        <f t="shared" si="17"/>
        <v>174.01999999999998</v>
      </c>
      <c r="S82" s="215">
        <f t="shared" si="18"/>
        <v>0</v>
      </c>
      <c r="T82" s="216">
        <f t="shared" si="19"/>
        <v>0</v>
      </c>
      <c r="U82" s="221">
        <f t="shared" si="10"/>
        <v>174.01999999999998</v>
      </c>
      <c r="V82" s="218">
        <f t="shared" si="13"/>
        <v>0</v>
      </c>
      <c r="W82" s="219">
        <f t="shared" si="14"/>
        <v>1.4000000000000001</v>
      </c>
      <c r="X82" s="220">
        <f t="shared" si="15"/>
        <v>1.4000000000000001</v>
      </c>
      <c r="Y82" s="14"/>
    </row>
    <row r="83" spans="1:25" ht="13.5" customHeight="1">
      <c r="A83" s="112"/>
      <c r="B83" s="48"/>
      <c r="C83" s="20"/>
      <c r="D83" s="20" t="s">
        <v>42</v>
      </c>
      <c r="E83" s="28">
        <v>9</v>
      </c>
      <c r="F83" s="28" t="s">
        <v>738</v>
      </c>
      <c r="G83" s="119">
        <v>14.86</v>
      </c>
      <c r="H83" s="122">
        <f t="shared" si="11"/>
        <v>133.74</v>
      </c>
      <c r="I83" s="323">
        <v>0.2</v>
      </c>
      <c r="J83" s="214">
        <v>0.13</v>
      </c>
      <c r="K83" s="215">
        <v>1.25</v>
      </c>
      <c r="L83" s="216">
        <v>0.19</v>
      </c>
      <c r="M83" s="221">
        <f t="shared" si="12"/>
        <v>1.38</v>
      </c>
      <c r="N83" s="218">
        <v>0</v>
      </c>
      <c r="O83" s="219">
        <v>0.05</v>
      </c>
      <c r="P83" s="220">
        <v>0.05</v>
      </c>
      <c r="Q83" s="323">
        <f t="shared" si="16"/>
        <v>1.8</v>
      </c>
      <c r="R83" s="214">
        <f t="shared" si="17"/>
        <v>1.17</v>
      </c>
      <c r="S83" s="215">
        <f t="shared" si="18"/>
        <v>11.25</v>
      </c>
      <c r="T83" s="216">
        <f t="shared" si="19"/>
        <v>1.71</v>
      </c>
      <c r="U83" s="221">
        <f t="shared" si="10"/>
        <v>12.419999999999998</v>
      </c>
      <c r="V83" s="218">
        <f t="shared" si="13"/>
        <v>0</v>
      </c>
      <c r="W83" s="219">
        <f t="shared" si="14"/>
        <v>0.45</v>
      </c>
      <c r="X83" s="220">
        <f t="shared" si="15"/>
        <v>0.45</v>
      </c>
      <c r="Y83" s="14"/>
    </row>
    <row r="84" spans="1:25" ht="13.5" customHeight="1">
      <c r="A84" s="112">
        <v>40464</v>
      </c>
      <c r="B84" s="48">
        <v>714</v>
      </c>
      <c r="C84" s="20" t="s">
        <v>739</v>
      </c>
      <c r="D84" s="20" t="s">
        <v>740</v>
      </c>
      <c r="E84" s="28">
        <v>1</v>
      </c>
      <c r="F84" s="28" t="s">
        <v>741</v>
      </c>
      <c r="G84" s="119">
        <v>30</v>
      </c>
      <c r="H84" s="122">
        <f t="shared" si="11"/>
        <v>30</v>
      </c>
      <c r="I84" s="323">
        <v>4</v>
      </c>
      <c r="J84" s="214">
        <v>1.74</v>
      </c>
      <c r="K84" s="215">
        <v>2</v>
      </c>
      <c r="L84" s="216">
        <v>0.3</v>
      </c>
      <c r="M84" s="221">
        <f t="shared" si="12"/>
        <v>3.74</v>
      </c>
      <c r="N84" s="218">
        <v>0.28999999999999998</v>
      </c>
      <c r="O84" s="219">
        <v>0.1</v>
      </c>
      <c r="P84" s="220">
        <v>0.1</v>
      </c>
      <c r="Q84" s="323">
        <f t="shared" si="16"/>
        <v>4</v>
      </c>
      <c r="R84" s="214">
        <f t="shared" si="17"/>
        <v>1.74</v>
      </c>
      <c r="S84" s="215">
        <f t="shared" si="18"/>
        <v>2</v>
      </c>
      <c r="T84" s="216">
        <f t="shared" si="19"/>
        <v>0.3</v>
      </c>
      <c r="U84" s="221">
        <f t="shared" si="10"/>
        <v>3.74</v>
      </c>
      <c r="V84" s="218">
        <f t="shared" si="13"/>
        <v>0.28999999999999998</v>
      </c>
      <c r="W84" s="219">
        <f t="shared" si="14"/>
        <v>0.1</v>
      </c>
      <c r="X84" s="220">
        <f t="shared" si="15"/>
        <v>0.1</v>
      </c>
      <c r="Y84" s="14"/>
    </row>
    <row r="85" spans="1:25" ht="13.5" customHeight="1">
      <c r="A85" s="112"/>
      <c r="B85" s="48"/>
      <c r="C85" s="20" t="s">
        <v>739</v>
      </c>
      <c r="D85" s="20" t="s">
        <v>740</v>
      </c>
      <c r="E85" s="28">
        <v>1</v>
      </c>
      <c r="F85" s="28" t="s">
        <v>742</v>
      </c>
      <c r="G85" s="119">
        <v>5</v>
      </c>
      <c r="H85" s="122">
        <f t="shared" si="11"/>
        <v>5</v>
      </c>
      <c r="I85" s="323">
        <v>0.3</v>
      </c>
      <c r="J85" s="214">
        <v>0.74</v>
      </c>
      <c r="K85" s="215">
        <v>1.5</v>
      </c>
      <c r="L85" s="216">
        <v>0.23</v>
      </c>
      <c r="M85" s="221">
        <f t="shared" si="12"/>
        <v>2.2400000000000002</v>
      </c>
      <c r="N85" s="218">
        <v>0.08</v>
      </c>
      <c r="O85" s="219">
        <v>0.05</v>
      </c>
      <c r="P85" s="220">
        <v>0.05</v>
      </c>
      <c r="Q85" s="323">
        <f t="shared" si="16"/>
        <v>0.3</v>
      </c>
      <c r="R85" s="214">
        <f t="shared" si="17"/>
        <v>0.74</v>
      </c>
      <c r="S85" s="215">
        <f t="shared" si="18"/>
        <v>1.5</v>
      </c>
      <c r="T85" s="216">
        <f t="shared" si="19"/>
        <v>0.23</v>
      </c>
      <c r="U85" s="221">
        <f t="shared" si="10"/>
        <v>2.2400000000000002</v>
      </c>
      <c r="V85" s="218">
        <f t="shared" si="13"/>
        <v>0.08</v>
      </c>
      <c r="W85" s="219">
        <f t="shared" si="14"/>
        <v>0.05</v>
      </c>
      <c r="X85" s="220">
        <f t="shared" si="15"/>
        <v>0.05</v>
      </c>
      <c r="Y85" s="14"/>
    </row>
    <row r="86" spans="1:25" ht="12.75" customHeight="1">
      <c r="A86" s="112">
        <v>40464</v>
      </c>
      <c r="B86" s="48">
        <v>715</v>
      </c>
      <c r="C86" s="20" t="s">
        <v>330</v>
      </c>
      <c r="D86" s="20" t="s">
        <v>24</v>
      </c>
      <c r="E86" s="28">
        <v>50</v>
      </c>
      <c r="F86" s="28" t="s">
        <v>743</v>
      </c>
      <c r="G86" s="119">
        <v>35</v>
      </c>
      <c r="H86" s="122">
        <f t="shared" si="11"/>
        <v>1750</v>
      </c>
      <c r="I86" s="323">
        <v>3.5</v>
      </c>
      <c r="J86" s="214">
        <v>6.54</v>
      </c>
      <c r="K86" s="215">
        <v>1.2</v>
      </c>
      <c r="L86" s="216">
        <v>0.18</v>
      </c>
      <c r="M86" s="221">
        <f t="shared" si="12"/>
        <v>7.74</v>
      </c>
      <c r="N86" s="218">
        <v>0.33</v>
      </c>
      <c r="O86" s="219">
        <v>0.1</v>
      </c>
      <c r="P86" s="220">
        <v>0.1</v>
      </c>
      <c r="Q86" s="323">
        <f t="shared" si="16"/>
        <v>175</v>
      </c>
      <c r="R86" s="214">
        <f t="shared" si="17"/>
        <v>327</v>
      </c>
      <c r="S86" s="215">
        <f t="shared" si="18"/>
        <v>60</v>
      </c>
      <c r="T86" s="216">
        <f t="shared" si="19"/>
        <v>9</v>
      </c>
      <c r="U86" s="221">
        <f t="shared" si="10"/>
        <v>387</v>
      </c>
      <c r="V86" s="218">
        <f t="shared" si="13"/>
        <v>16.5</v>
      </c>
      <c r="W86" s="219">
        <f t="shared" si="14"/>
        <v>5</v>
      </c>
      <c r="X86" s="220">
        <f t="shared" si="15"/>
        <v>5</v>
      </c>
      <c r="Y86" s="14"/>
    </row>
    <row r="87" spans="1:25">
      <c r="A87" s="112"/>
      <c r="B87" s="48"/>
      <c r="C87" s="20" t="s">
        <v>330</v>
      </c>
      <c r="D87" s="20" t="s">
        <v>24</v>
      </c>
      <c r="E87" s="28">
        <v>40</v>
      </c>
      <c r="F87" s="28" t="s">
        <v>744</v>
      </c>
      <c r="G87" s="119">
        <v>4.95</v>
      </c>
      <c r="H87" s="122">
        <f t="shared" si="11"/>
        <v>198</v>
      </c>
      <c r="I87" s="323">
        <v>0.2</v>
      </c>
      <c r="J87" s="214">
        <v>1.48</v>
      </c>
      <c r="K87" s="215">
        <v>1.2</v>
      </c>
      <c r="L87" s="216">
        <v>0.18</v>
      </c>
      <c r="M87" s="221">
        <f t="shared" si="12"/>
        <v>2.6799999999999997</v>
      </c>
      <c r="N87" s="218">
        <v>0.04</v>
      </c>
      <c r="O87" s="219">
        <v>0.1</v>
      </c>
      <c r="P87" s="220">
        <v>0.1</v>
      </c>
      <c r="Q87" s="323">
        <f t="shared" si="16"/>
        <v>8</v>
      </c>
      <c r="R87" s="214">
        <f t="shared" si="17"/>
        <v>59.2</v>
      </c>
      <c r="S87" s="215">
        <f t="shared" si="18"/>
        <v>48</v>
      </c>
      <c r="T87" s="216">
        <f t="shared" si="19"/>
        <v>7.1999999999999993</v>
      </c>
      <c r="U87" s="221">
        <f t="shared" si="10"/>
        <v>107.19999999999999</v>
      </c>
      <c r="V87" s="218">
        <f t="shared" si="13"/>
        <v>1.6</v>
      </c>
      <c r="W87" s="219">
        <f t="shared" si="14"/>
        <v>4</v>
      </c>
      <c r="X87" s="220">
        <f t="shared" si="15"/>
        <v>4</v>
      </c>
      <c r="Y87" s="14"/>
    </row>
    <row r="88" spans="1:25">
      <c r="A88" s="112">
        <v>40465</v>
      </c>
      <c r="B88" s="48">
        <v>716</v>
      </c>
      <c r="C88" s="20"/>
      <c r="D88" s="20"/>
      <c r="E88" s="28"/>
      <c r="F88" s="28" t="s">
        <v>651</v>
      </c>
      <c r="G88" s="119">
        <v>0</v>
      </c>
      <c r="H88" s="122">
        <f t="shared" si="11"/>
        <v>0</v>
      </c>
      <c r="I88" s="323">
        <v>0</v>
      </c>
      <c r="J88" s="214">
        <v>0</v>
      </c>
      <c r="K88" s="215">
        <v>0</v>
      </c>
      <c r="L88" s="216">
        <v>0</v>
      </c>
      <c r="M88" s="221">
        <f t="shared" si="12"/>
        <v>0</v>
      </c>
      <c r="N88" s="218">
        <v>0</v>
      </c>
      <c r="O88" s="219">
        <v>0</v>
      </c>
      <c r="P88" s="220">
        <v>0</v>
      </c>
      <c r="Q88" s="323">
        <f t="shared" si="16"/>
        <v>0</v>
      </c>
      <c r="R88" s="214">
        <f t="shared" si="17"/>
        <v>0</v>
      </c>
      <c r="S88" s="215">
        <f t="shared" si="18"/>
        <v>0</v>
      </c>
      <c r="T88" s="216">
        <f t="shared" si="19"/>
        <v>0</v>
      </c>
      <c r="U88" s="221">
        <f t="shared" si="10"/>
        <v>0</v>
      </c>
      <c r="V88" s="218">
        <f t="shared" si="13"/>
        <v>0</v>
      </c>
      <c r="W88" s="219">
        <f t="shared" si="14"/>
        <v>0</v>
      </c>
      <c r="X88" s="220">
        <f t="shared" si="15"/>
        <v>0</v>
      </c>
      <c r="Y88" s="14"/>
    </row>
    <row r="89" spans="1:25">
      <c r="A89" s="112">
        <v>40465</v>
      </c>
      <c r="B89" s="48">
        <v>717</v>
      </c>
      <c r="C89" s="20" t="s">
        <v>21</v>
      </c>
      <c r="D89" s="20" t="s">
        <v>21</v>
      </c>
      <c r="E89" s="28">
        <v>125</v>
      </c>
      <c r="F89" s="28" t="s">
        <v>745</v>
      </c>
      <c r="G89" s="119">
        <v>4.5</v>
      </c>
      <c r="H89" s="122">
        <f t="shared" si="11"/>
        <v>562.5</v>
      </c>
      <c r="I89" s="323">
        <v>0.25</v>
      </c>
      <c r="J89" s="214">
        <v>1.07</v>
      </c>
      <c r="K89" s="215">
        <v>0.53</v>
      </c>
      <c r="L89" s="216">
        <v>0.08</v>
      </c>
      <c r="M89" s="221">
        <f t="shared" ref="M89:M132" si="20">J89+K89</f>
        <v>1.6</v>
      </c>
      <c r="N89" s="218">
        <v>0.04</v>
      </c>
      <c r="O89" s="219">
        <v>0.05</v>
      </c>
      <c r="P89" s="220">
        <v>0.1</v>
      </c>
      <c r="Q89" s="323">
        <f t="shared" ref="Q89:Q132" si="21">E89*I89</f>
        <v>31.25</v>
      </c>
      <c r="R89" s="214">
        <f t="shared" ref="R89:R132" si="22">E89*J89</f>
        <v>133.75</v>
      </c>
      <c r="S89" s="215">
        <f t="shared" ref="S89:S132" si="23">E89*K89</f>
        <v>66.25</v>
      </c>
      <c r="T89" s="216">
        <f t="shared" ref="T89:T132" si="24">E89*L89</f>
        <v>10</v>
      </c>
      <c r="U89" s="221">
        <f t="shared" ref="U89:U132" si="25">E89*M89</f>
        <v>200</v>
      </c>
      <c r="V89" s="218">
        <f t="shared" ref="V89:V132" si="26">N89*E89</f>
        <v>5</v>
      </c>
      <c r="W89" s="219">
        <f t="shared" ref="W89:W132" si="27">O89*E89</f>
        <v>6.25</v>
      </c>
      <c r="X89" s="220">
        <f t="shared" ref="X89:X132" si="28">P89*E89</f>
        <v>12.5</v>
      </c>
      <c r="Y89" s="14"/>
    </row>
    <row r="90" spans="1:25" ht="12.75" customHeight="1">
      <c r="A90" s="112"/>
      <c r="B90" s="48"/>
      <c r="C90" s="20" t="s">
        <v>21</v>
      </c>
      <c r="D90" s="20" t="s">
        <v>21</v>
      </c>
      <c r="E90" s="28">
        <v>1</v>
      </c>
      <c r="F90" s="28" t="s">
        <v>746</v>
      </c>
      <c r="G90" s="119">
        <v>45</v>
      </c>
      <c r="H90" s="122">
        <f t="shared" si="11"/>
        <v>45</v>
      </c>
      <c r="I90" s="323">
        <v>2.5</v>
      </c>
      <c r="J90" s="222">
        <v>10.48</v>
      </c>
      <c r="K90" s="215">
        <v>0</v>
      </c>
      <c r="L90" s="216">
        <v>0</v>
      </c>
      <c r="M90" s="221">
        <f t="shared" si="20"/>
        <v>10.48</v>
      </c>
      <c r="N90" s="218">
        <v>0.42</v>
      </c>
      <c r="O90" s="219">
        <v>0.1</v>
      </c>
      <c r="P90" s="220">
        <v>0.1</v>
      </c>
      <c r="Q90" s="323">
        <f t="shared" si="21"/>
        <v>2.5</v>
      </c>
      <c r="R90" s="214">
        <f t="shared" si="22"/>
        <v>10.48</v>
      </c>
      <c r="S90" s="215">
        <f t="shared" si="23"/>
        <v>0</v>
      </c>
      <c r="T90" s="216">
        <f t="shared" si="24"/>
        <v>0</v>
      </c>
      <c r="U90" s="221">
        <f t="shared" si="25"/>
        <v>10.48</v>
      </c>
      <c r="V90" s="218">
        <f t="shared" si="26"/>
        <v>0.42</v>
      </c>
      <c r="W90" s="219">
        <f t="shared" si="27"/>
        <v>0.1</v>
      </c>
      <c r="X90" s="220">
        <f t="shared" si="28"/>
        <v>0.1</v>
      </c>
      <c r="Y90" s="14"/>
    </row>
    <row r="91" spans="1:25">
      <c r="A91" s="112">
        <v>40469</v>
      </c>
      <c r="B91" s="48">
        <v>718</v>
      </c>
      <c r="C91" s="20" t="s">
        <v>747</v>
      </c>
      <c r="D91" s="20" t="s">
        <v>168</v>
      </c>
      <c r="E91" s="28">
        <v>28</v>
      </c>
      <c r="F91" s="28" t="s">
        <v>748</v>
      </c>
      <c r="G91" s="119">
        <v>32</v>
      </c>
      <c r="H91" s="122">
        <f t="shared" si="11"/>
        <v>896</v>
      </c>
      <c r="I91" s="323">
        <v>3.5</v>
      </c>
      <c r="J91" s="214">
        <v>3.4</v>
      </c>
      <c r="K91" s="215">
        <v>4</v>
      </c>
      <c r="L91" s="216">
        <v>0.6</v>
      </c>
      <c r="M91" s="221">
        <f t="shared" si="20"/>
        <v>7.4</v>
      </c>
      <c r="N91" s="218">
        <v>0.33</v>
      </c>
      <c r="O91" s="219">
        <v>0.1</v>
      </c>
      <c r="P91" s="220">
        <v>0.2</v>
      </c>
      <c r="Q91" s="323">
        <f t="shared" si="21"/>
        <v>98</v>
      </c>
      <c r="R91" s="214">
        <f t="shared" si="22"/>
        <v>95.2</v>
      </c>
      <c r="S91" s="215">
        <f t="shared" si="23"/>
        <v>112</v>
      </c>
      <c r="T91" s="216">
        <f t="shared" si="24"/>
        <v>16.8</v>
      </c>
      <c r="U91" s="221">
        <f t="shared" si="25"/>
        <v>207.20000000000002</v>
      </c>
      <c r="V91" s="218">
        <f t="shared" si="26"/>
        <v>9.24</v>
      </c>
      <c r="W91" s="219">
        <f t="shared" si="27"/>
        <v>2.8000000000000003</v>
      </c>
      <c r="X91" s="220">
        <f t="shared" si="28"/>
        <v>5.6000000000000005</v>
      </c>
      <c r="Y91" s="14"/>
    </row>
    <row r="92" spans="1:25">
      <c r="A92" s="112"/>
      <c r="B92" s="48"/>
      <c r="C92" s="20" t="s">
        <v>747</v>
      </c>
      <c r="D92" s="20" t="s">
        <v>168</v>
      </c>
      <c r="E92" s="28">
        <v>21</v>
      </c>
      <c r="F92" s="28" t="s">
        <v>749</v>
      </c>
      <c r="G92" s="119">
        <v>36</v>
      </c>
      <c r="H92" s="122">
        <f t="shared" si="11"/>
        <v>756</v>
      </c>
      <c r="I92" s="323">
        <v>3.5</v>
      </c>
      <c r="J92" s="214">
        <v>2.78</v>
      </c>
      <c r="K92" s="215">
        <v>4</v>
      </c>
      <c r="L92" s="216">
        <v>0.6</v>
      </c>
      <c r="M92" s="221">
        <f t="shared" si="20"/>
        <v>6.7799999999999994</v>
      </c>
      <c r="N92" s="218">
        <v>0.33</v>
      </c>
      <c r="O92" s="219">
        <v>0.1</v>
      </c>
      <c r="P92" s="220">
        <v>0.2</v>
      </c>
      <c r="Q92" s="323">
        <f t="shared" si="21"/>
        <v>73.5</v>
      </c>
      <c r="R92" s="214">
        <f t="shared" si="22"/>
        <v>58.379999999999995</v>
      </c>
      <c r="S92" s="215">
        <f t="shared" si="23"/>
        <v>84</v>
      </c>
      <c r="T92" s="216">
        <f t="shared" si="24"/>
        <v>12.6</v>
      </c>
      <c r="U92" s="221">
        <f t="shared" si="25"/>
        <v>142.38</v>
      </c>
      <c r="V92" s="218">
        <f t="shared" si="26"/>
        <v>6.9300000000000006</v>
      </c>
      <c r="W92" s="219">
        <f t="shared" si="27"/>
        <v>2.1</v>
      </c>
      <c r="X92" s="220">
        <f t="shared" si="28"/>
        <v>4.2</v>
      </c>
      <c r="Y92" s="14"/>
    </row>
    <row r="93" spans="1:25">
      <c r="A93" s="112"/>
      <c r="B93" s="48"/>
      <c r="C93" s="20" t="s">
        <v>747</v>
      </c>
      <c r="D93" s="20" t="s">
        <v>168</v>
      </c>
      <c r="E93" s="28">
        <v>4</v>
      </c>
      <c r="F93" s="28" t="s">
        <v>750</v>
      </c>
      <c r="G93" s="119">
        <v>40</v>
      </c>
      <c r="H93" s="122">
        <f t="shared" si="11"/>
        <v>160</v>
      </c>
      <c r="I93" s="323">
        <v>3.5</v>
      </c>
      <c r="J93" s="214">
        <v>1.84</v>
      </c>
      <c r="K93" s="215">
        <v>4</v>
      </c>
      <c r="L93" s="216">
        <v>0.6</v>
      </c>
      <c r="M93" s="221">
        <f t="shared" si="20"/>
        <v>5.84</v>
      </c>
      <c r="N93" s="218">
        <v>0.33</v>
      </c>
      <c r="O93" s="219">
        <v>0.1</v>
      </c>
      <c r="P93" s="220">
        <v>0.2</v>
      </c>
      <c r="Q93" s="323">
        <f t="shared" si="21"/>
        <v>14</v>
      </c>
      <c r="R93" s="214">
        <f t="shared" si="22"/>
        <v>7.36</v>
      </c>
      <c r="S93" s="215">
        <f t="shared" si="23"/>
        <v>16</v>
      </c>
      <c r="T93" s="216">
        <f t="shared" si="24"/>
        <v>2.4</v>
      </c>
      <c r="U93" s="221">
        <f t="shared" si="25"/>
        <v>23.36</v>
      </c>
      <c r="V93" s="218">
        <f t="shared" si="26"/>
        <v>1.32</v>
      </c>
      <c r="W93" s="219">
        <f t="shared" si="27"/>
        <v>0.4</v>
      </c>
      <c r="X93" s="220">
        <f t="shared" si="28"/>
        <v>0.8</v>
      </c>
      <c r="Y93" s="14"/>
    </row>
    <row r="94" spans="1:25">
      <c r="A94" s="112">
        <v>40469</v>
      </c>
      <c r="B94" s="48">
        <v>719</v>
      </c>
      <c r="C94" s="20" t="s">
        <v>473</v>
      </c>
      <c r="D94" s="20" t="s">
        <v>474</v>
      </c>
      <c r="E94" s="28">
        <v>12</v>
      </c>
      <c r="F94" s="28" t="s">
        <v>751</v>
      </c>
      <c r="G94" s="119">
        <v>37</v>
      </c>
      <c r="H94" s="122">
        <f t="shared" si="11"/>
        <v>444</v>
      </c>
      <c r="I94" s="323">
        <v>3.5</v>
      </c>
      <c r="J94" s="214">
        <v>8.48</v>
      </c>
      <c r="K94" s="215">
        <v>1.8</v>
      </c>
      <c r="L94" s="216">
        <v>0.27</v>
      </c>
      <c r="M94" s="221">
        <f t="shared" si="20"/>
        <v>10.280000000000001</v>
      </c>
      <c r="N94" s="218">
        <v>0.33</v>
      </c>
      <c r="O94" s="219">
        <v>0.1</v>
      </c>
      <c r="P94" s="220">
        <v>0.2</v>
      </c>
      <c r="Q94" s="323">
        <f t="shared" si="21"/>
        <v>42</v>
      </c>
      <c r="R94" s="214">
        <f t="shared" si="22"/>
        <v>101.76</v>
      </c>
      <c r="S94" s="215">
        <f t="shared" si="23"/>
        <v>21.6</v>
      </c>
      <c r="T94" s="216">
        <f t="shared" si="24"/>
        <v>3.24</v>
      </c>
      <c r="U94" s="221">
        <f t="shared" si="25"/>
        <v>123.36000000000001</v>
      </c>
      <c r="V94" s="218">
        <f t="shared" si="26"/>
        <v>3.96</v>
      </c>
      <c r="W94" s="219">
        <f t="shared" si="27"/>
        <v>1.2000000000000002</v>
      </c>
      <c r="X94" s="220">
        <f t="shared" si="28"/>
        <v>2.4000000000000004</v>
      </c>
      <c r="Y94" s="14"/>
    </row>
    <row r="95" spans="1:25">
      <c r="A95" s="112"/>
      <c r="B95" s="48"/>
      <c r="C95" s="20" t="s">
        <v>473</v>
      </c>
      <c r="D95" s="20" t="s">
        <v>474</v>
      </c>
      <c r="E95" s="28">
        <v>12</v>
      </c>
      <c r="F95" s="28" t="s">
        <v>752</v>
      </c>
      <c r="G95" s="119">
        <v>39</v>
      </c>
      <c r="H95" s="122">
        <f t="shared" si="11"/>
        <v>468</v>
      </c>
      <c r="I95" s="323">
        <v>3.5</v>
      </c>
      <c r="J95" s="214">
        <v>5.74</v>
      </c>
      <c r="K95" s="215">
        <v>1.8</v>
      </c>
      <c r="L95" s="216">
        <v>0.27</v>
      </c>
      <c r="M95" s="221">
        <f t="shared" si="20"/>
        <v>7.54</v>
      </c>
      <c r="N95" s="218">
        <v>0.33</v>
      </c>
      <c r="O95" s="219">
        <v>0.1</v>
      </c>
      <c r="P95" s="220">
        <v>0.2</v>
      </c>
      <c r="Q95" s="323">
        <f t="shared" si="21"/>
        <v>42</v>
      </c>
      <c r="R95" s="214">
        <f t="shared" si="22"/>
        <v>68.88</v>
      </c>
      <c r="S95" s="215">
        <f t="shared" si="23"/>
        <v>21.6</v>
      </c>
      <c r="T95" s="216">
        <f t="shared" si="24"/>
        <v>3.24</v>
      </c>
      <c r="U95" s="221">
        <f t="shared" si="25"/>
        <v>90.48</v>
      </c>
      <c r="V95" s="218">
        <f t="shared" si="26"/>
        <v>3.96</v>
      </c>
      <c r="W95" s="219">
        <f t="shared" si="27"/>
        <v>1.2000000000000002</v>
      </c>
      <c r="X95" s="220">
        <f t="shared" si="28"/>
        <v>2.4000000000000004</v>
      </c>
      <c r="Y95" s="14"/>
    </row>
    <row r="96" spans="1:25">
      <c r="A96" s="112"/>
      <c r="B96" s="48"/>
      <c r="C96" s="20" t="s">
        <v>473</v>
      </c>
      <c r="D96" s="20" t="s">
        <v>474</v>
      </c>
      <c r="E96" s="28">
        <v>12</v>
      </c>
      <c r="F96" s="28" t="s">
        <v>753</v>
      </c>
      <c r="G96" s="119">
        <v>37</v>
      </c>
      <c r="H96" s="122">
        <f t="shared" si="11"/>
        <v>444</v>
      </c>
      <c r="I96" s="323">
        <v>3.5</v>
      </c>
      <c r="J96" s="214">
        <v>8.48</v>
      </c>
      <c r="K96" s="215">
        <v>1.8</v>
      </c>
      <c r="L96" s="216">
        <v>0.27</v>
      </c>
      <c r="M96" s="221">
        <f t="shared" si="20"/>
        <v>10.280000000000001</v>
      </c>
      <c r="N96" s="218">
        <v>0.33</v>
      </c>
      <c r="O96" s="219">
        <v>0.1</v>
      </c>
      <c r="P96" s="220">
        <v>0.2</v>
      </c>
      <c r="Q96" s="323">
        <f t="shared" si="21"/>
        <v>42</v>
      </c>
      <c r="R96" s="214">
        <f t="shared" si="22"/>
        <v>101.76</v>
      </c>
      <c r="S96" s="215">
        <f t="shared" si="23"/>
        <v>21.6</v>
      </c>
      <c r="T96" s="216">
        <f t="shared" si="24"/>
        <v>3.24</v>
      </c>
      <c r="U96" s="221">
        <f t="shared" si="25"/>
        <v>123.36000000000001</v>
      </c>
      <c r="V96" s="218">
        <f t="shared" si="26"/>
        <v>3.96</v>
      </c>
      <c r="W96" s="219">
        <f t="shared" si="27"/>
        <v>1.2000000000000002</v>
      </c>
      <c r="X96" s="220">
        <f t="shared" si="28"/>
        <v>2.4000000000000004</v>
      </c>
      <c r="Y96" s="14"/>
    </row>
    <row r="97" spans="1:25">
      <c r="A97" s="112"/>
      <c r="B97" s="48"/>
      <c r="C97" s="20" t="s">
        <v>473</v>
      </c>
      <c r="D97" s="20" t="s">
        <v>474</v>
      </c>
      <c r="E97" s="28">
        <v>12</v>
      </c>
      <c r="F97" s="28" t="s">
        <v>754</v>
      </c>
      <c r="G97" s="119">
        <v>39</v>
      </c>
      <c r="H97" s="122">
        <f t="shared" si="11"/>
        <v>468</v>
      </c>
      <c r="I97" s="323">
        <v>3.5</v>
      </c>
      <c r="J97" s="214">
        <v>5.79</v>
      </c>
      <c r="K97" s="215">
        <v>1.8</v>
      </c>
      <c r="L97" s="216">
        <v>0.27</v>
      </c>
      <c r="M97" s="221">
        <f t="shared" si="20"/>
        <v>7.59</v>
      </c>
      <c r="N97" s="218">
        <v>0.33</v>
      </c>
      <c r="O97" s="219">
        <v>0.1</v>
      </c>
      <c r="P97" s="220">
        <v>0.2</v>
      </c>
      <c r="Q97" s="323">
        <f t="shared" si="21"/>
        <v>42</v>
      </c>
      <c r="R97" s="214">
        <f t="shared" si="22"/>
        <v>69.48</v>
      </c>
      <c r="S97" s="215">
        <f t="shared" si="23"/>
        <v>21.6</v>
      </c>
      <c r="T97" s="216">
        <f t="shared" si="24"/>
        <v>3.24</v>
      </c>
      <c r="U97" s="221">
        <f t="shared" si="25"/>
        <v>91.08</v>
      </c>
      <c r="V97" s="218">
        <f t="shared" si="26"/>
        <v>3.96</v>
      </c>
      <c r="W97" s="219">
        <f t="shared" si="27"/>
        <v>1.2000000000000002</v>
      </c>
      <c r="X97" s="220">
        <f t="shared" si="28"/>
        <v>2.4000000000000004</v>
      </c>
      <c r="Y97" s="14"/>
    </row>
    <row r="98" spans="1:25">
      <c r="A98" s="112"/>
      <c r="B98" s="48"/>
      <c r="C98" s="20" t="s">
        <v>473</v>
      </c>
      <c r="D98" s="20" t="s">
        <v>474</v>
      </c>
      <c r="E98" s="28">
        <v>24</v>
      </c>
      <c r="F98" s="28" t="s">
        <v>755</v>
      </c>
      <c r="G98" s="119">
        <v>14.5</v>
      </c>
      <c r="H98" s="122">
        <f t="shared" si="11"/>
        <v>348</v>
      </c>
      <c r="I98" s="323">
        <v>1</v>
      </c>
      <c r="J98" s="214">
        <v>3.03</v>
      </c>
      <c r="K98" s="215">
        <v>1.2</v>
      </c>
      <c r="L98" s="216">
        <v>0.18</v>
      </c>
      <c r="M98" s="221">
        <f t="shared" si="20"/>
        <v>4.2299999999999995</v>
      </c>
      <c r="N98" s="218">
        <v>0.28999999999999998</v>
      </c>
      <c r="O98" s="219">
        <v>0.1</v>
      </c>
      <c r="P98" s="220">
        <v>0.1</v>
      </c>
      <c r="Q98" s="323">
        <f t="shared" si="21"/>
        <v>24</v>
      </c>
      <c r="R98" s="214">
        <f t="shared" si="22"/>
        <v>72.72</v>
      </c>
      <c r="S98" s="215">
        <f t="shared" si="23"/>
        <v>28.799999999999997</v>
      </c>
      <c r="T98" s="216">
        <f t="shared" si="24"/>
        <v>4.32</v>
      </c>
      <c r="U98" s="221">
        <f t="shared" si="25"/>
        <v>101.51999999999998</v>
      </c>
      <c r="V98" s="218">
        <f t="shared" si="26"/>
        <v>6.9599999999999991</v>
      </c>
      <c r="W98" s="219">
        <f t="shared" si="27"/>
        <v>2.4000000000000004</v>
      </c>
      <c r="X98" s="220">
        <f t="shared" si="28"/>
        <v>2.4000000000000004</v>
      </c>
      <c r="Y98" s="14"/>
    </row>
    <row r="99" spans="1:25">
      <c r="A99" s="112"/>
      <c r="B99" s="48"/>
      <c r="C99" s="20" t="s">
        <v>473</v>
      </c>
      <c r="D99" s="20" t="s">
        <v>474</v>
      </c>
      <c r="E99" s="28">
        <v>24</v>
      </c>
      <c r="F99" s="28" t="s">
        <v>756</v>
      </c>
      <c r="G99" s="119">
        <v>14.5</v>
      </c>
      <c r="H99" s="122">
        <f t="shared" si="11"/>
        <v>348</v>
      </c>
      <c r="I99" s="323">
        <v>1</v>
      </c>
      <c r="J99" s="214">
        <v>3.03</v>
      </c>
      <c r="K99" s="215">
        <v>1.2</v>
      </c>
      <c r="L99" s="216">
        <v>0.18</v>
      </c>
      <c r="M99" s="221">
        <f t="shared" si="20"/>
        <v>4.2299999999999995</v>
      </c>
      <c r="N99" s="218">
        <v>0.28999999999999998</v>
      </c>
      <c r="O99" s="219">
        <v>0.1</v>
      </c>
      <c r="P99" s="220">
        <v>0.1</v>
      </c>
      <c r="Q99" s="323">
        <f t="shared" si="21"/>
        <v>24</v>
      </c>
      <c r="R99" s="214">
        <f t="shared" si="22"/>
        <v>72.72</v>
      </c>
      <c r="S99" s="215">
        <f t="shared" si="23"/>
        <v>28.799999999999997</v>
      </c>
      <c r="T99" s="216">
        <f t="shared" si="24"/>
        <v>4.32</v>
      </c>
      <c r="U99" s="221">
        <f t="shared" si="25"/>
        <v>101.51999999999998</v>
      </c>
      <c r="V99" s="218">
        <f t="shared" si="26"/>
        <v>6.9599999999999991</v>
      </c>
      <c r="W99" s="219">
        <f t="shared" si="27"/>
        <v>2.4000000000000004</v>
      </c>
      <c r="X99" s="220">
        <f t="shared" si="28"/>
        <v>2.4000000000000004</v>
      </c>
      <c r="Y99" s="14"/>
    </row>
    <row r="100" spans="1:25" ht="13.5">
      <c r="A100" s="112">
        <v>40466</v>
      </c>
      <c r="B100" s="48">
        <v>720</v>
      </c>
      <c r="C100" s="20" t="s">
        <v>757</v>
      </c>
      <c r="D100" s="20" t="s">
        <v>198</v>
      </c>
      <c r="E100" s="28">
        <v>10</v>
      </c>
      <c r="F100" s="28" t="s">
        <v>758</v>
      </c>
      <c r="G100" s="119">
        <v>40</v>
      </c>
      <c r="H100" s="122">
        <f t="shared" si="11"/>
        <v>400</v>
      </c>
      <c r="I100" s="323">
        <v>3.5</v>
      </c>
      <c r="J100" s="222">
        <v>18.3</v>
      </c>
      <c r="K100" s="215">
        <v>1.6</v>
      </c>
      <c r="L100" s="216">
        <v>0.24</v>
      </c>
      <c r="M100" s="221">
        <f t="shared" si="20"/>
        <v>19.900000000000002</v>
      </c>
      <c r="N100" s="218">
        <v>0.33</v>
      </c>
      <c r="O100" s="219">
        <v>0.1</v>
      </c>
      <c r="P100" s="220">
        <v>0.2</v>
      </c>
      <c r="Q100" s="323">
        <f t="shared" si="21"/>
        <v>35</v>
      </c>
      <c r="R100" s="214">
        <f t="shared" si="22"/>
        <v>183</v>
      </c>
      <c r="S100" s="215">
        <f t="shared" si="23"/>
        <v>16</v>
      </c>
      <c r="T100" s="216">
        <f t="shared" si="24"/>
        <v>2.4</v>
      </c>
      <c r="U100" s="221">
        <f t="shared" si="25"/>
        <v>199.00000000000003</v>
      </c>
      <c r="V100" s="218">
        <f t="shared" si="26"/>
        <v>3.3000000000000003</v>
      </c>
      <c r="W100" s="219">
        <f t="shared" si="27"/>
        <v>1</v>
      </c>
      <c r="X100" s="220">
        <f t="shared" si="28"/>
        <v>2</v>
      </c>
      <c r="Y100" s="14"/>
    </row>
    <row r="101" spans="1:25" ht="13.5">
      <c r="A101" s="112"/>
      <c r="B101" s="48"/>
      <c r="C101" s="20" t="s">
        <v>757</v>
      </c>
      <c r="D101" s="20" t="s">
        <v>198</v>
      </c>
      <c r="E101" s="28">
        <v>15</v>
      </c>
      <c r="F101" s="28" t="s">
        <v>759</v>
      </c>
      <c r="G101" s="119">
        <v>40</v>
      </c>
      <c r="H101" s="122">
        <f t="shared" si="11"/>
        <v>600</v>
      </c>
      <c r="I101" s="323">
        <v>3.5</v>
      </c>
      <c r="J101" s="222">
        <v>10.050000000000001</v>
      </c>
      <c r="K101" s="215">
        <v>1.6</v>
      </c>
      <c r="L101" s="216">
        <v>0.24</v>
      </c>
      <c r="M101" s="221">
        <f t="shared" si="20"/>
        <v>11.65</v>
      </c>
      <c r="N101" s="218">
        <v>0.33</v>
      </c>
      <c r="O101" s="219">
        <v>0.1</v>
      </c>
      <c r="P101" s="220">
        <v>0.2</v>
      </c>
      <c r="Q101" s="323">
        <f t="shared" si="21"/>
        <v>52.5</v>
      </c>
      <c r="R101" s="214">
        <f t="shared" si="22"/>
        <v>150.75</v>
      </c>
      <c r="S101" s="215">
        <f t="shared" si="23"/>
        <v>24</v>
      </c>
      <c r="T101" s="216">
        <f t="shared" si="24"/>
        <v>3.5999999999999996</v>
      </c>
      <c r="U101" s="221">
        <f t="shared" si="25"/>
        <v>174.75</v>
      </c>
      <c r="V101" s="218">
        <f t="shared" si="26"/>
        <v>4.95</v>
      </c>
      <c r="W101" s="219">
        <f t="shared" si="27"/>
        <v>1.5</v>
      </c>
      <c r="X101" s="220">
        <f t="shared" si="28"/>
        <v>3</v>
      </c>
      <c r="Y101" s="14"/>
    </row>
    <row r="102" spans="1:25">
      <c r="A102" s="112">
        <v>40466</v>
      </c>
      <c r="B102" s="48">
        <v>721</v>
      </c>
      <c r="C102" s="20" t="s">
        <v>433</v>
      </c>
      <c r="D102" s="20" t="s">
        <v>42</v>
      </c>
      <c r="E102" s="28">
        <v>93</v>
      </c>
      <c r="F102" s="28" t="s">
        <v>760</v>
      </c>
      <c r="G102" s="119">
        <v>45</v>
      </c>
      <c r="H102" s="122">
        <f t="shared" si="11"/>
        <v>4185</v>
      </c>
      <c r="I102" s="323">
        <v>1.5</v>
      </c>
      <c r="J102" s="214">
        <v>1.72</v>
      </c>
      <c r="K102" s="215">
        <v>0</v>
      </c>
      <c r="L102" s="216">
        <v>0</v>
      </c>
      <c r="M102" s="221">
        <f t="shared" si="20"/>
        <v>1.72</v>
      </c>
      <c r="N102" s="218">
        <v>0.1</v>
      </c>
      <c r="O102" s="219">
        <v>0.1</v>
      </c>
      <c r="P102" s="220">
        <v>0.3</v>
      </c>
      <c r="Q102" s="323">
        <f t="shared" si="21"/>
        <v>139.5</v>
      </c>
      <c r="R102" s="214">
        <f t="shared" si="22"/>
        <v>159.96</v>
      </c>
      <c r="S102" s="215">
        <f t="shared" si="23"/>
        <v>0</v>
      </c>
      <c r="T102" s="216">
        <f t="shared" si="24"/>
        <v>0</v>
      </c>
      <c r="U102" s="221">
        <f t="shared" si="25"/>
        <v>159.96</v>
      </c>
      <c r="V102" s="218">
        <f t="shared" si="26"/>
        <v>9.3000000000000007</v>
      </c>
      <c r="W102" s="219">
        <f t="shared" si="27"/>
        <v>9.3000000000000007</v>
      </c>
      <c r="X102" s="220">
        <f t="shared" si="28"/>
        <v>27.9</v>
      </c>
      <c r="Y102" s="14"/>
    </row>
    <row r="103" spans="1:25" ht="13.5">
      <c r="A103" s="112">
        <v>40470</v>
      </c>
      <c r="B103" s="48">
        <v>722</v>
      </c>
      <c r="C103" s="20" t="s">
        <v>761</v>
      </c>
      <c r="D103" s="20" t="s">
        <v>660</v>
      </c>
      <c r="E103" s="28">
        <v>8</v>
      </c>
      <c r="F103" s="28" t="s">
        <v>762</v>
      </c>
      <c r="G103" s="119">
        <v>46</v>
      </c>
      <c r="H103" s="122">
        <f t="shared" si="11"/>
        <v>368</v>
      </c>
      <c r="I103" s="323">
        <v>3.5</v>
      </c>
      <c r="J103" s="222">
        <v>11.75</v>
      </c>
      <c r="K103" s="215">
        <v>5</v>
      </c>
      <c r="L103" s="216">
        <v>0.75</v>
      </c>
      <c r="M103" s="221">
        <f t="shared" si="20"/>
        <v>16.75</v>
      </c>
      <c r="N103" s="218">
        <v>0.33</v>
      </c>
      <c r="O103" s="219">
        <v>0.1</v>
      </c>
      <c r="P103" s="220">
        <v>0.1</v>
      </c>
      <c r="Q103" s="323">
        <f t="shared" si="21"/>
        <v>28</v>
      </c>
      <c r="R103" s="214">
        <f t="shared" si="22"/>
        <v>94</v>
      </c>
      <c r="S103" s="215">
        <f t="shared" si="23"/>
        <v>40</v>
      </c>
      <c r="T103" s="216">
        <f t="shared" si="24"/>
        <v>6</v>
      </c>
      <c r="U103" s="221">
        <f t="shared" si="25"/>
        <v>134</v>
      </c>
      <c r="V103" s="218">
        <f t="shared" si="26"/>
        <v>2.64</v>
      </c>
      <c r="W103" s="219">
        <f t="shared" si="27"/>
        <v>0.8</v>
      </c>
      <c r="X103" s="220">
        <f t="shared" si="28"/>
        <v>0.8</v>
      </c>
      <c r="Y103" s="14"/>
    </row>
    <row r="104" spans="1:25">
      <c r="A104" s="112"/>
      <c r="B104" s="48"/>
      <c r="C104" s="20" t="s">
        <v>761</v>
      </c>
      <c r="D104" s="20" t="s">
        <v>660</v>
      </c>
      <c r="E104" s="28">
        <v>4</v>
      </c>
      <c r="F104" s="28" t="s">
        <v>763</v>
      </c>
      <c r="G104" s="119">
        <v>46</v>
      </c>
      <c r="H104" s="122">
        <f t="shared" si="11"/>
        <v>184</v>
      </c>
      <c r="I104" s="323">
        <v>3.5</v>
      </c>
      <c r="J104" s="214">
        <v>9.07</v>
      </c>
      <c r="K104" s="215">
        <v>4.8</v>
      </c>
      <c r="L104" s="216">
        <v>0.72</v>
      </c>
      <c r="M104" s="221">
        <f t="shared" si="20"/>
        <v>13.870000000000001</v>
      </c>
      <c r="N104" s="218">
        <v>0.33</v>
      </c>
      <c r="O104" s="219">
        <v>0.1</v>
      </c>
      <c r="P104" s="220">
        <v>0.1</v>
      </c>
      <c r="Q104" s="323">
        <f t="shared" si="21"/>
        <v>14</v>
      </c>
      <c r="R104" s="214">
        <f t="shared" si="22"/>
        <v>36.28</v>
      </c>
      <c r="S104" s="215">
        <f t="shared" si="23"/>
        <v>19.2</v>
      </c>
      <c r="T104" s="216">
        <f t="shared" si="24"/>
        <v>2.88</v>
      </c>
      <c r="U104" s="221">
        <f t="shared" si="25"/>
        <v>55.480000000000004</v>
      </c>
      <c r="V104" s="218">
        <f t="shared" si="26"/>
        <v>1.32</v>
      </c>
      <c r="W104" s="219">
        <f t="shared" si="27"/>
        <v>0.4</v>
      </c>
      <c r="X104" s="220">
        <f t="shared" si="28"/>
        <v>0.4</v>
      </c>
      <c r="Y104" s="14"/>
    </row>
    <row r="105" spans="1:25">
      <c r="A105" s="112"/>
      <c r="B105" s="48"/>
      <c r="C105" s="20" t="s">
        <v>761</v>
      </c>
      <c r="D105" s="20" t="s">
        <v>660</v>
      </c>
      <c r="E105" s="28">
        <v>8</v>
      </c>
      <c r="F105" s="28" t="s">
        <v>764</v>
      </c>
      <c r="G105" s="119">
        <v>50</v>
      </c>
      <c r="H105" s="122">
        <f t="shared" si="11"/>
        <v>400</v>
      </c>
      <c r="I105" s="323">
        <v>3.5</v>
      </c>
      <c r="J105" s="214">
        <v>5.32</v>
      </c>
      <c r="K105" s="215">
        <v>4.8</v>
      </c>
      <c r="L105" s="216">
        <v>0.72</v>
      </c>
      <c r="M105" s="221">
        <f t="shared" si="20"/>
        <v>10.120000000000001</v>
      </c>
      <c r="N105" s="218">
        <v>0.33</v>
      </c>
      <c r="O105" s="219">
        <v>0.1</v>
      </c>
      <c r="P105" s="220">
        <v>0.1</v>
      </c>
      <c r="Q105" s="323">
        <f t="shared" si="21"/>
        <v>28</v>
      </c>
      <c r="R105" s="214">
        <f t="shared" si="22"/>
        <v>42.56</v>
      </c>
      <c r="S105" s="215">
        <f t="shared" si="23"/>
        <v>38.4</v>
      </c>
      <c r="T105" s="216">
        <f t="shared" si="24"/>
        <v>5.76</v>
      </c>
      <c r="U105" s="221">
        <f t="shared" si="25"/>
        <v>80.960000000000008</v>
      </c>
      <c r="V105" s="218">
        <f t="shared" si="26"/>
        <v>2.64</v>
      </c>
      <c r="W105" s="219">
        <f t="shared" si="27"/>
        <v>0.8</v>
      </c>
      <c r="X105" s="220">
        <f t="shared" si="28"/>
        <v>0.8</v>
      </c>
      <c r="Y105" s="14"/>
    </row>
    <row r="106" spans="1:25">
      <c r="A106" s="112">
        <v>40470</v>
      </c>
      <c r="B106" s="48">
        <v>723</v>
      </c>
      <c r="C106" s="20" t="s">
        <v>765</v>
      </c>
      <c r="D106" s="20" t="s">
        <v>765</v>
      </c>
      <c r="E106" s="28">
        <v>12</v>
      </c>
      <c r="F106" s="28" t="s">
        <v>766</v>
      </c>
      <c r="G106" s="119">
        <v>50.5</v>
      </c>
      <c r="H106" s="122">
        <f t="shared" si="11"/>
        <v>606</v>
      </c>
      <c r="I106" s="323">
        <v>5.5</v>
      </c>
      <c r="J106" s="214">
        <v>8.5299999999999994</v>
      </c>
      <c r="K106" s="215">
        <v>9.5</v>
      </c>
      <c r="L106" s="216">
        <v>1.43</v>
      </c>
      <c r="M106" s="221">
        <f t="shared" si="20"/>
        <v>18.03</v>
      </c>
      <c r="N106" s="218">
        <v>0.67</v>
      </c>
      <c r="O106" s="219">
        <v>0.1</v>
      </c>
      <c r="P106" s="220">
        <v>0.25</v>
      </c>
      <c r="Q106" s="323">
        <f t="shared" si="21"/>
        <v>66</v>
      </c>
      <c r="R106" s="214">
        <f t="shared" si="22"/>
        <v>102.35999999999999</v>
      </c>
      <c r="S106" s="215">
        <f t="shared" si="23"/>
        <v>114</v>
      </c>
      <c r="T106" s="216">
        <f t="shared" si="24"/>
        <v>17.16</v>
      </c>
      <c r="U106" s="221">
        <f t="shared" si="25"/>
        <v>216.36</v>
      </c>
      <c r="V106" s="218">
        <f t="shared" si="26"/>
        <v>8.0400000000000009</v>
      </c>
      <c r="W106" s="219">
        <f t="shared" si="27"/>
        <v>1.2000000000000002</v>
      </c>
      <c r="X106" s="220">
        <f t="shared" si="28"/>
        <v>3</v>
      </c>
      <c r="Y106" s="14"/>
    </row>
    <row r="107" spans="1:25">
      <c r="A107" s="112"/>
      <c r="B107" s="48"/>
      <c r="C107" s="20" t="s">
        <v>765</v>
      </c>
      <c r="D107" s="20" t="s">
        <v>765</v>
      </c>
      <c r="E107" s="28">
        <v>15</v>
      </c>
      <c r="F107" s="28" t="s">
        <v>767</v>
      </c>
      <c r="G107" s="119">
        <v>41</v>
      </c>
      <c r="H107" s="122">
        <f t="shared" si="11"/>
        <v>615</v>
      </c>
      <c r="I107" s="323">
        <v>3.5</v>
      </c>
      <c r="J107" s="214">
        <v>4.59</v>
      </c>
      <c r="K107" s="215">
        <v>4</v>
      </c>
      <c r="L107" s="216">
        <v>0.6</v>
      </c>
      <c r="M107" s="221">
        <f t="shared" si="20"/>
        <v>8.59</v>
      </c>
      <c r="N107" s="218">
        <v>0.33</v>
      </c>
      <c r="O107" s="219">
        <v>0.1</v>
      </c>
      <c r="P107" s="220">
        <v>0.2</v>
      </c>
      <c r="Q107" s="323">
        <f t="shared" si="21"/>
        <v>52.5</v>
      </c>
      <c r="R107" s="214">
        <f t="shared" si="22"/>
        <v>68.849999999999994</v>
      </c>
      <c r="S107" s="215">
        <f t="shared" si="23"/>
        <v>60</v>
      </c>
      <c r="T107" s="216">
        <f t="shared" si="24"/>
        <v>9</v>
      </c>
      <c r="U107" s="221">
        <f t="shared" si="25"/>
        <v>128.85</v>
      </c>
      <c r="V107" s="218">
        <f t="shared" si="26"/>
        <v>4.95</v>
      </c>
      <c r="W107" s="219">
        <f t="shared" si="27"/>
        <v>1.5</v>
      </c>
      <c r="X107" s="220">
        <f t="shared" si="28"/>
        <v>3</v>
      </c>
      <c r="Y107" s="14"/>
    </row>
    <row r="108" spans="1:25">
      <c r="A108" s="112"/>
      <c r="B108" s="48"/>
      <c r="C108" s="20" t="s">
        <v>765</v>
      </c>
      <c r="D108" s="20" t="s">
        <v>765</v>
      </c>
      <c r="E108" s="28">
        <v>12</v>
      </c>
      <c r="F108" s="28" t="s">
        <v>768</v>
      </c>
      <c r="G108" s="119">
        <v>13.5</v>
      </c>
      <c r="H108" s="122">
        <f t="shared" si="11"/>
        <v>162</v>
      </c>
      <c r="I108" s="323">
        <v>1</v>
      </c>
      <c r="J108" s="214">
        <v>1.59</v>
      </c>
      <c r="K108" s="215">
        <v>2.25</v>
      </c>
      <c r="L108" s="216">
        <v>0.34</v>
      </c>
      <c r="M108" s="221">
        <f t="shared" si="20"/>
        <v>3.84</v>
      </c>
      <c r="N108" s="218">
        <v>0.28999999999999998</v>
      </c>
      <c r="O108" s="219">
        <v>0.1</v>
      </c>
      <c r="P108" s="220">
        <v>0.1</v>
      </c>
      <c r="Q108" s="323">
        <f t="shared" si="21"/>
        <v>12</v>
      </c>
      <c r="R108" s="214">
        <f t="shared" si="22"/>
        <v>19.080000000000002</v>
      </c>
      <c r="S108" s="215">
        <f t="shared" si="23"/>
        <v>27</v>
      </c>
      <c r="T108" s="216">
        <f t="shared" si="24"/>
        <v>4.08</v>
      </c>
      <c r="U108" s="221">
        <f t="shared" si="25"/>
        <v>46.08</v>
      </c>
      <c r="V108" s="218">
        <f t="shared" si="26"/>
        <v>3.4799999999999995</v>
      </c>
      <c r="W108" s="219">
        <f t="shared" si="27"/>
        <v>1.2000000000000002</v>
      </c>
      <c r="X108" s="220">
        <f t="shared" si="28"/>
        <v>1.2000000000000002</v>
      </c>
      <c r="Y108" s="14"/>
    </row>
    <row r="109" spans="1:25" ht="13.5">
      <c r="A109" s="112"/>
      <c r="B109" s="48"/>
      <c r="C109" s="20" t="s">
        <v>765</v>
      </c>
      <c r="D109" s="20" t="s">
        <v>765</v>
      </c>
      <c r="E109" s="28">
        <v>4</v>
      </c>
      <c r="F109" s="28" t="s">
        <v>769</v>
      </c>
      <c r="G109" s="119">
        <v>34</v>
      </c>
      <c r="H109" s="122">
        <f t="shared" si="11"/>
        <v>136</v>
      </c>
      <c r="I109" s="323">
        <v>3.5</v>
      </c>
      <c r="J109" s="222">
        <v>11.77</v>
      </c>
      <c r="K109" s="215">
        <v>2.5</v>
      </c>
      <c r="L109" s="216">
        <v>0.38</v>
      </c>
      <c r="M109" s="221">
        <f t="shared" si="20"/>
        <v>14.27</v>
      </c>
      <c r="N109" s="218">
        <v>0.33</v>
      </c>
      <c r="O109" s="219">
        <v>0.1</v>
      </c>
      <c r="P109" s="220">
        <v>0.2</v>
      </c>
      <c r="Q109" s="323">
        <f t="shared" si="21"/>
        <v>14</v>
      </c>
      <c r="R109" s="214">
        <f t="shared" si="22"/>
        <v>47.08</v>
      </c>
      <c r="S109" s="215">
        <f t="shared" si="23"/>
        <v>10</v>
      </c>
      <c r="T109" s="216">
        <f t="shared" si="24"/>
        <v>1.52</v>
      </c>
      <c r="U109" s="221">
        <f t="shared" si="25"/>
        <v>57.08</v>
      </c>
      <c r="V109" s="218">
        <f t="shared" si="26"/>
        <v>1.32</v>
      </c>
      <c r="W109" s="219">
        <f t="shared" si="27"/>
        <v>0.4</v>
      </c>
      <c r="X109" s="220">
        <f t="shared" si="28"/>
        <v>0.8</v>
      </c>
      <c r="Y109" s="14"/>
    </row>
    <row r="110" spans="1:25">
      <c r="A110" s="112">
        <v>40471</v>
      </c>
      <c r="B110" s="48">
        <v>724</v>
      </c>
      <c r="C110" s="20"/>
      <c r="D110" s="20"/>
      <c r="E110" s="28"/>
      <c r="F110" s="28" t="s">
        <v>651</v>
      </c>
      <c r="G110" s="119">
        <v>0</v>
      </c>
      <c r="H110" s="122">
        <f t="shared" si="11"/>
        <v>0</v>
      </c>
      <c r="I110" s="323">
        <v>0</v>
      </c>
      <c r="J110" s="214">
        <v>0</v>
      </c>
      <c r="K110" s="215">
        <v>0</v>
      </c>
      <c r="L110" s="216">
        <v>0</v>
      </c>
      <c r="M110" s="221">
        <f t="shared" si="20"/>
        <v>0</v>
      </c>
      <c r="N110" s="218">
        <v>0</v>
      </c>
      <c r="O110" s="219">
        <v>0</v>
      </c>
      <c r="P110" s="220">
        <v>0</v>
      </c>
      <c r="Q110" s="323">
        <f t="shared" si="21"/>
        <v>0</v>
      </c>
      <c r="R110" s="214">
        <f t="shared" si="22"/>
        <v>0</v>
      </c>
      <c r="S110" s="215">
        <f t="shared" si="23"/>
        <v>0</v>
      </c>
      <c r="T110" s="216">
        <f t="shared" si="24"/>
        <v>0</v>
      </c>
      <c r="U110" s="221">
        <f t="shared" si="25"/>
        <v>0</v>
      </c>
      <c r="V110" s="218">
        <f t="shared" si="26"/>
        <v>0</v>
      </c>
      <c r="W110" s="219">
        <f t="shared" si="27"/>
        <v>0</v>
      </c>
      <c r="X110" s="220">
        <f t="shared" si="28"/>
        <v>0</v>
      </c>
      <c r="Y110" s="14"/>
    </row>
    <row r="111" spans="1:25" ht="13.5">
      <c r="A111" s="112">
        <v>40472</v>
      </c>
      <c r="B111" s="48">
        <v>725</v>
      </c>
      <c r="C111" s="20" t="s">
        <v>308</v>
      </c>
      <c r="D111" s="20" t="s">
        <v>309</v>
      </c>
      <c r="E111" s="28">
        <v>30</v>
      </c>
      <c r="F111" s="28" t="s">
        <v>770</v>
      </c>
      <c r="G111" s="119">
        <v>37</v>
      </c>
      <c r="H111" s="122">
        <f t="shared" si="11"/>
        <v>1110</v>
      </c>
      <c r="I111" s="323">
        <v>3.5</v>
      </c>
      <c r="J111" s="222">
        <v>10.9</v>
      </c>
      <c r="K111" s="215">
        <v>1</v>
      </c>
      <c r="L111" s="216">
        <v>0.15</v>
      </c>
      <c r="M111" s="221">
        <f t="shared" si="20"/>
        <v>11.9</v>
      </c>
      <c r="N111" s="218">
        <v>0.33</v>
      </c>
      <c r="O111" s="219">
        <v>0.1</v>
      </c>
      <c r="P111" s="220">
        <v>0.2</v>
      </c>
      <c r="Q111" s="323">
        <f t="shared" si="21"/>
        <v>105</v>
      </c>
      <c r="R111" s="214">
        <f t="shared" si="22"/>
        <v>327</v>
      </c>
      <c r="S111" s="215">
        <f t="shared" si="23"/>
        <v>30</v>
      </c>
      <c r="T111" s="216">
        <f t="shared" si="24"/>
        <v>4.5</v>
      </c>
      <c r="U111" s="221">
        <f t="shared" si="25"/>
        <v>357</v>
      </c>
      <c r="V111" s="218">
        <f t="shared" si="26"/>
        <v>9.9</v>
      </c>
      <c r="W111" s="219">
        <f t="shared" si="27"/>
        <v>3</v>
      </c>
      <c r="X111" s="220">
        <f t="shared" si="28"/>
        <v>6</v>
      </c>
      <c r="Y111" s="14"/>
    </row>
    <row r="112" spans="1:25">
      <c r="A112" s="112"/>
      <c r="B112" s="48"/>
      <c r="C112" s="20" t="s">
        <v>308</v>
      </c>
      <c r="D112" s="20" t="s">
        <v>309</v>
      </c>
      <c r="E112" s="28">
        <v>100</v>
      </c>
      <c r="F112" s="28" t="s">
        <v>771</v>
      </c>
      <c r="G112" s="119">
        <v>37</v>
      </c>
      <c r="H112" s="122">
        <f t="shared" si="11"/>
        <v>3700</v>
      </c>
      <c r="I112" s="323">
        <v>3.5</v>
      </c>
      <c r="J112" s="214">
        <v>7.44</v>
      </c>
      <c r="K112" s="215">
        <v>1</v>
      </c>
      <c r="L112" s="216">
        <v>0.15</v>
      </c>
      <c r="M112" s="221">
        <f t="shared" si="20"/>
        <v>8.4400000000000013</v>
      </c>
      <c r="N112" s="218">
        <v>0.33</v>
      </c>
      <c r="O112" s="219">
        <v>0.1</v>
      </c>
      <c r="P112" s="220">
        <v>0.2</v>
      </c>
      <c r="Q112" s="323">
        <f t="shared" si="21"/>
        <v>350</v>
      </c>
      <c r="R112" s="214">
        <f t="shared" si="22"/>
        <v>744</v>
      </c>
      <c r="S112" s="215">
        <f t="shared" si="23"/>
        <v>100</v>
      </c>
      <c r="T112" s="216">
        <f t="shared" si="24"/>
        <v>15</v>
      </c>
      <c r="U112" s="221">
        <f t="shared" si="25"/>
        <v>844.00000000000011</v>
      </c>
      <c r="V112" s="218">
        <f t="shared" si="26"/>
        <v>33</v>
      </c>
      <c r="W112" s="219">
        <f t="shared" si="27"/>
        <v>10</v>
      </c>
      <c r="X112" s="220">
        <f t="shared" si="28"/>
        <v>20</v>
      </c>
      <c r="Y112" s="14"/>
    </row>
    <row r="113" spans="1:25" ht="13.5">
      <c r="A113" s="112">
        <v>40472</v>
      </c>
      <c r="B113" s="48">
        <v>726</v>
      </c>
      <c r="C113" s="20" t="s">
        <v>21</v>
      </c>
      <c r="D113" s="20" t="s">
        <v>42</v>
      </c>
      <c r="E113" s="28">
        <v>13</v>
      </c>
      <c r="F113" s="28" t="s">
        <v>772</v>
      </c>
      <c r="G113" s="119">
        <v>112</v>
      </c>
      <c r="H113" s="122">
        <f t="shared" si="11"/>
        <v>1456</v>
      </c>
      <c r="I113" s="323">
        <v>10</v>
      </c>
      <c r="J113" s="222">
        <v>41.19</v>
      </c>
      <c r="K113" s="215">
        <v>0</v>
      </c>
      <c r="L113" s="216">
        <v>0</v>
      </c>
      <c r="M113" s="221">
        <f t="shared" si="20"/>
        <v>41.19</v>
      </c>
      <c r="N113" s="218">
        <v>2.5</v>
      </c>
      <c r="O113" s="219">
        <v>0.1</v>
      </c>
      <c r="P113" s="220">
        <v>0.5</v>
      </c>
      <c r="Q113" s="323">
        <f t="shared" si="21"/>
        <v>130</v>
      </c>
      <c r="R113" s="214">
        <f t="shared" si="22"/>
        <v>535.47</v>
      </c>
      <c r="S113" s="215">
        <f t="shared" si="23"/>
        <v>0</v>
      </c>
      <c r="T113" s="216">
        <f t="shared" si="24"/>
        <v>0</v>
      </c>
      <c r="U113" s="221">
        <f t="shared" si="25"/>
        <v>535.47</v>
      </c>
      <c r="V113" s="218">
        <f t="shared" si="26"/>
        <v>32.5</v>
      </c>
      <c r="W113" s="219">
        <f t="shared" si="27"/>
        <v>1.3</v>
      </c>
      <c r="X113" s="220">
        <f t="shared" si="28"/>
        <v>6.5</v>
      </c>
      <c r="Y113" s="14"/>
    </row>
    <row r="114" spans="1:25" ht="13.5">
      <c r="A114" s="112"/>
      <c r="B114" s="48"/>
      <c r="C114" s="20" t="s">
        <v>21</v>
      </c>
      <c r="D114" s="20" t="s">
        <v>42</v>
      </c>
      <c r="E114" s="28">
        <v>18</v>
      </c>
      <c r="F114" s="28" t="s">
        <v>773</v>
      </c>
      <c r="G114" s="119">
        <v>59.5</v>
      </c>
      <c r="H114" s="122">
        <f t="shared" si="11"/>
        <v>1071</v>
      </c>
      <c r="I114" s="323">
        <v>6.5</v>
      </c>
      <c r="J114" s="222">
        <v>26.3</v>
      </c>
      <c r="K114" s="215">
        <v>0</v>
      </c>
      <c r="L114" s="216">
        <v>0</v>
      </c>
      <c r="M114" s="221">
        <f t="shared" si="20"/>
        <v>26.3</v>
      </c>
      <c r="N114" s="218">
        <v>0.83</v>
      </c>
      <c r="O114" s="219">
        <v>0.1</v>
      </c>
      <c r="P114" s="220">
        <v>0.1</v>
      </c>
      <c r="Q114" s="323">
        <f t="shared" si="21"/>
        <v>117</v>
      </c>
      <c r="R114" s="214">
        <f t="shared" si="22"/>
        <v>473.40000000000003</v>
      </c>
      <c r="S114" s="215">
        <f t="shared" si="23"/>
        <v>0</v>
      </c>
      <c r="T114" s="216">
        <f t="shared" si="24"/>
        <v>0</v>
      </c>
      <c r="U114" s="221">
        <f t="shared" si="25"/>
        <v>473.40000000000003</v>
      </c>
      <c r="V114" s="218">
        <f t="shared" si="26"/>
        <v>14.94</v>
      </c>
      <c r="W114" s="219">
        <f t="shared" si="27"/>
        <v>1.8</v>
      </c>
      <c r="X114" s="220">
        <f t="shared" si="28"/>
        <v>1.8</v>
      </c>
      <c r="Y114" s="14"/>
    </row>
    <row r="115" spans="1:25">
      <c r="A115" s="112">
        <v>40472</v>
      </c>
      <c r="B115" s="48">
        <v>727</v>
      </c>
      <c r="C115" s="20" t="s">
        <v>112</v>
      </c>
      <c r="D115" s="20" t="s">
        <v>113</v>
      </c>
      <c r="E115" s="28">
        <v>20</v>
      </c>
      <c r="F115" s="28" t="s">
        <v>774</v>
      </c>
      <c r="G115" s="119">
        <v>12.5</v>
      </c>
      <c r="H115" s="122">
        <f t="shared" si="11"/>
        <v>250</v>
      </c>
      <c r="I115" s="323">
        <v>1</v>
      </c>
      <c r="J115" s="214">
        <v>1.82</v>
      </c>
      <c r="K115" s="215">
        <v>1.4</v>
      </c>
      <c r="L115" s="216">
        <v>0.21</v>
      </c>
      <c r="M115" s="221">
        <f t="shared" si="20"/>
        <v>3.2199999999999998</v>
      </c>
      <c r="N115" s="218">
        <v>0.28999999999999998</v>
      </c>
      <c r="O115" s="219">
        <v>0.1</v>
      </c>
      <c r="P115" s="220">
        <v>0.1</v>
      </c>
      <c r="Q115" s="323">
        <f t="shared" si="21"/>
        <v>20</v>
      </c>
      <c r="R115" s="214">
        <f t="shared" si="22"/>
        <v>36.4</v>
      </c>
      <c r="S115" s="215">
        <f t="shared" si="23"/>
        <v>28</v>
      </c>
      <c r="T115" s="216">
        <f t="shared" si="24"/>
        <v>4.2</v>
      </c>
      <c r="U115" s="221">
        <f t="shared" si="25"/>
        <v>64.399999999999991</v>
      </c>
      <c r="V115" s="218">
        <f t="shared" si="26"/>
        <v>5.8</v>
      </c>
      <c r="W115" s="219">
        <f t="shared" si="27"/>
        <v>2</v>
      </c>
      <c r="X115" s="220">
        <f t="shared" si="28"/>
        <v>2</v>
      </c>
      <c r="Y115" s="14"/>
    </row>
    <row r="116" spans="1:25">
      <c r="A116" s="112">
        <v>40472</v>
      </c>
      <c r="B116" s="48">
        <v>728</v>
      </c>
      <c r="C116" s="20" t="s">
        <v>21</v>
      </c>
      <c r="D116" s="20" t="s">
        <v>42</v>
      </c>
      <c r="E116" s="28">
        <v>4</v>
      </c>
      <c r="F116" s="28" t="s">
        <v>775</v>
      </c>
      <c r="G116" s="119">
        <v>14.86</v>
      </c>
      <c r="H116" s="122">
        <f t="shared" si="11"/>
        <v>59.44</v>
      </c>
      <c r="I116" s="323">
        <v>2</v>
      </c>
      <c r="J116" s="214">
        <v>0.23</v>
      </c>
      <c r="K116" s="215">
        <v>1.25</v>
      </c>
      <c r="L116" s="216">
        <v>0.19</v>
      </c>
      <c r="M116" s="221">
        <f t="shared" si="20"/>
        <v>1.48</v>
      </c>
      <c r="N116" s="218">
        <v>0</v>
      </c>
      <c r="O116" s="219">
        <v>0.1</v>
      </c>
      <c r="P116" s="220">
        <v>0.1</v>
      </c>
      <c r="Q116" s="323">
        <f t="shared" si="21"/>
        <v>8</v>
      </c>
      <c r="R116" s="214">
        <f t="shared" si="22"/>
        <v>0.92</v>
      </c>
      <c r="S116" s="215">
        <f t="shared" si="23"/>
        <v>5</v>
      </c>
      <c r="T116" s="216">
        <f t="shared" si="24"/>
        <v>0.76</v>
      </c>
      <c r="U116" s="221">
        <f t="shared" si="25"/>
        <v>5.92</v>
      </c>
      <c r="V116" s="218">
        <f t="shared" si="26"/>
        <v>0</v>
      </c>
      <c r="W116" s="219">
        <f t="shared" si="27"/>
        <v>0.4</v>
      </c>
      <c r="X116" s="220">
        <f t="shared" si="28"/>
        <v>0.4</v>
      </c>
      <c r="Y116" s="14"/>
    </row>
    <row r="117" spans="1:25">
      <c r="A117" s="112">
        <v>40476</v>
      </c>
      <c r="B117" s="48">
        <v>729</v>
      </c>
      <c r="C117" s="20" t="s">
        <v>776</v>
      </c>
      <c r="D117" s="20" t="s">
        <v>645</v>
      </c>
      <c r="E117" s="28">
        <v>2</v>
      </c>
      <c r="F117" s="28" t="s">
        <v>777</v>
      </c>
      <c r="G117" s="119">
        <v>45.5</v>
      </c>
      <c r="H117" s="122">
        <f t="shared" si="11"/>
        <v>91</v>
      </c>
      <c r="I117" s="323">
        <v>3.5</v>
      </c>
      <c r="J117" s="214">
        <v>2.19</v>
      </c>
      <c r="K117" s="215">
        <v>2.5</v>
      </c>
      <c r="L117" s="216">
        <v>0.38</v>
      </c>
      <c r="M117" s="221">
        <f t="shared" si="20"/>
        <v>4.6899999999999995</v>
      </c>
      <c r="N117" s="218">
        <v>0.33</v>
      </c>
      <c r="O117" s="219">
        <v>0.1</v>
      </c>
      <c r="P117" s="220">
        <v>0.2</v>
      </c>
      <c r="Q117" s="323">
        <f t="shared" si="21"/>
        <v>7</v>
      </c>
      <c r="R117" s="214">
        <f t="shared" si="22"/>
        <v>4.38</v>
      </c>
      <c r="S117" s="215">
        <f t="shared" si="23"/>
        <v>5</v>
      </c>
      <c r="T117" s="216">
        <f t="shared" si="24"/>
        <v>0.76</v>
      </c>
      <c r="U117" s="221">
        <f t="shared" si="25"/>
        <v>9.379999999999999</v>
      </c>
      <c r="V117" s="218">
        <f t="shared" si="26"/>
        <v>0.66</v>
      </c>
      <c r="W117" s="219">
        <f t="shared" si="27"/>
        <v>0.2</v>
      </c>
      <c r="X117" s="220">
        <f t="shared" si="28"/>
        <v>0.4</v>
      </c>
      <c r="Y117" s="14"/>
    </row>
    <row r="118" spans="1:25">
      <c r="A118" s="112"/>
      <c r="B118" s="48"/>
      <c r="C118" s="20" t="s">
        <v>776</v>
      </c>
      <c r="D118" s="20" t="s">
        <v>645</v>
      </c>
      <c r="E118" s="28">
        <v>4</v>
      </c>
      <c r="F118" s="28" t="s">
        <v>778</v>
      </c>
      <c r="G118" s="119">
        <v>44.5</v>
      </c>
      <c r="H118" s="122">
        <f t="shared" si="11"/>
        <v>178</v>
      </c>
      <c r="I118" s="323">
        <v>3.5</v>
      </c>
      <c r="J118" s="214">
        <v>6.3</v>
      </c>
      <c r="K118" s="215">
        <v>2.5</v>
      </c>
      <c r="L118" s="216">
        <v>0.38</v>
      </c>
      <c r="M118" s="221">
        <f t="shared" si="20"/>
        <v>8.8000000000000007</v>
      </c>
      <c r="N118" s="218">
        <v>0.33</v>
      </c>
      <c r="O118" s="219">
        <v>0.1</v>
      </c>
      <c r="P118" s="220">
        <v>0.2</v>
      </c>
      <c r="Q118" s="323">
        <f t="shared" si="21"/>
        <v>14</v>
      </c>
      <c r="R118" s="214">
        <f t="shared" si="22"/>
        <v>25.2</v>
      </c>
      <c r="S118" s="215">
        <f t="shared" si="23"/>
        <v>10</v>
      </c>
      <c r="T118" s="216">
        <f t="shared" si="24"/>
        <v>1.52</v>
      </c>
      <c r="U118" s="221">
        <f t="shared" si="25"/>
        <v>35.200000000000003</v>
      </c>
      <c r="V118" s="218">
        <f t="shared" si="26"/>
        <v>1.32</v>
      </c>
      <c r="W118" s="219">
        <f t="shared" si="27"/>
        <v>0.4</v>
      </c>
      <c r="X118" s="220">
        <f t="shared" si="28"/>
        <v>0.8</v>
      </c>
      <c r="Y118" s="14"/>
    </row>
    <row r="119" spans="1:25">
      <c r="A119" s="112"/>
      <c r="B119" s="48"/>
      <c r="C119" s="20" t="s">
        <v>776</v>
      </c>
      <c r="D119" s="20" t="s">
        <v>645</v>
      </c>
      <c r="E119" s="28">
        <v>2</v>
      </c>
      <c r="F119" s="28" t="s">
        <v>779</v>
      </c>
      <c r="G119" s="119">
        <v>45.5</v>
      </c>
      <c r="H119" s="122">
        <f t="shared" si="11"/>
        <v>91</v>
      </c>
      <c r="I119" s="323">
        <v>3.5</v>
      </c>
      <c r="J119" s="214">
        <v>2.19</v>
      </c>
      <c r="K119" s="215">
        <v>2.5</v>
      </c>
      <c r="L119" s="216">
        <v>0.38</v>
      </c>
      <c r="M119" s="221">
        <f t="shared" si="20"/>
        <v>4.6899999999999995</v>
      </c>
      <c r="N119" s="218">
        <v>0.33</v>
      </c>
      <c r="O119" s="219">
        <v>0.1</v>
      </c>
      <c r="P119" s="220">
        <v>0.2</v>
      </c>
      <c r="Q119" s="323">
        <f t="shared" si="21"/>
        <v>7</v>
      </c>
      <c r="R119" s="214">
        <f t="shared" si="22"/>
        <v>4.38</v>
      </c>
      <c r="S119" s="215">
        <f t="shared" si="23"/>
        <v>5</v>
      </c>
      <c r="T119" s="216">
        <f t="shared" si="24"/>
        <v>0.76</v>
      </c>
      <c r="U119" s="221">
        <f t="shared" si="25"/>
        <v>9.379999999999999</v>
      </c>
      <c r="V119" s="218">
        <f t="shared" si="26"/>
        <v>0.66</v>
      </c>
      <c r="W119" s="219">
        <f t="shared" si="27"/>
        <v>0.2</v>
      </c>
      <c r="X119" s="220">
        <f t="shared" si="28"/>
        <v>0.4</v>
      </c>
      <c r="Y119" s="14"/>
    </row>
    <row r="120" spans="1:25">
      <c r="A120" s="112"/>
      <c r="B120" s="48"/>
      <c r="C120" s="20" t="s">
        <v>776</v>
      </c>
      <c r="D120" s="20" t="s">
        <v>645</v>
      </c>
      <c r="E120" s="28">
        <v>4</v>
      </c>
      <c r="F120" s="28" t="s">
        <v>780</v>
      </c>
      <c r="G120" s="119">
        <v>44.5</v>
      </c>
      <c r="H120" s="122">
        <f t="shared" si="11"/>
        <v>178</v>
      </c>
      <c r="I120" s="323">
        <v>3.5</v>
      </c>
      <c r="J120" s="214">
        <v>6.3</v>
      </c>
      <c r="K120" s="215">
        <v>2.5</v>
      </c>
      <c r="L120" s="216">
        <v>0.38</v>
      </c>
      <c r="M120" s="221">
        <f t="shared" si="20"/>
        <v>8.8000000000000007</v>
      </c>
      <c r="N120" s="218">
        <v>0.33</v>
      </c>
      <c r="O120" s="219">
        <v>0.1</v>
      </c>
      <c r="P120" s="220">
        <v>0.2</v>
      </c>
      <c r="Q120" s="323">
        <f t="shared" si="21"/>
        <v>14</v>
      </c>
      <c r="R120" s="214">
        <f t="shared" si="22"/>
        <v>25.2</v>
      </c>
      <c r="S120" s="215">
        <f t="shared" si="23"/>
        <v>10</v>
      </c>
      <c r="T120" s="216">
        <f t="shared" si="24"/>
        <v>1.52</v>
      </c>
      <c r="U120" s="221">
        <f t="shared" si="25"/>
        <v>35.200000000000003</v>
      </c>
      <c r="V120" s="218">
        <f t="shared" si="26"/>
        <v>1.32</v>
      </c>
      <c r="W120" s="219">
        <f t="shared" si="27"/>
        <v>0.4</v>
      </c>
      <c r="X120" s="220">
        <f t="shared" si="28"/>
        <v>0.8</v>
      </c>
      <c r="Y120" s="14"/>
    </row>
    <row r="121" spans="1:25">
      <c r="A121" s="112">
        <v>40477</v>
      </c>
      <c r="B121" s="48">
        <v>730</v>
      </c>
      <c r="C121" s="20" t="s">
        <v>734</v>
      </c>
      <c r="D121" s="20" t="s">
        <v>735</v>
      </c>
      <c r="E121" s="28">
        <v>10</v>
      </c>
      <c r="F121" s="28" t="s">
        <v>781</v>
      </c>
      <c r="G121" s="119">
        <v>27.5</v>
      </c>
      <c r="H121" s="122">
        <f t="shared" si="11"/>
        <v>275</v>
      </c>
      <c r="I121" s="323">
        <v>1</v>
      </c>
      <c r="J121" s="214">
        <v>7.73</v>
      </c>
      <c r="K121" s="215">
        <v>1</v>
      </c>
      <c r="L121" s="216">
        <v>0.15</v>
      </c>
      <c r="M121" s="221">
        <f t="shared" si="20"/>
        <v>8.73</v>
      </c>
      <c r="N121" s="218">
        <v>0.25</v>
      </c>
      <c r="O121" s="219">
        <v>0.1</v>
      </c>
      <c r="P121" s="220">
        <v>0.1</v>
      </c>
      <c r="Q121" s="323">
        <f t="shared" si="21"/>
        <v>10</v>
      </c>
      <c r="R121" s="214">
        <f t="shared" si="22"/>
        <v>77.300000000000011</v>
      </c>
      <c r="S121" s="215">
        <f t="shared" si="23"/>
        <v>10</v>
      </c>
      <c r="T121" s="216">
        <f t="shared" si="24"/>
        <v>1.5</v>
      </c>
      <c r="U121" s="221">
        <f t="shared" si="25"/>
        <v>87.300000000000011</v>
      </c>
      <c r="V121" s="218">
        <f t="shared" si="26"/>
        <v>2.5</v>
      </c>
      <c r="W121" s="219">
        <f t="shared" si="27"/>
        <v>1</v>
      </c>
      <c r="X121" s="220">
        <f t="shared" si="28"/>
        <v>1</v>
      </c>
      <c r="Y121" s="14"/>
    </row>
    <row r="122" spans="1:25" ht="13.5">
      <c r="A122" s="112"/>
      <c r="B122" s="48"/>
      <c r="C122" s="20" t="s">
        <v>734</v>
      </c>
      <c r="D122" s="20" t="s">
        <v>735</v>
      </c>
      <c r="E122" s="28">
        <v>10</v>
      </c>
      <c r="F122" s="28" t="s">
        <v>782</v>
      </c>
      <c r="G122" s="119">
        <v>64.5</v>
      </c>
      <c r="H122" s="122">
        <f t="shared" si="11"/>
        <v>645</v>
      </c>
      <c r="I122" s="323">
        <v>7.5</v>
      </c>
      <c r="J122" s="222">
        <v>17.010000000000002</v>
      </c>
      <c r="K122" s="215">
        <v>1</v>
      </c>
      <c r="L122" s="216">
        <v>0.15</v>
      </c>
      <c r="M122" s="221">
        <f t="shared" si="20"/>
        <v>18.010000000000002</v>
      </c>
      <c r="N122" s="218">
        <v>0.92</v>
      </c>
      <c r="O122" s="219">
        <v>0.15</v>
      </c>
      <c r="P122" s="220">
        <v>0.15</v>
      </c>
      <c r="Q122" s="323">
        <f t="shared" si="21"/>
        <v>75</v>
      </c>
      <c r="R122" s="214">
        <f t="shared" si="22"/>
        <v>170.10000000000002</v>
      </c>
      <c r="S122" s="215">
        <f t="shared" si="23"/>
        <v>10</v>
      </c>
      <c r="T122" s="216">
        <f t="shared" si="24"/>
        <v>1.5</v>
      </c>
      <c r="U122" s="221">
        <f t="shared" si="25"/>
        <v>180.10000000000002</v>
      </c>
      <c r="V122" s="218">
        <f t="shared" si="26"/>
        <v>9.2000000000000011</v>
      </c>
      <c r="W122" s="219">
        <f t="shared" si="27"/>
        <v>1.5</v>
      </c>
      <c r="X122" s="220">
        <f t="shared" si="28"/>
        <v>1.5</v>
      </c>
      <c r="Y122" s="14"/>
    </row>
    <row r="123" spans="1:25" ht="13.5">
      <c r="A123" s="112"/>
      <c r="B123" s="48"/>
      <c r="C123" s="20" t="s">
        <v>734</v>
      </c>
      <c r="D123" s="20" t="s">
        <v>735</v>
      </c>
      <c r="E123" s="28">
        <v>10</v>
      </c>
      <c r="F123" s="28" t="s">
        <v>783</v>
      </c>
      <c r="G123" s="119">
        <v>85</v>
      </c>
      <c r="H123" s="122">
        <f t="shared" si="11"/>
        <v>850</v>
      </c>
      <c r="I123" s="323">
        <v>7</v>
      </c>
      <c r="J123" s="222">
        <v>22.52</v>
      </c>
      <c r="K123" s="215">
        <v>1</v>
      </c>
      <c r="L123" s="216">
        <v>0.15</v>
      </c>
      <c r="M123" s="221">
        <f t="shared" si="20"/>
        <v>23.52</v>
      </c>
      <c r="N123" s="218">
        <v>0</v>
      </c>
      <c r="O123" s="219">
        <v>0.2</v>
      </c>
      <c r="P123" s="220">
        <v>0.2</v>
      </c>
      <c r="Q123" s="323">
        <f t="shared" si="21"/>
        <v>70</v>
      </c>
      <c r="R123" s="214">
        <f t="shared" si="22"/>
        <v>225.2</v>
      </c>
      <c r="S123" s="215">
        <f t="shared" si="23"/>
        <v>10</v>
      </c>
      <c r="T123" s="216">
        <f t="shared" si="24"/>
        <v>1.5</v>
      </c>
      <c r="U123" s="221">
        <f t="shared" si="25"/>
        <v>235.2</v>
      </c>
      <c r="V123" s="218">
        <f t="shared" si="26"/>
        <v>0</v>
      </c>
      <c r="W123" s="219">
        <f t="shared" si="27"/>
        <v>2</v>
      </c>
      <c r="X123" s="220">
        <f t="shared" si="28"/>
        <v>2</v>
      </c>
      <c r="Y123" s="14"/>
    </row>
    <row r="124" spans="1:25" ht="13.5">
      <c r="A124" s="112"/>
      <c r="B124" s="48"/>
      <c r="C124" s="20" t="s">
        <v>734</v>
      </c>
      <c r="D124" s="20" t="s">
        <v>735</v>
      </c>
      <c r="E124" s="28">
        <v>1350</v>
      </c>
      <c r="F124" s="28" t="s">
        <v>784</v>
      </c>
      <c r="G124" s="119">
        <v>3.75</v>
      </c>
      <c r="H124" s="122">
        <f t="shared" si="11"/>
        <v>5062.5</v>
      </c>
      <c r="I124" s="323">
        <v>0.25</v>
      </c>
      <c r="J124" s="214">
        <v>1.44</v>
      </c>
      <c r="K124" s="215">
        <v>0.6</v>
      </c>
      <c r="L124" s="216">
        <v>0.09</v>
      </c>
      <c r="M124" s="221">
        <f t="shared" si="20"/>
        <v>2.04</v>
      </c>
      <c r="N124" s="218">
        <v>0.04</v>
      </c>
      <c r="O124" s="219">
        <v>0.05</v>
      </c>
      <c r="P124" s="220">
        <v>0.1</v>
      </c>
      <c r="Q124" s="323">
        <f t="shared" si="21"/>
        <v>337.5</v>
      </c>
      <c r="R124" s="222">
        <f t="shared" si="22"/>
        <v>1944</v>
      </c>
      <c r="S124" s="215">
        <f t="shared" si="23"/>
        <v>810</v>
      </c>
      <c r="T124" s="216">
        <f t="shared" si="24"/>
        <v>121.5</v>
      </c>
      <c r="U124" s="221">
        <f t="shared" si="25"/>
        <v>2754</v>
      </c>
      <c r="V124" s="218">
        <f t="shared" si="26"/>
        <v>54</v>
      </c>
      <c r="W124" s="219">
        <f t="shared" si="27"/>
        <v>67.5</v>
      </c>
      <c r="X124" s="220">
        <f t="shared" si="28"/>
        <v>135</v>
      </c>
      <c r="Y124" s="14"/>
    </row>
    <row r="125" spans="1:25">
      <c r="A125" s="112">
        <v>40477</v>
      </c>
      <c r="B125" s="48">
        <v>731</v>
      </c>
      <c r="C125" s="20" t="s">
        <v>785</v>
      </c>
      <c r="D125" s="20" t="s">
        <v>786</v>
      </c>
      <c r="E125" s="28">
        <v>100</v>
      </c>
      <c r="F125" s="28" t="s">
        <v>787</v>
      </c>
      <c r="G125" s="119">
        <v>12</v>
      </c>
      <c r="H125" s="122">
        <f t="shared" si="11"/>
        <v>1200</v>
      </c>
      <c r="I125" s="323">
        <v>1</v>
      </c>
      <c r="J125" s="214">
        <v>2.0699999999999998</v>
      </c>
      <c r="K125" s="215">
        <v>1.4</v>
      </c>
      <c r="L125" s="216">
        <v>0.21</v>
      </c>
      <c r="M125" s="221">
        <f t="shared" si="20"/>
        <v>3.4699999999999998</v>
      </c>
      <c r="N125" s="218">
        <v>0.28999999999999998</v>
      </c>
      <c r="O125" s="219">
        <v>0.1</v>
      </c>
      <c r="P125" s="220">
        <v>0.1</v>
      </c>
      <c r="Q125" s="323">
        <f t="shared" si="21"/>
        <v>100</v>
      </c>
      <c r="R125" s="214">
        <f t="shared" si="22"/>
        <v>206.99999999999997</v>
      </c>
      <c r="S125" s="215">
        <f t="shared" si="23"/>
        <v>140</v>
      </c>
      <c r="T125" s="216">
        <f t="shared" si="24"/>
        <v>21</v>
      </c>
      <c r="U125" s="221">
        <f t="shared" si="25"/>
        <v>347</v>
      </c>
      <c r="V125" s="218">
        <f t="shared" si="26"/>
        <v>28.999999999999996</v>
      </c>
      <c r="W125" s="219">
        <f t="shared" si="27"/>
        <v>10</v>
      </c>
      <c r="X125" s="220">
        <f t="shared" si="28"/>
        <v>10</v>
      </c>
      <c r="Y125" s="14"/>
    </row>
    <row r="126" spans="1:25" ht="13.5">
      <c r="A126" s="112">
        <v>40477</v>
      </c>
      <c r="B126" s="48">
        <v>732</v>
      </c>
      <c r="C126" s="20" t="s">
        <v>788</v>
      </c>
      <c r="D126" s="20" t="s">
        <v>788</v>
      </c>
      <c r="E126" s="28">
        <v>30</v>
      </c>
      <c r="F126" s="28" t="s">
        <v>789</v>
      </c>
      <c r="G126" s="119">
        <v>55</v>
      </c>
      <c r="H126" s="122">
        <f t="shared" si="11"/>
        <v>1650</v>
      </c>
      <c r="I126" s="323">
        <v>6.5</v>
      </c>
      <c r="J126" s="222">
        <v>14.89</v>
      </c>
      <c r="K126" s="215">
        <v>1.5</v>
      </c>
      <c r="L126" s="216">
        <v>0.23</v>
      </c>
      <c r="M126" s="221">
        <f t="shared" si="20"/>
        <v>16.39</v>
      </c>
      <c r="N126" s="218">
        <v>0.57999999999999996</v>
      </c>
      <c r="O126" s="219">
        <v>0.1</v>
      </c>
      <c r="P126" s="220">
        <v>0.2</v>
      </c>
      <c r="Q126" s="323">
        <f t="shared" si="21"/>
        <v>195</v>
      </c>
      <c r="R126" s="214">
        <f t="shared" si="22"/>
        <v>446.70000000000005</v>
      </c>
      <c r="S126" s="215">
        <f t="shared" si="23"/>
        <v>45</v>
      </c>
      <c r="T126" s="216">
        <f t="shared" si="24"/>
        <v>6.9</v>
      </c>
      <c r="U126" s="221">
        <f t="shared" si="25"/>
        <v>491.70000000000005</v>
      </c>
      <c r="V126" s="218">
        <f t="shared" si="26"/>
        <v>17.399999999999999</v>
      </c>
      <c r="W126" s="219">
        <f t="shared" si="27"/>
        <v>3</v>
      </c>
      <c r="X126" s="220">
        <f t="shared" si="28"/>
        <v>6</v>
      </c>
      <c r="Y126" s="14"/>
    </row>
    <row r="127" spans="1:25">
      <c r="A127" s="112">
        <v>40469</v>
      </c>
      <c r="B127" s="48">
        <v>733</v>
      </c>
      <c r="C127" s="20" t="s">
        <v>178</v>
      </c>
      <c r="D127" s="20" t="s">
        <v>178</v>
      </c>
      <c r="E127" s="28">
        <v>6</v>
      </c>
      <c r="F127" s="28" t="s">
        <v>790</v>
      </c>
      <c r="G127" s="119">
        <v>41</v>
      </c>
      <c r="H127" s="122">
        <f t="shared" si="11"/>
        <v>246</v>
      </c>
      <c r="I127" s="323">
        <v>3.5</v>
      </c>
      <c r="J127" s="214">
        <v>5.67</v>
      </c>
      <c r="K127" s="215">
        <v>3.8</v>
      </c>
      <c r="L127" s="216">
        <v>0.56999999999999995</v>
      </c>
      <c r="M127" s="221">
        <f t="shared" si="20"/>
        <v>9.4699999999999989</v>
      </c>
      <c r="N127" s="218">
        <v>0.33</v>
      </c>
      <c r="O127" s="219">
        <v>0.1</v>
      </c>
      <c r="P127" s="220">
        <v>0.2</v>
      </c>
      <c r="Q127" s="323">
        <f t="shared" si="21"/>
        <v>21</v>
      </c>
      <c r="R127" s="214">
        <f t="shared" si="22"/>
        <v>34.019999999999996</v>
      </c>
      <c r="S127" s="215">
        <f t="shared" si="23"/>
        <v>22.799999999999997</v>
      </c>
      <c r="T127" s="216">
        <f t="shared" si="24"/>
        <v>3.42</v>
      </c>
      <c r="U127" s="221">
        <f t="shared" si="25"/>
        <v>56.819999999999993</v>
      </c>
      <c r="V127" s="218">
        <f t="shared" si="26"/>
        <v>1.98</v>
      </c>
      <c r="W127" s="219">
        <f t="shared" si="27"/>
        <v>0.60000000000000009</v>
      </c>
      <c r="X127" s="220">
        <f t="shared" si="28"/>
        <v>1.2000000000000002</v>
      </c>
      <c r="Y127" s="14"/>
    </row>
    <row r="128" spans="1:25">
      <c r="A128" s="112"/>
      <c r="B128" s="48"/>
      <c r="C128" s="20" t="s">
        <v>178</v>
      </c>
      <c r="D128" s="20" t="s">
        <v>178</v>
      </c>
      <c r="E128" s="28">
        <v>3</v>
      </c>
      <c r="F128" s="28" t="s">
        <v>791</v>
      </c>
      <c r="G128" s="119">
        <v>37</v>
      </c>
      <c r="H128" s="122">
        <f t="shared" si="11"/>
        <v>111</v>
      </c>
      <c r="I128" s="323">
        <v>3.5</v>
      </c>
      <c r="J128" s="214">
        <v>6.46</v>
      </c>
      <c r="K128" s="215">
        <v>3.8</v>
      </c>
      <c r="L128" s="216">
        <v>0.56999999999999995</v>
      </c>
      <c r="M128" s="221">
        <f t="shared" si="20"/>
        <v>10.26</v>
      </c>
      <c r="N128" s="218">
        <v>0.33</v>
      </c>
      <c r="O128" s="219">
        <v>0.1</v>
      </c>
      <c r="P128" s="220">
        <v>0.2</v>
      </c>
      <c r="Q128" s="323">
        <f t="shared" si="21"/>
        <v>10.5</v>
      </c>
      <c r="R128" s="214">
        <f t="shared" si="22"/>
        <v>19.38</v>
      </c>
      <c r="S128" s="215">
        <f t="shared" si="23"/>
        <v>11.399999999999999</v>
      </c>
      <c r="T128" s="216">
        <f t="shared" si="24"/>
        <v>1.71</v>
      </c>
      <c r="U128" s="221">
        <f t="shared" si="25"/>
        <v>30.78</v>
      </c>
      <c r="V128" s="218">
        <f t="shared" si="26"/>
        <v>0.99</v>
      </c>
      <c r="W128" s="219">
        <f t="shared" si="27"/>
        <v>0.30000000000000004</v>
      </c>
      <c r="X128" s="220">
        <f t="shared" si="28"/>
        <v>0.60000000000000009</v>
      </c>
      <c r="Y128" s="14"/>
    </row>
    <row r="129" spans="1:25">
      <c r="A129" s="112"/>
      <c r="B129" s="48"/>
      <c r="C129" s="20" t="s">
        <v>178</v>
      </c>
      <c r="D129" s="20" t="s">
        <v>178</v>
      </c>
      <c r="E129" s="28">
        <v>1</v>
      </c>
      <c r="F129" s="28" t="s">
        <v>792</v>
      </c>
      <c r="G129" s="119">
        <v>45</v>
      </c>
      <c r="H129" s="122">
        <f t="shared" si="11"/>
        <v>45</v>
      </c>
      <c r="I129" s="323">
        <v>3.5</v>
      </c>
      <c r="J129" s="214">
        <v>8.73</v>
      </c>
      <c r="K129" s="215">
        <v>3.8</v>
      </c>
      <c r="L129" s="216">
        <v>0.56999999999999995</v>
      </c>
      <c r="M129" s="221">
        <f t="shared" si="20"/>
        <v>12.530000000000001</v>
      </c>
      <c r="N129" s="218">
        <v>0.33</v>
      </c>
      <c r="O129" s="219">
        <v>0.1</v>
      </c>
      <c r="P129" s="220">
        <v>0.2</v>
      </c>
      <c r="Q129" s="323">
        <f t="shared" si="21"/>
        <v>3.5</v>
      </c>
      <c r="R129" s="214">
        <f t="shared" si="22"/>
        <v>8.73</v>
      </c>
      <c r="S129" s="215">
        <f t="shared" si="23"/>
        <v>3.8</v>
      </c>
      <c r="T129" s="216">
        <f t="shared" si="24"/>
        <v>0.56999999999999995</v>
      </c>
      <c r="U129" s="221">
        <f t="shared" si="25"/>
        <v>12.530000000000001</v>
      </c>
      <c r="V129" s="218">
        <f t="shared" si="26"/>
        <v>0.33</v>
      </c>
      <c r="W129" s="219">
        <f t="shared" si="27"/>
        <v>0.1</v>
      </c>
      <c r="X129" s="220">
        <f t="shared" si="28"/>
        <v>0.2</v>
      </c>
      <c r="Y129" s="14"/>
    </row>
    <row r="130" spans="1:25">
      <c r="A130" s="112"/>
      <c r="B130" s="48"/>
      <c r="C130" s="20" t="s">
        <v>178</v>
      </c>
      <c r="D130" s="20" t="s">
        <v>178</v>
      </c>
      <c r="E130" s="28">
        <v>1</v>
      </c>
      <c r="F130" s="28" t="s">
        <v>793</v>
      </c>
      <c r="G130" s="119">
        <v>45</v>
      </c>
      <c r="H130" s="122">
        <f t="shared" ref="H130:H144" si="29">E130*G130</f>
        <v>45</v>
      </c>
      <c r="I130" s="323">
        <v>3.5</v>
      </c>
      <c r="J130" s="214">
        <v>5.33</v>
      </c>
      <c r="K130" s="215">
        <v>3.8</v>
      </c>
      <c r="L130" s="216">
        <v>0.56999999999999995</v>
      </c>
      <c r="M130" s="221">
        <f t="shared" si="20"/>
        <v>9.129999999999999</v>
      </c>
      <c r="N130" s="218">
        <v>0.33</v>
      </c>
      <c r="O130" s="219">
        <v>0.1</v>
      </c>
      <c r="P130" s="220">
        <v>0.2</v>
      </c>
      <c r="Q130" s="323">
        <f t="shared" si="21"/>
        <v>3.5</v>
      </c>
      <c r="R130" s="214">
        <f t="shared" si="22"/>
        <v>5.33</v>
      </c>
      <c r="S130" s="215">
        <f t="shared" si="23"/>
        <v>3.8</v>
      </c>
      <c r="T130" s="216">
        <f t="shared" si="24"/>
        <v>0.56999999999999995</v>
      </c>
      <c r="U130" s="221">
        <f t="shared" si="25"/>
        <v>9.129999999999999</v>
      </c>
      <c r="V130" s="218">
        <f t="shared" si="26"/>
        <v>0.33</v>
      </c>
      <c r="W130" s="219">
        <f t="shared" si="27"/>
        <v>0.1</v>
      </c>
      <c r="X130" s="220">
        <f t="shared" si="28"/>
        <v>0.2</v>
      </c>
      <c r="Y130" s="14"/>
    </row>
    <row r="131" spans="1:25">
      <c r="A131" s="112">
        <v>40477</v>
      </c>
      <c r="B131" s="48">
        <v>734</v>
      </c>
      <c r="C131" s="20" t="s">
        <v>794</v>
      </c>
      <c r="D131" s="20" t="s">
        <v>305</v>
      </c>
      <c r="E131" s="28">
        <v>30</v>
      </c>
      <c r="F131" s="28" t="s">
        <v>795</v>
      </c>
      <c r="G131" s="119">
        <v>38.5</v>
      </c>
      <c r="H131" s="122">
        <f t="shared" si="29"/>
        <v>1155</v>
      </c>
      <c r="I131" s="323">
        <v>3.5</v>
      </c>
      <c r="J131" s="214">
        <v>4.8099999999999996</v>
      </c>
      <c r="K131" s="215">
        <v>1</v>
      </c>
      <c r="L131" s="216">
        <v>0.15</v>
      </c>
      <c r="M131" s="221">
        <f t="shared" si="20"/>
        <v>5.81</v>
      </c>
      <c r="N131" s="218">
        <v>0.33</v>
      </c>
      <c r="O131" s="219">
        <v>0.1</v>
      </c>
      <c r="P131" s="220">
        <v>0.2</v>
      </c>
      <c r="Q131" s="323">
        <f t="shared" si="21"/>
        <v>105</v>
      </c>
      <c r="R131" s="214">
        <f t="shared" si="22"/>
        <v>144.29999999999998</v>
      </c>
      <c r="S131" s="215">
        <f t="shared" si="23"/>
        <v>30</v>
      </c>
      <c r="T131" s="216">
        <f t="shared" si="24"/>
        <v>4.5</v>
      </c>
      <c r="U131" s="221">
        <f t="shared" si="25"/>
        <v>174.29999999999998</v>
      </c>
      <c r="V131" s="218">
        <f t="shared" si="26"/>
        <v>9.9</v>
      </c>
      <c r="W131" s="219">
        <f t="shared" si="27"/>
        <v>3</v>
      </c>
      <c r="X131" s="220">
        <f t="shared" si="28"/>
        <v>6</v>
      </c>
      <c r="Y131" s="14"/>
    </row>
    <row r="132" spans="1:25">
      <c r="A132" s="112"/>
      <c r="B132" s="48"/>
      <c r="C132" s="20" t="s">
        <v>794</v>
      </c>
      <c r="D132" s="20" t="s">
        <v>305</v>
      </c>
      <c r="E132" s="28">
        <v>15</v>
      </c>
      <c r="F132" s="28" t="s">
        <v>796</v>
      </c>
      <c r="G132" s="119">
        <v>38.5</v>
      </c>
      <c r="H132" s="122">
        <f t="shared" si="29"/>
        <v>577.5</v>
      </c>
      <c r="I132" s="323">
        <v>3.5</v>
      </c>
      <c r="J132" s="214">
        <v>4.8099999999999996</v>
      </c>
      <c r="K132" s="215">
        <v>1</v>
      </c>
      <c r="L132" s="216">
        <v>0.15</v>
      </c>
      <c r="M132" s="221">
        <f t="shared" si="20"/>
        <v>5.81</v>
      </c>
      <c r="N132" s="218">
        <v>0.33</v>
      </c>
      <c r="O132" s="219">
        <v>0.1</v>
      </c>
      <c r="P132" s="220">
        <v>0.2</v>
      </c>
      <c r="Q132" s="323">
        <f t="shared" si="21"/>
        <v>52.5</v>
      </c>
      <c r="R132" s="214">
        <f t="shared" si="22"/>
        <v>72.149999999999991</v>
      </c>
      <c r="S132" s="215">
        <f t="shared" si="23"/>
        <v>15</v>
      </c>
      <c r="T132" s="216">
        <f t="shared" si="24"/>
        <v>2.25</v>
      </c>
      <c r="U132" s="221">
        <f t="shared" si="25"/>
        <v>87.149999999999991</v>
      </c>
      <c r="V132" s="218">
        <f t="shared" si="26"/>
        <v>4.95</v>
      </c>
      <c r="W132" s="219">
        <f t="shared" si="27"/>
        <v>1.5</v>
      </c>
      <c r="X132" s="220">
        <f t="shared" si="28"/>
        <v>3</v>
      </c>
      <c r="Y132" s="14"/>
    </row>
    <row r="133" spans="1:25" ht="13.5">
      <c r="A133" s="112">
        <v>40478</v>
      </c>
      <c r="B133" s="48">
        <v>735</v>
      </c>
      <c r="C133" s="20" t="s">
        <v>797</v>
      </c>
      <c r="D133" s="20" t="s">
        <v>798</v>
      </c>
      <c r="E133" s="28">
        <v>12</v>
      </c>
      <c r="F133" s="28" t="s">
        <v>799</v>
      </c>
      <c r="G133" s="119">
        <v>70</v>
      </c>
      <c r="H133" s="122">
        <f t="shared" si="29"/>
        <v>840</v>
      </c>
      <c r="I133" s="323">
        <v>5.5</v>
      </c>
      <c r="J133" s="222">
        <v>26.27</v>
      </c>
      <c r="K133" s="215">
        <v>6.1</v>
      </c>
      <c r="L133" s="216">
        <v>0.92</v>
      </c>
      <c r="M133" s="221">
        <f t="shared" ref="M133:M144" si="30">J133+K133</f>
        <v>32.369999999999997</v>
      </c>
      <c r="N133" s="218">
        <v>0.67</v>
      </c>
      <c r="O133" s="219">
        <v>0.1</v>
      </c>
      <c r="P133" s="220">
        <v>0.2</v>
      </c>
      <c r="Q133" s="323">
        <f t="shared" ref="Q133:Q144" si="31">E133*I133</f>
        <v>66</v>
      </c>
      <c r="R133" s="214">
        <f t="shared" ref="R133:R144" si="32">E133*J133</f>
        <v>315.24</v>
      </c>
      <c r="S133" s="215">
        <f t="shared" ref="S133:S144" si="33">E133*K133</f>
        <v>73.199999999999989</v>
      </c>
      <c r="T133" s="216">
        <f t="shared" ref="T133:T144" si="34">E133*L133</f>
        <v>11.040000000000001</v>
      </c>
      <c r="U133" s="221">
        <f t="shared" ref="U133:U144" si="35">E133*M133</f>
        <v>388.43999999999994</v>
      </c>
      <c r="V133" s="218">
        <f t="shared" ref="V133:V144" si="36">N133*E133</f>
        <v>8.0400000000000009</v>
      </c>
      <c r="W133" s="219">
        <f t="shared" ref="W133:W144" si="37">O133*E133</f>
        <v>1.2000000000000002</v>
      </c>
      <c r="X133" s="220">
        <f t="shared" ref="X133:X144" si="38">P133*E133</f>
        <v>2.4000000000000004</v>
      </c>
      <c r="Y133" s="14"/>
    </row>
    <row r="134" spans="1:25" ht="13.5">
      <c r="A134" s="112">
        <v>40478</v>
      </c>
      <c r="B134" s="48">
        <v>736</v>
      </c>
      <c r="C134" s="20" t="s">
        <v>30</v>
      </c>
      <c r="D134" s="20" t="s">
        <v>42</v>
      </c>
      <c r="E134" s="70">
        <v>24048</v>
      </c>
      <c r="F134" s="28" t="s">
        <v>800</v>
      </c>
      <c r="G134" s="119">
        <v>0.65</v>
      </c>
      <c r="H134" s="122">
        <f t="shared" si="29"/>
        <v>15631.2</v>
      </c>
      <c r="I134" s="323">
        <v>0</v>
      </c>
      <c r="J134" s="214">
        <v>0.26</v>
      </c>
      <c r="K134" s="215">
        <v>0</v>
      </c>
      <c r="L134" s="216">
        <v>0</v>
      </c>
      <c r="M134" s="221">
        <f t="shared" si="30"/>
        <v>0.26</v>
      </c>
      <c r="N134" s="218">
        <v>0</v>
      </c>
      <c r="O134" s="219">
        <v>0.1</v>
      </c>
      <c r="P134" s="220">
        <v>0</v>
      </c>
      <c r="Q134" s="323">
        <f t="shared" si="31"/>
        <v>0</v>
      </c>
      <c r="R134" s="222">
        <f t="shared" si="32"/>
        <v>6252.4800000000005</v>
      </c>
      <c r="S134" s="215">
        <f t="shared" si="33"/>
        <v>0</v>
      </c>
      <c r="T134" s="216">
        <f t="shared" si="34"/>
        <v>0</v>
      </c>
      <c r="U134" s="221">
        <f t="shared" si="35"/>
        <v>6252.4800000000005</v>
      </c>
      <c r="V134" s="218">
        <f t="shared" si="36"/>
        <v>0</v>
      </c>
      <c r="W134" s="231">
        <f t="shared" si="37"/>
        <v>2404.8000000000002</v>
      </c>
      <c r="X134" s="220">
        <f t="shared" si="38"/>
        <v>0</v>
      </c>
      <c r="Y134" s="14"/>
    </row>
    <row r="135" spans="1:25" ht="13.5">
      <c r="A135" s="112">
        <v>40477</v>
      </c>
      <c r="B135" s="48">
        <v>737</v>
      </c>
      <c r="C135" s="20" t="s">
        <v>491</v>
      </c>
      <c r="D135" s="20" t="s">
        <v>213</v>
      </c>
      <c r="E135" s="28">
        <v>20</v>
      </c>
      <c r="F135" s="28" t="s">
        <v>801</v>
      </c>
      <c r="G135" s="119">
        <v>80</v>
      </c>
      <c r="H135" s="122">
        <f t="shared" si="29"/>
        <v>1600</v>
      </c>
      <c r="I135" s="323">
        <v>8.5</v>
      </c>
      <c r="J135" s="222">
        <v>12.11</v>
      </c>
      <c r="K135" s="215">
        <v>3.5</v>
      </c>
      <c r="L135" s="216">
        <v>0.53</v>
      </c>
      <c r="M135" s="221">
        <f t="shared" si="30"/>
        <v>15.61</v>
      </c>
      <c r="N135" s="218">
        <v>1.1299999999999999</v>
      </c>
      <c r="O135" s="219">
        <v>0.2</v>
      </c>
      <c r="P135" s="220">
        <v>0.2</v>
      </c>
      <c r="Q135" s="323">
        <f t="shared" si="31"/>
        <v>170</v>
      </c>
      <c r="R135" s="214">
        <f t="shared" si="32"/>
        <v>242.2</v>
      </c>
      <c r="S135" s="215">
        <f t="shared" si="33"/>
        <v>70</v>
      </c>
      <c r="T135" s="216">
        <f t="shared" si="34"/>
        <v>10.600000000000001</v>
      </c>
      <c r="U135" s="221">
        <f t="shared" si="35"/>
        <v>312.2</v>
      </c>
      <c r="V135" s="218">
        <f t="shared" si="36"/>
        <v>22.599999999999998</v>
      </c>
      <c r="W135" s="219">
        <f t="shared" si="37"/>
        <v>4</v>
      </c>
      <c r="X135" s="220">
        <f t="shared" si="38"/>
        <v>4</v>
      </c>
      <c r="Y135" s="14"/>
    </row>
    <row r="136" spans="1:25" ht="13.5">
      <c r="A136" s="112"/>
      <c r="B136" s="48"/>
      <c r="C136" s="20" t="s">
        <v>491</v>
      </c>
      <c r="D136" s="20" t="s">
        <v>213</v>
      </c>
      <c r="E136" s="28">
        <v>20</v>
      </c>
      <c r="F136" s="28" t="s">
        <v>802</v>
      </c>
      <c r="G136" s="119">
        <v>85</v>
      </c>
      <c r="H136" s="122">
        <f t="shared" si="29"/>
        <v>1700</v>
      </c>
      <c r="I136" s="323">
        <v>8.5</v>
      </c>
      <c r="J136" s="222">
        <v>17.55</v>
      </c>
      <c r="K136" s="215">
        <v>3.5</v>
      </c>
      <c r="L136" s="216">
        <v>0.53</v>
      </c>
      <c r="M136" s="221">
        <f t="shared" si="30"/>
        <v>21.05</v>
      </c>
      <c r="N136" s="218">
        <v>1.1299999999999999</v>
      </c>
      <c r="O136" s="219">
        <v>0.2</v>
      </c>
      <c r="P136" s="220">
        <v>0.2</v>
      </c>
      <c r="Q136" s="323">
        <f t="shared" si="31"/>
        <v>170</v>
      </c>
      <c r="R136" s="214">
        <f t="shared" si="32"/>
        <v>351</v>
      </c>
      <c r="S136" s="215">
        <f t="shared" si="33"/>
        <v>70</v>
      </c>
      <c r="T136" s="216">
        <f t="shared" si="34"/>
        <v>10.600000000000001</v>
      </c>
      <c r="U136" s="221">
        <f t="shared" si="35"/>
        <v>421</v>
      </c>
      <c r="V136" s="218">
        <f t="shared" si="36"/>
        <v>22.599999999999998</v>
      </c>
      <c r="W136" s="219">
        <f t="shared" si="37"/>
        <v>4</v>
      </c>
      <c r="X136" s="220">
        <f t="shared" si="38"/>
        <v>4</v>
      </c>
      <c r="Y136" s="14"/>
    </row>
    <row r="137" spans="1:25">
      <c r="A137" s="112">
        <v>40478</v>
      </c>
      <c r="B137" s="48">
        <v>738</v>
      </c>
      <c r="C137" s="20"/>
      <c r="D137" s="20"/>
      <c r="E137" s="28"/>
      <c r="F137" s="28" t="s">
        <v>651</v>
      </c>
      <c r="G137" s="119">
        <v>0</v>
      </c>
      <c r="H137" s="122">
        <f t="shared" si="29"/>
        <v>0</v>
      </c>
      <c r="I137" s="323">
        <v>0</v>
      </c>
      <c r="J137" s="214">
        <v>0</v>
      </c>
      <c r="K137" s="215">
        <v>0</v>
      </c>
      <c r="L137" s="216">
        <v>0</v>
      </c>
      <c r="M137" s="221">
        <f t="shared" si="30"/>
        <v>0</v>
      </c>
      <c r="N137" s="218">
        <v>0</v>
      </c>
      <c r="O137" s="219">
        <v>0</v>
      </c>
      <c r="P137" s="220">
        <v>0</v>
      </c>
      <c r="Q137" s="323">
        <f t="shared" si="31"/>
        <v>0</v>
      </c>
      <c r="R137" s="214">
        <f t="shared" si="32"/>
        <v>0</v>
      </c>
      <c r="S137" s="215">
        <f t="shared" si="33"/>
        <v>0</v>
      </c>
      <c r="T137" s="216">
        <f t="shared" si="34"/>
        <v>0</v>
      </c>
      <c r="U137" s="221">
        <f t="shared" si="35"/>
        <v>0</v>
      </c>
      <c r="V137" s="218">
        <f t="shared" si="36"/>
        <v>0</v>
      </c>
      <c r="W137" s="219">
        <f t="shared" si="37"/>
        <v>0</v>
      </c>
      <c r="X137" s="220">
        <f t="shared" si="38"/>
        <v>0</v>
      </c>
      <c r="Y137" s="14"/>
    </row>
    <row r="138" spans="1:25" ht="13.5">
      <c r="A138" s="112">
        <v>40477</v>
      </c>
      <c r="B138" s="48">
        <v>739</v>
      </c>
      <c r="C138" s="20" t="s">
        <v>491</v>
      </c>
      <c r="D138" s="20" t="s">
        <v>213</v>
      </c>
      <c r="E138" s="28">
        <v>10</v>
      </c>
      <c r="F138" s="28" t="s">
        <v>803</v>
      </c>
      <c r="G138" s="119">
        <v>80</v>
      </c>
      <c r="H138" s="122">
        <f t="shared" si="29"/>
        <v>800</v>
      </c>
      <c r="I138" s="323">
        <v>8.5</v>
      </c>
      <c r="J138" s="222">
        <v>10.51</v>
      </c>
      <c r="K138" s="215">
        <v>3.5</v>
      </c>
      <c r="L138" s="216">
        <v>0.53</v>
      </c>
      <c r="M138" s="221">
        <f t="shared" si="30"/>
        <v>14.01</v>
      </c>
      <c r="N138" s="218">
        <v>1.1299999999999999</v>
      </c>
      <c r="O138" s="219">
        <v>0.2</v>
      </c>
      <c r="P138" s="220">
        <v>0.2</v>
      </c>
      <c r="Q138" s="323">
        <f t="shared" si="31"/>
        <v>85</v>
      </c>
      <c r="R138" s="214">
        <f t="shared" si="32"/>
        <v>105.1</v>
      </c>
      <c r="S138" s="215">
        <f t="shared" si="33"/>
        <v>35</v>
      </c>
      <c r="T138" s="216">
        <f t="shared" si="34"/>
        <v>5.3000000000000007</v>
      </c>
      <c r="U138" s="221">
        <f t="shared" si="35"/>
        <v>140.1</v>
      </c>
      <c r="V138" s="218">
        <f t="shared" si="36"/>
        <v>11.299999999999999</v>
      </c>
      <c r="W138" s="219">
        <f t="shared" si="37"/>
        <v>2</v>
      </c>
      <c r="X138" s="220">
        <f t="shared" si="38"/>
        <v>2</v>
      </c>
      <c r="Y138" s="14"/>
    </row>
    <row r="139" spans="1:25" ht="13.5">
      <c r="A139" s="112"/>
      <c r="B139" s="48"/>
      <c r="C139" s="20" t="s">
        <v>491</v>
      </c>
      <c r="D139" s="20" t="s">
        <v>213</v>
      </c>
      <c r="E139" s="28">
        <v>10</v>
      </c>
      <c r="F139" s="28" t="s">
        <v>804</v>
      </c>
      <c r="G139" s="119">
        <v>85</v>
      </c>
      <c r="H139" s="122">
        <f t="shared" si="29"/>
        <v>850</v>
      </c>
      <c r="I139" s="323">
        <v>8.5</v>
      </c>
      <c r="J139" s="222">
        <v>12.21</v>
      </c>
      <c r="K139" s="215">
        <v>3.5</v>
      </c>
      <c r="L139" s="216">
        <v>0.53</v>
      </c>
      <c r="M139" s="221">
        <f t="shared" si="30"/>
        <v>15.71</v>
      </c>
      <c r="N139" s="218">
        <v>1.1299999999999999</v>
      </c>
      <c r="O139" s="219">
        <v>0.2</v>
      </c>
      <c r="P139" s="220">
        <v>0.2</v>
      </c>
      <c r="Q139" s="323">
        <f t="shared" si="31"/>
        <v>85</v>
      </c>
      <c r="R139" s="214">
        <f t="shared" si="32"/>
        <v>122.10000000000001</v>
      </c>
      <c r="S139" s="215">
        <f t="shared" si="33"/>
        <v>35</v>
      </c>
      <c r="T139" s="216">
        <f t="shared" si="34"/>
        <v>5.3000000000000007</v>
      </c>
      <c r="U139" s="221">
        <f t="shared" si="35"/>
        <v>157.10000000000002</v>
      </c>
      <c r="V139" s="218">
        <f t="shared" si="36"/>
        <v>11.299999999999999</v>
      </c>
      <c r="W139" s="219">
        <f t="shared" si="37"/>
        <v>2</v>
      </c>
      <c r="X139" s="220">
        <f t="shared" si="38"/>
        <v>2</v>
      </c>
      <c r="Y139" s="14"/>
    </row>
    <row r="140" spans="1:25">
      <c r="A140" s="112">
        <v>40477</v>
      </c>
      <c r="B140" s="48">
        <v>740</v>
      </c>
      <c r="C140" s="20" t="s">
        <v>425</v>
      </c>
      <c r="D140" s="20" t="s">
        <v>113</v>
      </c>
      <c r="E140" s="28">
        <v>20</v>
      </c>
      <c r="F140" s="28" t="s">
        <v>805</v>
      </c>
      <c r="G140" s="119">
        <v>12.5</v>
      </c>
      <c r="H140" s="122">
        <f t="shared" si="29"/>
        <v>250</v>
      </c>
      <c r="I140" s="323">
        <v>1</v>
      </c>
      <c r="J140" s="214">
        <v>1.82</v>
      </c>
      <c r="K140" s="215">
        <v>1.4</v>
      </c>
      <c r="L140" s="216">
        <v>0.21</v>
      </c>
      <c r="M140" s="221">
        <f t="shared" si="30"/>
        <v>3.2199999999999998</v>
      </c>
      <c r="N140" s="218">
        <v>0.28999999999999998</v>
      </c>
      <c r="O140" s="219">
        <v>0.1</v>
      </c>
      <c r="P140" s="220">
        <v>0.1</v>
      </c>
      <c r="Q140" s="323">
        <f t="shared" si="31"/>
        <v>20</v>
      </c>
      <c r="R140" s="214">
        <f t="shared" si="32"/>
        <v>36.4</v>
      </c>
      <c r="S140" s="215">
        <f t="shared" si="33"/>
        <v>28</v>
      </c>
      <c r="T140" s="216">
        <f t="shared" si="34"/>
        <v>4.2</v>
      </c>
      <c r="U140" s="221">
        <f t="shared" si="35"/>
        <v>64.399999999999991</v>
      </c>
      <c r="V140" s="218">
        <f t="shared" si="36"/>
        <v>5.8</v>
      </c>
      <c r="W140" s="219">
        <f t="shared" si="37"/>
        <v>2</v>
      </c>
      <c r="X140" s="220">
        <f t="shared" si="38"/>
        <v>2</v>
      </c>
      <c r="Y140" s="14"/>
    </row>
    <row r="141" spans="1:25">
      <c r="A141" s="112">
        <v>40478</v>
      </c>
      <c r="B141" s="48">
        <v>741</v>
      </c>
      <c r="C141" s="20" t="s">
        <v>425</v>
      </c>
      <c r="D141" s="20" t="s">
        <v>66</v>
      </c>
      <c r="E141" s="28">
        <v>20</v>
      </c>
      <c r="F141" s="20" t="s">
        <v>806</v>
      </c>
      <c r="G141" s="119">
        <v>11.5</v>
      </c>
      <c r="H141" s="122">
        <f t="shared" si="29"/>
        <v>230</v>
      </c>
      <c r="I141" s="323">
        <v>1</v>
      </c>
      <c r="J141" s="214">
        <v>1.82</v>
      </c>
      <c r="K141" s="215">
        <v>1.4</v>
      </c>
      <c r="L141" s="216">
        <v>0.21</v>
      </c>
      <c r="M141" s="221">
        <f t="shared" si="30"/>
        <v>3.2199999999999998</v>
      </c>
      <c r="N141" s="218">
        <v>0.28999999999999998</v>
      </c>
      <c r="O141" s="219">
        <v>0.1</v>
      </c>
      <c r="P141" s="220">
        <v>0.1</v>
      </c>
      <c r="Q141" s="323">
        <f t="shared" si="31"/>
        <v>20</v>
      </c>
      <c r="R141" s="214">
        <f t="shared" si="32"/>
        <v>36.4</v>
      </c>
      <c r="S141" s="215">
        <f t="shared" si="33"/>
        <v>28</v>
      </c>
      <c r="T141" s="216">
        <f t="shared" si="34"/>
        <v>4.2</v>
      </c>
      <c r="U141" s="221">
        <f t="shared" si="35"/>
        <v>64.399999999999991</v>
      </c>
      <c r="V141" s="218">
        <f t="shared" si="36"/>
        <v>5.8</v>
      </c>
      <c r="W141" s="219">
        <f t="shared" si="37"/>
        <v>2</v>
      </c>
      <c r="X141" s="220">
        <f t="shared" si="38"/>
        <v>2</v>
      </c>
      <c r="Y141" s="14"/>
    </row>
    <row r="142" spans="1:25" ht="13.5">
      <c r="A142" s="112" t="s">
        <v>38</v>
      </c>
      <c r="B142" s="48">
        <v>742</v>
      </c>
      <c r="C142" s="20" t="s">
        <v>425</v>
      </c>
      <c r="D142" s="20" t="s">
        <v>213</v>
      </c>
      <c r="E142" s="28">
        <v>60</v>
      </c>
      <c r="F142" s="28" t="s">
        <v>807</v>
      </c>
      <c r="G142" s="119">
        <v>80</v>
      </c>
      <c r="H142" s="122">
        <f t="shared" si="29"/>
        <v>4800</v>
      </c>
      <c r="I142" s="323">
        <v>8.5</v>
      </c>
      <c r="J142" s="222">
        <v>11.55</v>
      </c>
      <c r="K142" s="215">
        <v>3</v>
      </c>
      <c r="L142" s="216">
        <v>0.53</v>
      </c>
      <c r="M142" s="221">
        <f t="shared" si="30"/>
        <v>14.55</v>
      </c>
      <c r="N142" s="218">
        <v>1.1299999999999999</v>
      </c>
      <c r="O142" s="219">
        <v>0.2</v>
      </c>
      <c r="P142" s="220">
        <v>0.2</v>
      </c>
      <c r="Q142" s="323">
        <f t="shared" si="31"/>
        <v>510</v>
      </c>
      <c r="R142" s="214">
        <f t="shared" si="32"/>
        <v>693</v>
      </c>
      <c r="S142" s="215">
        <f t="shared" si="33"/>
        <v>180</v>
      </c>
      <c r="T142" s="216">
        <f t="shared" si="34"/>
        <v>31.8</v>
      </c>
      <c r="U142" s="221">
        <f t="shared" si="35"/>
        <v>873</v>
      </c>
      <c r="V142" s="218">
        <f t="shared" si="36"/>
        <v>67.8</v>
      </c>
      <c r="W142" s="219">
        <f t="shared" si="37"/>
        <v>12</v>
      </c>
      <c r="X142" s="220">
        <f t="shared" si="38"/>
        <v>12</v>
      </c>
      <c r="Y142" s="14"/>
    </row>
    <row r="143" spans="1:25" ht="13.5">
      <c r="A143" s="112"/>
      <c r="B143" s="48"/>
      <c r="C143" s="20" t="s">
        <v>425</v>
      </c>
      <c r="D143" s="20" t="s">
        <v>213</v>
      </c>
      <c r="E143" s="28">
        <v>30</v>
      </c>
      <c r="F143" s="28" t="s">
        <v>808</v>
      </c>
      <c r="G143" s="119">
        <v>85</v>
      </c>
      <c r="H143" s="122">
        <f t="shared" si="29"/>
        <v>2550</v>
      </c>
      <c r="I143" s="323">
        <v>8.5</v>
      </c>
      <c r="J143" s="222">
        <v>16.260000000000002</v>
      </c>
      <c r="K143" s="230">
        <v>53.5</v>
      </c>
      <c r="L143" s="216">
        <v>0.53</v>
      </c>
      <c r="M143" s="221">
        <f t="shared" si="30"/>
        <v>69.760000000000005</v>
      </c>
      <c r="N143" s="218">
        <v>1.1299999999999999</v>
      </c>
      <c r="O143" s="219">
        <v>0.2</v>
      </c>
      <c r="P143" s="220">
        <v>0.2</v>
      </c>
      <c r="Q143" s="323">
        <f t="shared" si="31"/>
        <v>255</v>
      </c>
      <c r="R143" s="214">
        <f t="shared" si="32"/>
        <v>487.80000000000007</v>
      </c>
      <c r="S143" s="230">
        <f t="shared" si="33"/>
        <v>1605</v>
      </c>
      <c r="T143" s="216">
        <f t="shared" si="34"/>
        <v>15.9</v>
      </c>
      <c r="U143" s="221">
        <f t="shared" si="35"/>
        <v>2092.8000000000002</v>
      </c>
      <c r="V143" s="218">
        <f t="shared" si="36"/>
        <v>33.9</v>
      </c>
      <c r="W143" s="219">
        <f t="shared" si="37"/>
        <v>6</v>
      </c>
      <c r="X143" s="220">
        <f t="shared" si="38"/>
        <v>6</v>
      </c>
      <c r="Y143" s="14"/>
    </row>
    <row r="144" spans="1:25" ht="13.5" thickBot="1">
      <c r="A144" s="114">
        <v>40480</v>
      </c>
      <c r="B144" s="117">
        <v>743</v>
      </c>
      <c r="C144" s="107" t="s">
        <v>21</v>
      </c>
      <c r="D144" s="107" t="s">
        <v>42</v>
      </c>
      <c r="E144" s="108">
        <v>67</v>
      </c>
      <c r="F144" s="108" t="s">
        <v>809</v>
      </c>
      <c r="G144" s="120">
        <v>38.5</v>
      </c>
      <c r="H144" s="122">
        <f t="shared" si="29"/>
        <v>2579.5</v>
      </c>
      <c r="I144" s="324">
        <v>3.5</v>
      </c>
      <c r="J144" s="223">
        <v>7.43</v>
      </c>
      <c r="K144" s="224">
        <v>0.7</v>
      </c>
      <c r="L144" s="225">
        <v>0.11</v>
      </c>
      <c r="M144" s="226">
        <f t="shared" si="30"/>
        <v>8.129999999999999</v>
      </c>
      <c r="N144" s="227">
        <v>0.33</v>
      </c>
      <c r="O144" s="228">
        <v>0.1</v>
      </c>
      <c r="P144" s="229">
        <v>0.2</v>
      </c>
      <c r="Q144" s="324">
        <f t="shared" si="31"/>
        <v>234.5</v>
      </c>
      <c r="R144" s="223">
        <f t="shared" si="32"/>
        <v>497.81</v>
      </c>
      <c r="S144" s="224">
        <f t="shared" si="33"/>
        <v>46.9</v>
      </c>
      <c r="T144" s="225">
        <f t="shared" si="34"/>
        <v>7.37</v>
      </c>
      <c r="U144" s="226">
        <f t="shared" si="35"/>
        <v>544.70999999999992</v>
      </c>
      <c r="V144" s="227">
        <f t="shared" si="36"/>
        <v>22.11</v>
      </c>
      <c r="W144" s="228">
        <f t="shared" si="37"/>
        <v>6.7</v>
      </c>
      <c r="X144" s="229">
        <f t="shared" si="38"/>
        <v>13.4</v>
      </c>
      <c r="Y144" s="109"/>
    </row>
    <row r="145" spans="1:25" ht="19.5" customHeight="1" thickBot="1">
      <c r="A145" s="32"/>
      <c r="B145" s="32"/>
      <c r="C145" s="32"/>
      <c r="D145" s="32"/>
      <c r="E145" s="32"/>
      <c r="F145" s="76" t="s">
        <v>810</v>
      </c>
      <c r="G145" s="72"/>
      <c r="H145" s="362">
        <f>SUM(H8:H144)</f>
        <v>275065.38</v>
      </c>
      <c r="I145" s="363"/>
      <c r="J145" s="78" t="s">
        <v>36</v>
      </c>
      <c r="K145" s="79"/>
      <c r="L145" s="80"/>
      <c r="M145" s="81">
        <f>SUM(M59:M144)</f>
        <v>857.04999999999984</v>
      </c>
      <c r="N145" s="73"/>
      <c r="O145" s="74"/>
      <c r="P145" s="75"/>
      <c r="Q145" s="312">
        <f t="shared" ref="Q145:X145" si="39">SUM(Q8:Q144)</f>
        <v>19189.849999999999</v>
      </c>
      <c r="R145" s="98">
        <f t="shared" si="39"/>
        <v>48610.66</v>
      </c>
      <c r="S145" s="99">
        <f t="shared" si="39"/>
        <v>7787.5</v>
      </c>
      <c r="T145" s="100">
        <f t="shared" si="39"/>
        <v>936.39</v>
      </c>
      <c r="U145" s="101">
        <f t="shared" si="39"/>
        <v>56398.159999999996</v>
      </c>
      <c r="V145" s="319">
        <f t="shared" si="39"/>
        <v>1471.43</v>
      </c>
      <c r="W145" s="320">
        <f t="shared" si="39"/>
        <v>3220.4500000000003</v>
      </c>
      <c r="X145" s="321">
        <f t="shared" si="39"/>
        <v>1078.0000000000005</v>
      </c>
      <c r="Y145" s="32" t="s">
        <v>36</v>
      </c>
    </row>
    <row r="146" spans="1:25" ht="19.5" customHeight="1" thickBot="1">
      <c r="A146" s="32"/>
      <c r="B146" s="32"/>
      <c r="C146" s="32"/>
      <c r="D146" s="32"/>
      <c r="E146" s="32"/>
      <c r="F146" s="76" t="s">
        <v>810</v>
      </c>
      <c r="G146" s="72"/>
      <c r="H146" s="364">
        <f>H145/7.06</f>
        <v>38961.101983002838</v>
      </c>
      <c r="I146" s="365"/>
      <c r="J146" s="78" t="s">
        <v>407</v>
      </c>
      <c r="K146" s="79"/>
      <c r="L146" s="80"/>
      <c r="M146" s="81">
        <f>M145/7.06</f>
        <v>121.39518413597732</v>
      </c>
      <c r="N146" s="73"/>
      <c r="O146" s="74"/>
      <c r="P146" s="77"/>
      <c r="Q146" s="318">
        <f t="shared" ref="Q146:X146" si="40">Q145/7.06</f>
        <v>2718.1090651558075</v>
      </c>
      <c r="R146" s="83">
        <f t="shared" si="40"/>
        <v>6885.3626062322955</v>
      </c>
      <c r="S146" s="84">
        <f t="shared" si="40"/>
        <v>1103.0453257790368</v>
      </c>
      <c r="T146" s="80">
        <f t="shared" si="40"/>
        <v>132.63314447592069</v>
      </c>
      <c r="U146" s="81">
        <f t="shared" si="40"/>
        <v>7988.4079320113315</v>
      </c>
      <c r="V146" s="73">
        <f t="shared" si="40"/>
        <v>208.41784702549577</v>
      </c>
      <c r="W146" s="74">
        <f t="shared" si="40"/>
        <v>456.15439093484423</v>
      </c>
      <c r="X146" s="360">
        <f t="shared" si="40"/>
        <v>152.69121813031168</v>
      </c>
      <c r="Y146" s="32" t="s">
        <v>407</v>
      </c>
    </row>
  </sheetData>
  <autoFilter ref="A7:S37">
    <filterColumn colId="7"/>
    <filterColumn colId="11"/>
    <filterColumn colId="16"/>
  </autoFilter>
  <mergeCells count="3">
    <mergeCell ref="H145:I145"/>
    <mergeCell ref="H146:I146"/>
    <mergeCell ref="G3:K4"/>
  </mergeCells>
  <pageMargins left="0.19685039370078741" right="0.39370078740157483" top="0.59055118110236227" bottom="0.39370078740157483" header="0" footer="0"/>
  <pageSetup paperSize="5" scale="80" orientation="landscape" horizontalDpi="4294967294" verticalDpi="300" r:id="rId1"/>
  <headerFooter alignWithMargins="0"/>
  <drawing r:id="rId2"/>
</worksheet>
</file>

<file path=xl/worksheets/sheet11.xml><?xml version="1.0" encoding="utf-8"?>
<worksheet xmlns="http://schemas.openxmlformats.org/spreadsheetml/2006/main" xmlns:r="http://schemas.openxmlformats.org/officeDocument/2006/relationships">
  <sheetPr>
    <tabColor rgb="FF580058"/>
  </sheetPr>
  <dimension ref="A1:Y135"/>
  <sheetViews>
    <sheetView topLeftCell="F1" workbookViewId="0">
      <pane ySplit="7" topLeftCell="A128" activePane="bottomLeft" state="frozen"/>
      <selection pane="bottomLeft" activeCell="X134" sqref="X134"/>
    </sheetView>
  </sheetViews>
  <sheetFormatPr baseColWidth="10" defaultRowHeight="12.75"/>
  <cols>
    <col min="1" max="1" width="8.140625" customWidth="1"/>
    <col min="2" max="2" width="6" customWidth="1"/>
    <col min="3" max="3" width="13.7109375" customWidth="1"/>
    <col min="4" max="4" width="12" customWidth="1"/>
    <col min="5" max="5" width="4.85546875" customWidth="1"/>
    <col min="6" max="6" width="39.5703125" customWidth="1"/>
    <col min="7" max="7" width="6.5703125" customWidth="1"/>
    <col min="8" max="8" width="8.28515625" customWidth="1"/>
    <col min="9" max="9" width="4.85546875" customWidth="1"/>
    <col min="10" max="10" width="5.5703125" customWidth="1"/>
    <col min="11" max="12" width="4.85546875" customWidth="1"/>
    <col min="13" max="13" width="7.140625" customWidth="1"/>
    <col min="14" max="16" width="4.7109375" customWidth="1"/>
    <col min="17" max="17" width="9" customWidth="1"/>
    <col min="18" max="18" width="9.42578125" customWidth="1"/>
    <col min="19" max="19" width="8.140625" customWidth="1"/>
    <col min="20" max="20" width="8.42578125" customWidth="1"/>
    <col min="21" max="21" width="9.5703125" customWidth="1"/>
    <col min="22" max="22" width="8.28515625" customWidth="1"/>
    <col min="23" max="23" width="9.28515625" customWidth="1"/>
    <col min="24" max="24" width="8.28515625" customWidth="1"/>
    <col min="25" max="25" width="8" customWidth="1"/>
    <col min="26" max="26" width="16.85546875" customWidth="1"/>
  </cols>
  <sheetData>
    <row r="1" spans="1:25" ht="17.25" customHeight="1">
      <c r="A1" s="261" t="s">
        <v>12</v>
      </c>
      <c r="B1" s="3"/>
      <c r="C1" s="3"/>
      <c r="N1" s="5"/>
    </row>
    <row r="2" spans="1:25" ht="17.25" customHeight="1">
      <c r="A2" s="261" t="s">
        <v>13</v>
      </c>
      <c r="B2" s="3"/>
      <c r="C2" s="3"/>
      <c r="D2" s="2"/>
      <c r="N2" s="5"/>
      <c r="P2" s="4"/>
      <c r="Q2" s="4"/>
      <c r="R2" s="4"/>
      <c r="S2" s="4"/>
    </row>
    <row r="3" spans="1:25" ht="17.25" customHeight="1">
      <c r="A3" s="261" t="s">
        <v>14</v>
      </c>
      <c r="B3" s="3"/>
      <c r="C3" s="3"/>
      <c r="D3" s="2"/>
      <c r="E3" s="260"/>
      <c r="F3" s="260"/>
      <c r="G3" s="369" t="s">
        <v>146</v>
      </c>
      <c r="H3" s="369"/>
      <c r="I3" s="369"/>
      <c r="J3" s="369"/>
      <c r="K3" s="369"/>
      <c r="L3" s="260"/>
      <c r="M3" s="260"/>
      <c r="N3" s="5"/>
      <c r="P3" s="4"/>
      <c r="Q3" s="4"/>
      <c r="R3" s="4"/>
      <c r="S3" s="4"/>
    </row>
    <row r="4" spans="1:25" ht="17.25" customHeight="1">
      <c r="A4" s="261" t="s">
        <v>34</v>
      </c>
      <c r="B4" s="3"/>
      <c r="C4" s="3"/>
      <c r="D4" s="2" t="s">
        <v>16</v>
      </c>
      <c r="E4" s="260"/>
      <c r="F4" s="260"/>
      <c r="G4" s="369"/>
      <c r="H4" s="369"/>
      <c r="I4" s="369"/>
      <c r="J4" s="369"/>
      <c r="K4" s="369"/>
      <c r="L4" s="260"/>
      <c r="M4" s="260"/>
      <c r="N4" s="5"/>
      <c r="P4" s="4"/>
      <c r="Q4" s="4"/>
      <c r="R4" s="4"/>
      <c r="S4" s="4"/>
    </row>
    <row r="5" spans="1:25" ht="17.25" customHeight="1">
      <c r="A5" s="261" t="s">
        <v>15</v>
      </c>
      <c r="B5" s="3"/>
      <c r="C5" s="3"/>
      <c r="D5" s="2"/>
      <c r="E5" s="6"/>
      <c r="F5" s="6"/>
      <c r="G5" s="6"/>
      <c r="H5" s="6"/>
      <c r="I5" s="6"/>
      <c r="N5" s="5"/>
      <c r="P5" s="4"/>
      <c r="Q5" s="4"/>
      <c r="R5" s="4"/>
      <c r="S5" s="4"/>
    </row>
    <row r="6" spans="1:25" ht="32.25" customHeight="1" thickBot="1">
      <c r="A6" s="346" t="s">
        <v>1749</v>
      </c>
      <c r="D6" s="1"/>
      <c r="N6" s="5"/>
    </row>
    <row r="7" spans="1:25" s="13" customFormat="1" ht="29.25" customHeight="1" thickBot="1">
      <c r="A7" s="9" t="s">
        <v>0</v>
      </c>
      <c r="B7" s="10" t="s">
        <v>1</v>
      </c>
      <c r="C7" s="9" t="s">
        <v>19</v>
      </c>
      <c r="D7" s="33" t="s">
        <v>18</v>
      </c>
      <c r="E7" s="12" t="s">
        <v>9</v>
      </c>
      <c r="F7" s="9" t="s">
        <v>2</v>
      </c>
      <c r="G7" s="8" t="s">
        <v>20</v>
      </c>
      <c r="H7" s="8" t="s">
        <v>405</v>
      </c>
      <c r="I7" s="305" t="s">
        <v>3</v>
      </c>
      <c r="J7" s="31" t="s">
        <v>10</v>
      </c>
      <c r="K7" s="61" t="s">
        <v>11</v>
      </c>
      <c r="L7" s="62" t="s">
        <v>29</v>
      </c>
      <c r="M7" s="16" t="s">
        <v>6</v>
      </c>
      <c r="N7" s="63" t="s">
        <v>147</v>
      </c>
      <c r="O7" s="64" t="s">
        <v>148</v>
      </c>
      <c r="P7" s="65" t="s">
        <v>149</v>
      </c>
      <c r="Q7" s="311" t="s">
        <v>8</v>
      </c>
      <c r="R7" s="31" t="s">
        <v>4</v>
      </c>
      <c r="S7" s="61" t="s">
        <v>5</v>
      </c>
      <c r="T7" s="62" t="s">
        <v>31</v>
      </c>
      <c r="U7" s="9" t="s">
        <v>7</v>
      </c>
      <c r="V7" s="63" t="s">
        <v>150</v>
      </c>
      <c r="W7" s="64" t="s">
        <v>151</v>
      </c>
      <c r="X7" s="65" t="s">
        <v>152</v>
      </c>
      <c r="Y7" s="9" t="s">
        <v>22</v>
      </c>
    </row>
    <row r="8" spans="1:25" s="7" customFormat="1" ht="12" customHeight="1">
      <c r="A8" s="233">
        <v>40483</v>
      </c>
      <c r="B8" s="28">
        <v>744</v>
      </c>
      <c r="C8" s="20" t="s">
        <v>167</v>
      </c>
      <c r="D8" s="20" t="s">
        <v>168</v>
      </c>
      <c r="E8" s="28">
        <v>100</v>
      </c>
      <c r="F8" s="28" t="s">
        <v>1509</v>
      </c>
      <c r="G8" s="119">
        <v>14.5</v>
      </c>
      <c r="H8" s="194">
        <f>E8*G8</f>
        <v>1450</v>
      </c>
      <c r="I8" s="347">
        <v>1</v>
      </c>
      <c r="J8" s="326">
        <v>3.37</v>
      </c>
      <c r="K8" s="327">
        <v>2.5</v>
      </c>
      <c r="L8" s="328">
        <v>0.38</v>
      </c>
      <c r="M8" s="329">
        <f>J8+K8</f>
        <v>5.87</v>
      </c>
      <c r="N8" s="330">
        <v>0.28999999999999998</v>
      </c>
      <c r="O8" s="331">
        <v>0.1</v>
      </c>
      <c r="P8" s="332">
        <v>0.1</v>
      </c>
      <c r="Q8" s="349">
        <f t="shared" ref="Q8:Q76" si="0">E8*I8</f>
        <v>100</v>
      </c>
      <c r="R8" s="333">
        <f t="shared" ref="R8:R76" si="1">E8*J8</f>
        <v>337</v>
      </c>
      <c r="S8" s="334">
        <f t="shared" ref="S8:S76" si="2">E8*K8</f>
        <v>250</v>
      </c>
      <c r="T8" s="335">
        <f t="shared" ref="T8:T76" si="3">E8*L8</f>
        <v>38</v>
      </c>
      <c r="U8" s="329">
        <f t="shared" ref="U8:U76" si="4">E8*M8</f>
        <v>587</v>
      </c>
      <c r="V8" s="330">
        <f t="shared" ref="V8:V76" si="5">N8*E8</f>
        <v>28.999999999999996</v>
      </c>
      <c r="W8" s="331">
        <f t="shared" ref="W8:W76" si="6">O8*E8</f>
        <v>10</v>
      </c>
      <c r="X8" s="332">
        <f t="shared" ref="X8:X76" si="7">P8*E8</f>
        <v>10</v>
      </c>
      <c r="Y8" s="14"/>
    </row>
    <row r="9" spans="1:25" s="7" customFormat="1" ht="12" customHeight="1">
      <c r="A9" s="237">
        <v>40485</v>
      </c>
      <c r="B9" s="198">
        <v>745</v>
      </c>
      <c r="C9" s="199" t="s">
        <v>1510</v>
      </c>
      <c r="D9" s="199" t="s">
        <v>474</v>
      </c>
      <c r="E9" s="198">
        <v>100</v>
      </c>
      <c r="F9" s="198" t="s">
        <v>1511</v>
      </c>
      <c r="G9" s="241">
        <v>14.5</v>
      </c>
      <c r="H9" s="150">
        <f t="shared" ref="H9:H72" si="8">E9*G9</f>
        <v>1450</v>
      </c>
      <c r="I9" s="347">
        <v>1</v>
      </c>
      <c r="J9" s="326">
        <v>3.03</v>
      </c>
      <c r="K9" s="327">
        <v>1.2</v>
      </c>
      <c r="L9" s="328">
        <v>0.18</v>
      </c>
      <c r="M9" s="336">
        <f>J9+K9</f>
        <v>4.2299999999999995</v>
      </c>
      <c r="N9" s="337">
        <v>0.28999999999999998</v>
      </c>
      <c r="O9" s="231">
        <v>0.1</v>
      </c>
      <c r="P9" s="338">
        <v>0.1</v>
      </c>
      <c r="Q9" s="325">
        <f t="shared" si="0"/>
        <v>100</v>
      </c>
      <c r="R9" s="222">
        <f t="shared" si="1"/>
        <v>303</v>
      </c>
      <c r="S9" s="230">
        <f t="shared" si="2"/>
        <v>120</v>
      </c>
      <c r="T9" s="339">
        <f t="shared" si="3"/>
        <v>18</v>
      </c>
      <c r="U9" s="336">
        <f t="shared" si="4"/>
        <v>422.99999999999994</v>
      </c>
      <c r="V9" s="337">
        <f t="shared" si="5"/>
        <v>28.999999999999996</v>
      </c>
      <c r="W9" s="231">
        <f t="shared" si="6"/>
        <v>10</v>
      </c>
      <c r="X9" s="338">
        <f t="shared" si="7"/>
        <v>10</v>
      </c>
      <c r="Y9" s="14"/>
    </row>
    <row r="10" spans="1:25" s="7" customFormat="1" ht="12" customHeight="1">
      <c r="A10" s="237"/>
      <c r="B10" s="198"/>
      <c r="C10" s="199" t="s">
        <v>1510</v>
      </c>
      <c r="D10" s="199" t="s">
        <v>474</v>
      </c>
      <c r="E10" s="198">
        <v>100</v>
      </c>
      <c r="F10" s="198" t="s">
        <v>1512</v>
      </c>
      <c r="G10" s="241">
        <v>14.5</v>
      </c>
      <c r="H10" s="150">
        <f t="shared" si="8"/>
        <v>1450</v>
      </c>
      <c r="I10" s="347">
        <v>1</v>
      </c>
      <c r="J10" s="326">
        <v>3.03</v>
      </c>
      <c r="K10" s="327">
        <v>1.2</v>
      </c>
      <c r="L10" s="328">
        <v>0.18</v>
      </c>
      <c r="M10" s="336">
        <f t="shared" ref="M10:M73" si="9">J10+K10</f>
        <v>4.2299999999999995</v>
      </c>
      <c r="N10" s="337">
        <v>0.28999999999999998</v>
      </c>
      <c r="O10" s="231">
        <v>0.1</v>
      </c>
      <c r="P10" s="338">
        <v>0.1</v>
      </c>
      <c r="Q10" s="325">
        <f t="shared" si="0"/>
        <v>100</v>
      </c>
      <c r="R10" s="222">
        <f t="shared" si="1"/>
        <v>303</v>
      </c>
      <c r="S10" s="230">
        <f t="shared" si="2"/>
        <v>120</v>
      </c>
      <c r="T10" s="339">
        <f t="shared" si="3"/>
        <v>18</v>
      </c>
      <c r="U10" s="340">
        <f t="shared" si="4"/>
        <v>422.99999999999994</v>
      </c>
      <c r="V10" s="337">
        <f t="shared" si="5"/>
        <v>28.999999999999996</v>
      </c>
      <c r="W10" s="231">
        <f t="shared" si="6"/>
        <v>10</v>
      </c>
      <c r="X10" s="338">
        <f t="shared" si="7"/>
        <v>10</v>
      </c>
      <c r="Y10" s="14"/>
    </row>
    <row r="11" spans="1:25" s="7" customFormat="1" ht="12" customHeight="1">
      <c r="A11" s="233">
        <v>40485</v>
      </c>
      <c r="B11" s="28">
        <v>746</v>
      </c>
      <c r="C11" s="20" t="s">
        <v>425</v>
      </c>
      <c r="D11" s="20" t="s">
        <v>425</v>
      </c>
      <c r="E11" s="28">
        <v>100</v>
      </c>
      <c r="F11" s="28" t="s">
        <v>1513</v>
      </c>
      <c r="G11" s="119">
        <v>0</v>
      </c>
      <c r="H11" s="150">
        <f t="shared" si="8"/>
        <v>0</v>
      </c>
      <c r="I11" s="347">
        <v>0</v>
      </c>
      <c r="J11" s="326">
        <v>0</v>
      </c>
      <c r="K11" s="327">
        <v>0</v>
      </c>
      <c r="L11" s="328">
        <v>0</v>
      </c>
      <c r="M11" s="336">
        <f t="shared" si="9"/>
        <v>0</v>
      </c>
      <c r="N11" s="337">
        <v>0</v>
      </c>
      <c r="O11" s="231">
        <v>0</v>
      </c>
      <c r="P11" s="338">
        <v>0</v>
      </c>
      <c r="Q11" s="325">
        <f t="shared" si="0"/>
        <v>0</v>
      </c>
      <c r="R11" s="222">
        <f t="shared" si="1"/>
        <v>0</v>
      </c>
      <c r="S11" s="230">
        <f t="shared" si="2"/>
        <v>0</v>
      </c>
      <c r="T11" s="339">
        <f t="shared" si="3"/>
        <v>0</v>
      </c>
      <c r="U11" s="340">
        <f t="shared" si="4"/>
        <v>0</v>
      </c>
      <c r="V11" s="337">
        <f t="shared" si="5"/>
        <v>0</v>
      </c>
      <c r="W11" s="231">
        <f t="shared" si="6"/>
        <v>0</v>
      </c>
      <c r="X11" s="338">
        <f t="shared" si="7"/>
        <v>0</v>
      </c>
      <c r="Y11" s="14"/>
    </row>
    <row r="12" spans="1:25" s="7" customFormat="1" ht="12" customHeight="1">
      <c r="A12" s="233">
        <v>40486</v>
      </c>
      <c r="B12" s="28">
        <v>747</v>
      </c>
      <c r="C12" s="20" t="s">
        <v>1514</v>
      </c>
      <c r="D12" s="20" t="s">
        <v>1515</v>
      </c>
      <c r="E12" s="28">
        <v>300</v>
      </c>
      <c r="F12" s="28" t="s">
        <v>1516</v>
      </c>
      <c r="G12" s="119">
        <v>14.5</v>
      </c>
      <c r="H12" s="150">
        <f t="shared" si="8"/>
        <v>4350</v>
      </c>
      <c r="I12" s="347">
        <v>1</v>
      </c>
      <c r="J12" s="326">
        <v>3.37</v>
      </c>
      <c r="K12" s="327">
        <v>2.5</v>
      </c>
      <c r="L12" s="328">
        <v>0.38</v>
      </c>
      <c r="M12" s="336">
        <f t="shared" si="9"/>
        <v>5.87</v>
      </c>
      <c r="N12" s="337">
        <v>0.28999999999999998</v>
      </c>
      <c r="O12" s="231">
        <v>0.1</v>
      </c>
      <c r="P12" s="338">
        <v>0.1</v>
      </c>
      <c r="Q12" s="325">
        <f t="shared" si="0"/>
        <v>300</v>
      </c>
      <c r="R12" s="222">
        <f t="shared" si="1"/>
        <v>1011</v>
      </c>
      <c r="S12" s="230">
        <f t="shared" si="2"/>
        <v>750</v>
      </c>
      <c r="T12" s="339">
        <f t="shared" si="3"/>
        <v>114</v>
      </c>
      <c r="U12" s="340">
        <f t="shared" si="4"/>
        <v>1761</v>
      </c>
      <c r="V12" s="337">
        <f t="shared" si="5"/>
        <v>87</v>
      </c>
      <c r="W12" s="231">
        <f t="shared" si="6"/>
        <v>30</v>
      </c>
      <c r="X12" s="338">
        <f t="shared" si="7"/>
        <v>30</v>
      </c>
      <c r="Y12" s="14"/>
    </row>
    <row r="13" spans="1:25" s="7" customFormat="1" ht="12" customHeight="1">
      <c r="A13" s="233"/>
      <c r="B13" s="28"/>
      <c r="C13" s="20" t="s">
        <v>1514</v>
      </c>
      <c r="D13" s="20" t="s">
        <v>1515</v>
      </c>
      <c r="E13" s="28">
        <v>250</v>
      </c>
      <c r="F13" s="28" t="s">
        <v>1517</v>
      </c>
      <c r="G13" s="119">
        <v>37.5</v>
      </c>
      <c r="H13" s="150">
        <f t="shared" si="8"/>
        <v>9375</v>
      </c>
      <c r="I13" s="347">
        <v>3.5</v>
      </c>
      <c r="J13" s="326">
        <v>1.86</v>
      </c>
      <c r="K13" s="327">
        <v>2.2000000000000002</v>
      </c>
      <c r="L13" s="328">
        <v>0.33</v>
      </c>
      <c r="M13" s="336">
        <f t="shared" si="9"/>
        <v>4.0600000000000005</v>
      </c>
      <c r="N13" s="337">
        <v>0.33</v>
      </c>
      <c r="O13" s="231">
        <v>0.1</v>
      </c>
      <c r="P13" s="338">
        <v>0.1</v>
      </c>
      <c r="Q13" s="325">
        <f t="shared" si="0"/>
        <v>875</v>
      </c>
      <c r="R13" s="222">
        <f t="shared" si="1"/>
        <v>465</v>
      </c>
      <c r="S13" s="230">
        <f t="shared" si="2"/>
        <v>550</v>
      </c>
      <c r="T13" s="339">
        <f t="shared" si="3"/>
        <v>82.5</v>
      </c>
      <c r="U13" s="340">
        <f t="shared" si="4"/>
        <v>1015.0000000000001</v>
      </c>
      <c r="V13" s="337">
        <f t="shared" si="5"/>
        <v>82.5</v>
      </c>
      <c r="W13" s="231">
        <f t="shared" si="6"/>
        <v>25</v>
      </c>
      <c r="X13" s="338">
        <f t="shared" si="7"/>
        <v>25</v>
      </c>
      <c r="Y13" s="14"/>
    </row>
    <row r="14" spans="1:25" s="7" customFormat="1" ht="12" customHeight="1">
      <c r="A14" s="233"/>
      <c r="B14" s="28"/>
      <c r="C14" s="20" t="s">
        <v>1514</v>
      </c>
      <c r="D14" s="20" t="s">
        <v>1515</v>
      </c>
      <c r="E14" s="28">
        <v>350</v>
      </c>
      <c r="F14" s="28" t="s">
        <v>1518</v>
      </c>
      <c r="G14" s="119">
        <v>36</v>
      </c>
      <c r="H14" s="150">
        <f t="shared" si="8"/>
        <v>12600</v>
      </c>
      <c r="I14" s="347">
        <v>3.5</v>
      </c>
      <c r="J14" s="326">
        <v>7.64</v>
      </c>
      <c r="K14" s="341">
        <v>2.5</v>
      </c>
      <c r="L14" s="328">
        <v>0.38</v>
      </c>
      <c r="M14" s="336">
        <f t="shared" si="9"/>
        <v>10.14</v>
      </c>
      <c r="N14" s="337">
        <v>0.33</v>
      </c>
      <c r="O14" s="231">
        <v>0.1</v>
      </c>
      <c r="P14" s="338">
        <v>0.2</v>
      </c>
      <c r="Q14" s="325">
        <f>E14*I14</f>
        <v>1225</v>
      </c>
      <c r="R14" s="222">
        <f t="shared" si="1"/>
        <v>2674</v>
      </c>
      <c r="S14" s="230">
        <f t="shared" si="2"/>
        <v>875</v>
      </c>
      <c r="T14" s="339">
        <f t="shared" si="3"/>
        <v>133</v>
      </c>
      <c r="U14" s="340">
        <f t="shared" si="4"/>
        <v>3549</v>
      </c>
      <c r="V14" s="337">
        <f t="shared" si="5"/>
        <v>115.5</v>
      </c>
      <c r="W14" s="231">
        <f t="shared" si="6"/>
        <v>35</v>
      </c>
      <c r="X14" s="338">
        <f t="shared" si="7"/>
        <v>70</v>
      </c>
      <c r="Y14" s="14"/>
    </row>
    <row r="15" spans="1:25" s="7" customFormat="1" ht="12" customHeight="1">
      <c r="A15" s="233">
        <v>40486</v>
      </c>
      <c r="B15" s="28">
        <v>748</v>
      </c>
      <c r="C15" s="20" t="s">
        <v>1519</v>
      </c>
      <c r="D15" s="20" t="s">
        <v>1520</v>
      </c>
      <c r="E15" s="28">
        <v>20</v>
      </c>
      <c r="F15" s="28" t="s">
        <v>1521</v>
      </c>
      <c r="G15" s="119">
        <f>56.9+5.5-2.4</f>
        <v>60</v>
      </c>
      <c r="H15" s="150">
        <f t="shared" si="8"/>
        <v>1200</v>
      </c>
      <c r="I15" s="347">
        <v>5.5</v>
      </c>
      <c r="J15" s="326">
        <v>14.68</v>
      </c>
      <c r="K15" s="327">
        <v>10.5</v>
      </c>
      <c r="L15" s="328">
        <v>1.58</v>
      </c>
      <c r="M15" s="336">
        <f t="shared" si="9"/>
        <v>25.18</v>
      </c>
      <c r="N15" s="337">
        <v>0.63</v>
      </c>
      <c r="O15" s="231">
        <v>0.1</v>
      </c>
      <c r="P15" s="338">
        <v>0.1</v>
      </c>
      <c r="Q15" s="325">
        <f t="shared" si="0"/>
        <v>110</v>
      </c>
      <c r="R15" s="222">
        <f t="shared" si="1"/>
        <v>293.60000000000002</v>
      </c>
      <c r="S15" s="230">
        <f t="shared" si="2"/>
        <v>210</v>
      </c>
      <c r="T15" s="339">
        <f t="shared" si="3"/>
        <v>31.6</v>
      </c>
      <c r="U15" s="340">
        <f t="shared" si="4"/>
        <v>503.6</v>
      </c>
      <c r="V15" s="337">
        <f t="shared" si="5"/>
        <v>12.6</v>
      </c>
      <c r="W15" s="231">
        <f t="shared" si="6"/>
        <v>2</v>
      </c>
      <c r="X15" s="338">
        <f t="shared" si="7"/>
        <v>2</v>
      </c>
      <c r="Y15" s="14"/>
    </row>
    <row r="16" spans="1:25" s="7" customFormat="1" ht="12" customHeight="1">
      <c r="A16" s="233"/>
      <c r="B16" s="28"/>
      <c r="C16" s="20" t="s">
        <v>1519</v>
      </c>
      <c r="D16" s="20" t="s">
        <v>1520</v>
      </c>
      <c r="E16" s="28">
        <v>20</v>
      </c>
      <c r="F16" s="28" t="s">
        <v>1522</v>
      </c>
      <c r="G16" s="119">
        <f>56.9+5.5-2.4</f>
        <v>60</v>
      </c>
      <c r="H16" s="150">
        <f t="shared" si="8"/>
        <v>1200</v>
      </c>
      <c r="I16" s="347">
        <v>5.5</v>
      </c>
      <c r="J16" s="326">
        <v>14.68</v>
      </c>
      <c r="K16" s="327">
        <v>10.5</v>
      </c>
      <c r="L16" s="328">
        <v>1.58</v>
      </c>
      <c r="M16" s="336">
        <f>J16+K16</f>
        <v>25.18</v>
      </c>
      <c r="N16" s="337">
        <v>0.63</v>
      </c>
      <c r="O16" s="231">
        <v>0.1</v>
      </c>
      <c r="P16" s="338">
        <v>0.1</v>
      </c>
      <c r="Q16" s="325">
        <f t="shared" si="0"/>
        <v>110</v>
      </c>
      <c r="R16" s="222">
        <f t="shared" si="1"/>
        <v>293.60000000000002</v>
      </c>
      <c r="S16" s="230">
        <f t="shared" si="2"/>
        <v>210</v>
      </c>
      <c r="T16" s="342">
        <f t="shared" si="3"/>
        <v>31.6</v>
      </c>
      <c r="U16" s="340">
        <f t="shared" si="4"/>
        <v>503.6</v>
      </c>
      <c r="V16" s="337">
        <f t="shared" si="5"/>
        <v>12.6</v>
      </c>
      <c r="W16" s="231">
        <f t="shared" si="6"/>
        <v>2</v>
      </c>
      <c r="X16" s="338">
        <f t="shared" si="7"/>
        <v>2</v>
      </c>
      <c r="Y16" s="14"/>
    </row>
    <row r="17" spans="1:25" s="7" customFormat="1" ht="12" customHeight="1">
      <c r="A17" s="233"/>
      <c r="B17" s="28"/>
      <c r="C17" s="20" t="s">
        <v>1519</v>
      </c>
      <c r="D17" s="20" t="s">
        <v>1520</v>
      </c>
      <c r="E17" s="28">
        <v>50</v>
      </c>
      <c r="F17" s="28" t="s">
        <v>1523</v>
      </c>
      <c r="G17" s="119">
        <f>16+2</f>
        <v>18</v>
      </c>
      <c r="H17" s="150">
        <f t="shared" si="8"/>
        <v>900</v>
      </c>
      <c r="I17" s="347">
        <v>1</v>
      </c>
      <c r="J17" s="326">
        <v>6.61</v>
      </c>
      <c r="K17" s="341">
        <v>3.5</v>
      </c>
      <c r="L17" s="328">
        <v>0.32</v>
      </c>
      <c r="M17" s="336">
        <f t="shared" si="9"/>
        <v>10.11</v>
      </c>
      <c r="N17" s="337">
        <v>0.28999999999999998</v>
      </c>
      <c r="O17" s="231">
        <v>0.1</v>
      </c>
      <c r="P17" s="338">
        <v>0.1</v>
      </c>
      <c r="Q17" s="325">
        <f t="shared" si="0"/>
        <v>50</v>
      </c>
      <c r="R17" s="222">
        <f t="shared" si="1"/>
        <v>330.5</v>
      </c>
      <c r="S17" s="230">
        <f t="shared" si="2"/>
        <v>175</v>
      </c>
      <c r="T17" s="339">
        <f t="shared" si="3"/>
        <v>16</v>
      </c>
      <c r="U17" s="340">
        <f t="shared" si="4"/>
        <v>505.5</v>
      </c>
      <c r="V17" s="337">
        <f t="shared" si="5"/>
        <v>14.499999999999998</v>
      </c>
      <c r="W17" s="231">
        <f t="shared" si="6"/>
        <v>5</v>
      </c>
      <c r="X17" s="338">
        <f t="shared" si="7"/>
        <v>5</v>
      </c>
      <c r="Y17" s="14"/>
    </row>
    <row r="18" spans="1:25" s="7" customFormat="1" ht="12" customHeight="1">
      <c r="A18" s="233"/>
      <c r="B18" s="28"/>
      <c r="C18" s="20" t="s">
        <v>1519</v>
      </c>
      <c r="D18" s="20" t="s">
        <v>1520</v>
      </c>
      <c r="E18" s="28">
        <v>50</v>
      </c>
      <c r="F18" s="28" t="s">
        <v>1524</v>
      </c>
      <c r="G18" s="119">
        <f>16+2</f>
        <v>18</v>
      </c>
      <c r="H18" s="150">
        <f t="shared" si="8"/>
        <v>900</v>
      </c>
      <c r="I18" s="347">
        <v>1</v>
      </c>
      <c r="J18" s="326">
        <v>5</v>
      </c>
      <c r="K18" s="341">
        <v>2.1</v>
      </c>
      <c r="L18" s="328">
        <v>0.53</v>
      </c>
      <c r="M18" s="340">
        <f t="shared" si="9"/>
        <v>7.1</v>
      </c>
      <c r="N18" s="337">
        <v>0.28999999999999998</v>
      </c>
      <c r="O18" s="231">
        <v>0.1</v>
      </c>
      <c r="P18" s="338">
        <v>0.1</v>
      </c>
      <c r="Q18" s="325">
        <f t="shared" si="0"/>
        <v>50</v>
      </c>
      <c r="R18" s="222">
        <f t="shared" si="1"/>
        <v>250</v>
      </c>
      <c r="S18" s="230">
        <f t="shared" si="2"/>
        <v>105</v>
      </c>
      <c r="T18" s="339">
        <f t="shared" si="3"/>
        <v>26.5</v>
      </c>
      <c r="U18" s="340">
        <f t="shared" si="4"/>
        <v>355</v>
      </c>
      <c r="V18" s="337">
        <f t="shared" si="5"/>
        <v>14.499999999999998</v>
      </c>
      <c r="W18" s="231">
        <f t="shared" si="6"/>
        <v>5</v>
      </c>
      <c r="X18" s="338">
        <f t="shared" si="7"/>
        <v>5</v>
      </c>
      <c r="Y18" s="14"/>
    </row>
    <row r="19" spans="1:25" s="7" customFormat="1" ht="12" customHeight="1">
      <c r="A19" s="233">
        <v>40486</v>
      </c>
      <c r="B19" s="28">
        <v>749</v>
      </c>
      <c r="C19" s="20" t="s">
        <v>330</v>
      </c>
      <c r="D19" s="20" t="s">
        <v>24</v>
      </c>
      <c r="E19" s="28">
        <v>36</v>
      </c>
      <c r="F19" s="28" t="s">
        <v>1525</v>
      </c>
      <c r="G19" s="119">
        <v>45.5</v>
      </c>
      <c r="H19" s="150">
        <f t="shared" si="8"/>
        <v>1638</v>
      </c>
      <c r="I19" s="347">
        <v>1.5</v>
      </c>
      <c r="J19" s="326">
        <v>25.32</v>
      </c>
      <c r="K19" s="341">
        <v>5.5</v>
      </c>
      <c r="L19" s="328">
        <v>0.83</v>
      </c>
      <c r="M19" s="336">
        <f t="shared" si="9"/>
        <v>30.82</v>
      </c>
      <c r="N19" s="337">
        <v>0.21</v>
      </c>
      <c r="O19" s="231">
        <v>0.15</v>
      </c>
      <c r="P19" s="338">
        <v>0.15</v>
      </c>
      <c r="Q19" s="325">
        <f t="shared" si="0"/>
        <v>54</v>
      </c>
      <c r="R19" s="222">
        <f t="shared" si="1"/>
        <v>911.52</v>
      </c>
      <c r="S19" s="230">
        <f t="shared" si="2"/>
        <v>198</v>
      </c>
      <c r="T19" s="339">
        <f t="shared" si="3"/>
        <v>29.88</v>
      </c>
      <c r="U19" s="340">
        <f t="shared" si="4"/>
        <v>1109.52</v>
      </c>
      <c r="V19" s="337">
        <f t="shared" si="5"/>
        <v>7.56</v>
      </c>
      <c r="W19" s="231">
        <f t="shared" si="6"/>
        <v>5.3999999999999995</v>
      </c>
      <c r="X19" s="338">
        <f t="shared" si="7"/>
        <v>5.3999999999999995</v>
      </c>
      <c r="Y19" s="14"/>
    </row>
    <row r="20" spans="1:25" s="7" customFormat="1" ht="12" customHeight="1">
      <c r="A20" s="233"/>
      <c r="B20" s="28"/>
      <c r="C20" s="20" t="s">
        <v>330</v>
      </c>
      <c r="D20" s="20" t="s">
        <v>24</v>
      </c>
      <c r="E20" s="28">
        <v>6</v>
      </c>
      <c r="F20" s="28" t="s">
        <v>1526</v>
      </c>
      <c r="G20" s="119">
        <v>39</v>
      </c>
      <c r="H20" s="150">
        <f t="shared" si="8"/>
        <v>234</v>
      </c>
      <c r="I20" s="347">
        <v>0.5</v>
      </c>
      <c r="J20" s="326">
        <v>-1.96</v>
      </c>
      <c r="K20" s="341">
        <v>6.8</v>
      </c>
      <c r="L20" s="328">
        <v>1.02</v>
      </c>
      <c r="M20" s="336">
        <f t="shared" si="9"/>
        <v>4.84</v>
      </c>
      <c r="N20" s="337">
        <v>0</v>
      </c>
      <c r="O20" s="231">
        <v>0.1</v>
      </c>
      <c r="P20" s="338">
        <v>0.1</v>
      </c>
      <c r="Q20" s="325">
        <f t="shared" si="0"/>
        <v>3</v>
      </c>
      <c r="R20" s="222">
        <f t="shared" si="1"/>
        <v>-11.76</v>
      </c>
      <c r="S20" s="230">
        <f t="shared" si="2"/>
        <v>40.799999999999997</v>
      </c>
      <c r="T20" s="339">
        <f t="shared" si="3"/>
        <v>6.12</v>
      </c>
      <c r="U20" s="340">
        <f t="shared" si="4"/>
        <v>29.04</v>
      </c>
      <c r="V20" s="337">
        <f t="shared" si="5"/>
        <v>0</v>
      </c>
      <c r="W20" s="231">
        <f t="shared" si="6"/>
        <v>0.60000000000000009</v>
      </c>
      <c r="X20" s="338">
        <f t="shared" si="7"/>
        <v>0.60000000000000009</v>
      </c>
      <c r="Y20" s="14"/>
    </row>
    <row r="21" spans="1:25" s="7" customFormat="1" ht="12" customHeight="1">
      <c r="A21" s="233"/>
      <c r="B21" s="28"/>
      <c r="C21" s="20" t="s">
        <v>330</v>
      </c>
      <c r="D21" s="20" t="s">
        <v>24</v>
      </c>
      <c r="E21" s="28">
        <v>3</v>
      </c>
      <c r="F21" s="28" t="s">
        <v>1527</v>
      </c>
      <c r="G21" s="119">
        <v>60</v>
      </c>
      <c r="H21" s="150">
        <f t="shared" si="8"/>
        <v>180</v>
      </c>
      <c r="I21" s="348">
        <v>5</v>
      </c>
      <c r="J21" s="326">
        <v>6.47</v>
      </c>
      <c r="K21" s="327">
        <v>0</v>
      </c>
      <c r="L21" s="328">
        <v>0</v>
      </c>
      <c r="M21" s="336">
        <f t="shared" si="9"/>
        <v>6.47</v>
      </c>
      <c r="N21" s="337">
        <v>0.83</v>
      </c>
      <c r="O21" s="231">
        <v>0.1</v>
      </c>
      <c r="P21" s="338">
        <v>0.2</v>
      </c>
      <c r="Q21" s="325">
        <f t="shared" si="0"/>
        <v>15</v>
      </c>
      <c r="R21" s="222">
        <f t="shared" si="1"/>
        <v>19.41</v>
      </c>
      <c r="S21" s="230">
        <f t="shared" si="2"/>
        <v>0</v>
      </c>
      <c r="T21" s="339">
        <f t="shared" si="3"/>
        <v>0</v>
      </c>
      <c r="U21" s="340">
        <f t="shared" si="4"/>
        <v>19.41</v>
      </c>
      <c r="V21" s="337">
        <f t="shared" si="5"/>
        <v>2.4899999999999998</v>
      </c>
      <c r="W21" s="231">
        <f t="shared" si="6"/>
        <v>0.30000000000000004</v>
      </c>
      <c r="X21" s="338">
        <f t="shared" si="7"/>
        <v>0.60000000000000009</v>
      </c>
      <c r="Y21" s="14"/>
    </row>
    <row r="22" spans="1:25" s="7" customFormat="1" ht="12" customHeight="1">
      <c r="A22" s="233">
        <v>40487</v>
      </c>
      <c r="B22" s="28">
        <v>750</v>
      </c>
      <c r="C22" s="20" t="s">
        <v>425</v>
      </c>
      <c r="D22" s="20" t="s">
        <v>66</v>
      </c>
      <c r="E22" s="28">
        <v>11</v>
      </c>
      <c r="F22" s="28" t="s">
        <v>1528</v>
      </c>
      <c r="G22" s="119">
        <v>42</v>
      </c>
      <c r="H22" s="150">
        <f t="shared" si="8"/>
        <v>462</v>
      </c>
      <c r="I22" s="348">
        <v>4.5</v>
      </c>
      <c r="J22" s="326">
        <v>4.2</v>
      </c>
      <c r="K22" s="327">
        <v>1.8</v>
      </c>
      <c r="L22" s="328">
        <v>0.27</v>
      </c>
      <c r="M22" s="336">
        <f t="shared" si="9"/>
        <v>6</v>
      </c>
      <c r="N22" s="337">
        <v>0.83</v>
      </c>
      <c r="O22" s="231">
        <v>0.1</v>
      </c>
      <c r="P22" s="338">
        <v>0</v>
      </c>
      <c r="Q22" s="325">
        <f t="shared" si="0"/>
        <v>49.5</v>
      </c>
      <c r="R22" s="222">
        <f t="shared" si="1"/>
        <v>46.2</v>
      </c>
      <c r="S22" s="230">
        <f t="shared" si="2"/>
        <v>19.8</v>
      </c>
      <c r="T22" s="339">
        <f t="shared" si="3"/>
        <v>2.97</v>
      </c>
      <c r="U22" s="340">
        <f t="shared" si="4"/>
        <v>66</v>
      </c>
      <c r="V22" s="337">
        <f t="shared" si="5"/>
        <v>9.129999999999999</v>
      </c>
      <c r="W22" s="231">
        <f t="shared" si="6"/>
        <v>1.1000000000000001</v>
      </c>
      <c r="X22" s="338">
        <f t="shared" si="7"/>
        <v>0</v>
      </c>
      <c r="Y22" s="14"/>
    </row>
    <row r="23" spans="1:25" s="7" customFormat="1" ht="12" customHeight="1">
      <c r="A23" s="233"/>
      <c r="B23" s="28"/>
      <c r="C23" s="20" t="s">
        <v>425</v>
      </c>
      <c r="D23" s="20" t="s">
        <v>66</v>
      </c>
      <c r="E23" s="28">
        <v>6</v>
      </c>
      <c r="F23" s="28" t="s">
        <v>1529</v>
      </c>
      <c r="G23" s="119">
        <v>45</v>
      </c>
      <c r="H23" s="150">
        <f t="shared" si="8"/>
        <v>270</v>
      </c>
      <c r="I23" s="348">
        <v>4.5</v>
      </c>
      <c r="J23" s="326">
        <v>2.5</v>
      </c>
      <c r="K23" s="327">
        <v>1.8</v>
      </c>
      <c r="L23" s="328">
        <v>0.27</v>
      </c>
      <c r="M23" s="336">
        <f t="shared" si="9"/>
        <v>4.3</v>
      </c>
      <c r="N23" s="337">
        <v>0.83</v>
      </c>
      <c r="O23" s="231">
        <v>0.1</v>
      </c>
      <c r="P23" s="338">
        <v>0</v>
      </c>
      <c r="Q23" s="325">
        <f t="shared" si="0"/>
        <v>27</v>
      </c>
      <c r="R23" s="222">
        <f t="shared" si="1"/>
        <v>15</v>
      </c>
      <c r="S23" s="230">
        <f t="shared" si="2"/>
        <v>10.8</v>
      </c>
      <c r="T23" s="339">
        <f t="shared" si="3"/>
        <v>1.62</v>
      </c>
      <c r="U23" s="340">
        <f t="shared" si="4"/>
        <v>25.799999999999997</v>
      </c>
      <c r="V23" s="337">
        <f t="shared" si="5"/>
        <v>4.9799999999999995</v>
      </c>
      <c r="W23" s="231">
        <f t="shared" si="6"/>
        <v>0.60000000000000009</v>
      </c>
      <c r="X23" s="338">
        <f t="shared" si="7"/>
        <v>0</v>
      </c>
      <c r="Y23" s="14"/>
    </row>
    <row r="24" spans="1:25" s="7" customFormat="1" ht="12" customHeight="1">
      <c r="A24" s="233">
        <v>40487</v>
      </c>
      <c r="B24" s="28">
        <v>751</v>
      </c>
      <c r="C24" s="20" t="s">
        <v>330</v>
      </c>
      <c r="D24" s="20" t="s">
        <v>24</v>
      </c>
      <c r="E24" s="28">
        <v>4860</v>
      </c>
      <c r="F24" s="28" t="s">
        <v>1530</v>
      </c>
      <c r="G24" s="119">
        <v>4.5999999999999996</v>
      </c>
      <c r="H24" s="150">
        <f t="shared" si="8"/>
        <v>22356</v>
      </c>
      <c r="I24" s="348">
        <v>0.65</v>
      </c>
      <c r="J24" s="326">
        <v>1.07</v>
      </c>
      <c r="K24" s="327">
        <v>0</v>
      </c>
      <c r="L24" s="328">
        <v>0</v>
      </c>
      <c r="M24" s="336">
        <f t="shared" si="9"/>
        <v>1.07</v>
      </c>
      <c r="N24" s="337">
        <v>0.1</v>
      </c>
      <c r="O24" s="231">
        <v>0.05</v>
      </c>
      <c r="P24" s="338">
        <v>0.05</v>
      </c>
      <c r="Q24" s="325">
        <f t="shared" si="0"/>
        <v>3159</v>
      </c>
      <c r="R24" s="222">
        <f t="shared" si="1"/>
        <v>5200.2000000000007</v>
      </c>
      <c r="S24" s="230">
        <f t="shared" si="2"/>
        <v>0</v>
      </c>
      <c r="T24" s="339">
        <f t="shared" si="3"/>
        <v>0</v>
      </c>
      <c r="U24" s="340">
        <f t="shared" si="4"/>
        <v>5200.2000000000007</v>
      </c>
      <c r="V24" s="337">
        <f t="shared" si="5"/>
        <v>486</v>
      </c>
      <c r="W24" s="231">
        <f t="shared" si="6"/>
        <v>243</v>
      </c>
      <c r="X24" s="338">
        <f t="shared" si="7"/>
        <v>243</v>
      </c>
      <c r="Y24" s="14"/>
    </row>
    <row r="25" spans="1:25" s="7" customFormat="1" ht="12" customHeight="1">
      <c r="A25" s="233"/>
      <c r="B25" s="28"/>
      <c r="C25" s="20" t="s">
        <v>330</v>
      </c>
      <c r="D25" s="20" t="s">
        <v>24</v>
      </c>
      <c r="E25" s="28">
        <v>12</v>
      </c>
      <c r="F25" s="28" t="s">
        <v>1531</v>
      </c>
      <c r="G25" s="119">
        <v>135</v>
      </c>
      <c r="H25" s="150">
        <f t="shared" si="8"/>
        <v>1620</v>
      </c>
      <c r="I25" s="348">
        <v>20</v>
      </c>
      <c r="J25" s="326">
        <v>72.02</v>
      </c>
      <c r="K25" s="341">
        <v>0</v>
      </c>
      <c r="L25" s="328">
        <v>0</v>
      </c>
      <c r="M25" s="336">
        <f t="shared" si="9"/>
        <v>72.02</v>
      </c>
      <c r="N25" s="337">
        <v>2.08</v>
      </c>
      <c r="O25" s="231">
        <v>0.2</v>
      </c>
      <c r="P25" s="338">
        <v>0.2</v>
      </c>
      <c r="Q25" s="325">
        <f t="shared" si="0"/>
        <v>240</v>
      </c>
      <c r="R25" s="222">
        <f t="shared" si="1"/>
        <v>864.24</v>
      </c>
      <c r="S25" s="230">
        <f t="shared" si="2"/>
        <v>0</v>
      </c>
      <c r="T25" s="339">
        <f t="shared" si="3"/>
        <v>0</v>
      </c>
      <c r="U25" s="340">
        <f t="shared" si="4"/>
        <v>864.24</v>
      </c>
      <c r="V25" s="337">
        <f t="shared" si="5"/>
        <v>24.96</v>
      </c>
      <c r="W25" s="231">
        <f t="shared" si="6"/>
        <v>2.4000000000000004</v>
      </c>
      <c r="X25" s="338">
        <f t="shared" si="7"/>
        <v>2.4000000000000004</v>
      </c>
      <c r="Y25" s="14"/>
    </row>
    <row r="26" spans="1:25" s="7" customFormat="1" ht="12" customHeight="1">
      <c r="A26" s="233"/>
      <c r="B26" s="28"/>
      <c r="C26" s="20" t="s">
        <v>330</v>
      </c>
      <c r="D26" s="20" t="s">
        <v>24</v>
      </c>
      <c r="E26" s="28">
        <v>12</v>
      </c>
      <c r="F26" s="28" t="s">
        <v>1532</v>
      </c>
      <c r="G26" s="119">
        <v>123</v>
      </c>
      <c r="H26" s="150">
        <f t="shared" si="8"/>
        <v>1476</v>
      </c>
      <c r="I26" s="348">
        <v>20</v>
      </c>
      <c r="J26" s="326">
        <v>63.04</v>
      </c>
      <c r="K26" s="327">
        <v>0</v>
      </c>
      <c r="L26" s="328">
        <v>0</v>
      </c>
      <c r="M26" s="336">
        <f t="shared" si="9"/>
        <v>63.04</v>
      </c>
      <c r="N26" s="337">
        <v>2.08</v>
      </c>
      <c r="O26" s="231">
        <v>0.2</v>
      </c>
      <c r="P26" s="338">
        <v>0.2</v>
      </c>
      <c r="Q26" s="325">
        <f t="shared" si="0"/>
        <v>240</v>
      </c>
      <c r="R26" s="222">
        <f t="shared" si="1"/>
        <v>756.48</v>
      </c>
      <c r="S26" s="230">
        <f t="shared" si="2"/>
        <v>0</v>
      </c>
      <c r="T26" s="339">
        <f t="shared" si="3"/>
        <v>0</v>
      </c>
      <c r="U26" s="340">
        <f t="shared" si="4"/>
        <v>756.48</v>
      </c>
      <c r="V26" s="337">
        <f t="shared" si="5"/>
        <v>24.96</v>
      </c>
      <c r="W26" s="231">
        <f t="shared" si="6"/>
        <v>2.4000000000000004</v>
      </c>
      <c r="X26" s="338">
        <f t="shared" si="7"/>
        <v>2.4000000000000004</v>
      </c>
      <c r="Y26" s="14"/>
    </row>
    <row r="27" spans="1:25" s="7" customFormat="1" ht="12" customHeight="1">
      <c r="A27" s="233">
        <v>40487</v>
      </c>
      <c r="B27" s="28">
        <v>752</v>
      </c>
      <c r="C27" s="20" t="s">
        <v>433</v>
      </c>
      <c r="D27" s="20" t="s">
        <v>42</v>
      </c>
      <c r="E27" s="28">
        <v>3</v>
      </c>
      <c r="F27" s="28" t="s">
        <v>1533</v>
      </c>
      <c r="G27" s="119">
        <v>88</v>
      </c>
      <c r="H27" s="150">
        <f t="shared" si="8"/>
        <v>264</v>
      </c>
      <c r="I27" s="347">
        <v>5</v>
      </c>
      <c r="J27" s="326">
        <v>17.059999999999999</v>
      </c>
      <c r="K27" s="327">
        <v>0</v>
      </c>
      <c r="L27" s="328">
        <v>0</v>
      </c>
      <c r="M27" s="336">
        <f t="shared" si="9"/>
        <v>17.059999999999999</v>
      </c>
      <c r="N27" s="337">
        <v>0.57999999999999996</v>
      </c>
      <c r="O27" s="231">
        <v>0.1</v>
      </c>
      <c r="P27" s="338">
        <v>0.1</v>
      </c>
      <c r="Q27" s="325">
        <f t="shared" si="0"/>
        <v>15</v>
      </c>
      <c r="R27" s="222">
        <f t="shared" si="1"/>
        <v>51.179999999999993</v>
      </c>
      <c r="S27" s="230">
        <f t="shared" si="2"/>
        <v>0</v>
      </c>
      <c r="T27" s="339">
        <f t="shared" si="3"/>
        <v>0</v>
      </c>
      <c r="U27" s="340">
        <f t="shared" si="4"/>
        <v>51.179999999999993</v>
      </c>
      <c r="V27" s="337">
        <f t="shared" si="5"/>
        <v>1.7399999999999998</v>
      </c>
      <c r="W27" s="231">
        <f t="shared" si="6"/>
        <v>0.30000000000000004</v>
      </c>
      <c r="X27" s="338">
        <f t="shared" si="7"/>
        <v>0.30000000000000004</v>
      </c>
      <c r="Y27" s="14"/>
    </row>
    <row r="28" spans="1:25" s="7" customFormat="1" ht="12" customHeight="1">
      <c r="A28" s="233"/>
      <c r="B28" s="28"/>
      <c r="C28" s="20" t="s">
        <v>433</v>
      </c>
      <c r="D28" s="20" t="s">
        <v>42</v>
      </c>
      <c r="E28" s="28">
        <v>5</v>
      </c>
      <c r="F28" s="28" t="s">
        <v>1534</v>
      </c>
      <c r="G28" s="119">
        <v>101</v>
      </c>
      <c r="H28" s="150">
        <f t="shared" si="8"/>
        <v>505</v>
      </c>
      <c r="I28" s="347">
        <v>5</v>
      </c>
      <c r="J28" s="326">
        <v>15.81</v>
      </c>
      <c r="K28" s="341">
        <v>0</v>
      </c>
      <c r="L28" s="328">
        <v>0</v>
      </c>
      <c r="M28" s="336">
        <f t="shared" si="9"/>
        <v>15.81</v>
      </c>
      <c r="N28" s="337">
        <v>0.57999999999999996</v>
      </c>
      <c r="O28" s="231">
        <v>0.1</v>
      </c>
      <c r="P28" s="338">
        <v>0.2</v>
      </c>
      <c r="Q28" s="325">
        <f t="shared" si="0"/>
        <v>25</v>
      </c>
      <c r="R28" s="222">
        <f t="shared" si="1"/>
        <v>79.05</v>
      </c>
      <c r="S28" s="230">
        <f t="shared" si="2"/>
        <v>0</v>
      </c>
      <c r="T28" s="339">
        <f t="shared" si="3"/>
        <v>0</v>
      </c>
      <c r="U28" s="340">
        <f t="shared" si="4"/>
        <v>79.05</v>
      </c>
      <c r="V28" s="337">
        <f t="shared" si="5"/>
        <v>2.9</v>
      </c>
      <c r="W28" s="231">
        <f t="shared" si="6"/>
        <v>0.5</v>
      </c>
      <c r="X28" s="338">
        <f t="shared" si="7"/>
        <v>1</v>
      </c>
      <c r="Y28" s="14"/>
    </row>
    <row r="29" spans="1:25" s="7" customFormat="1" ht="12" customHeight="1">
      <c r="A29" s="233"/>
      <c r="B29" s="28"/>
      <c r="C29" s="20" t="s">
        <v>433</v>
      </c>
      <c r="D29" s="20" t="s">
        <v>42</v>
      </c>
      <c r="E29" s="28">
        <v>2</v>
      </c>
      <c r="F29" s="28" t="s">
        <v>1535</v>
      </c>
      <c r="G29" s="119">
        <v>88</v>
      </c>
      <c r="H29" s="150">
        <f t="shared" si="8"/>
        <v>176</v>
      </c>
      <c r="I29" s="347">
        <v>5</v>
      </c>
      <c r="J29" s="326">
        <v>15.81</v>
      </c>
      <c r="K29" s="341">
        <v>0</v>
      </c>
      <c r="L29" s="328">
        <v>0</v>
      </c>
      <c r="M29" s="336">
        <f>J29+K29</f>
        <v>15.81</v>
      </c>
      <c r="N29" s="337">
        <v>0.57999999999999996</v>
      </c>
      <c r="O29" s="231">
        <v>0.1</v>
      </c>
      <c r="P29" s="338">
        <v>0.2</v>
      </c>
      <c r="Q29" s="325">
        <f t="shared" si="0"/>
        <v>10</v>
      </c>
      <c r="R29" s="222">
        <f t="shared" si="1"/>
        <v>31.62</v>
      </c>
      <c r="S29" s="230">
        <f t="shared" si="2"/>
        <v>0</v>
      </c>
      <c r="T29" s="339">
        <f t="shared" si="3"/>
        <v>0</v>
      </c>
      <c r="U29" s="340">
        <f t="shared" si="4"/>
        <v>31.62</v>
      </c>
      <c r="V29" s="337">
        <f t="shared" si="5"/>
        <v>1.1599999999999999</v>
      </c>
      <c r="W29" s="231">
        <f t="shared" si="6"/>
        <v>0.2</v>
      </c>
      <c r="X29" s="338">
        <f t="shared" si="7"/>
        <v>0.4</v>
      </c>
      <c r="Y29" s="14"/>
    </row>
    <row r="30" spans="1:25" s="7" customFormat="1" ht="12" customHeight="1">
      <c r="A30" s="233"/>
      <c r="B30" s="28"/>
      <c r="C30" s="20" t="s">
        <v>433</v>
      </c>
      <c r="D30" s="20" t="s">
        <v>42</v>
      </c>
      <c r="E30" s="28">
        <v>6</v>
      </c>
      <c r="F30" s="28" t="s">
        <v>1536</v>
      </c>
      <c r="G30" s="119">
        <v>134.5</v>
      </c>
      <c r="H30" s="150">
        <f t="shared" si="8"/>
        <v>807</v>
      </c>
      <c r="I30" s="347">
        <v>6.5</v>
      </c>
      <c r="J30" s="326">
        <v>78.91</v>
      </c>
      <c r="K30" s="341">
        <v>2</v>
      </c>
      <c r="L30" s="328">
        <v>0.3</v>
      </c>
      <c r="M30" s="336">
        <f t="shared" si="9"/>
        <v>80.91</v>
      </c>
      <c r="N30" s="337">
        <v>0.59</v>
      </c>
      <c r="O30" s="231">
        <v>0.15</v>
      </c>
      <c r="P30" s="338">
        <v>0.15</v>
      </c>
      <c r="Q30" s="325">
        <f t="shared" si="0"/>
        <v>39</v>
      </c>
      <c r="R30" s="222">
        <f t="shared" si="1"/>
        <v>473.46</v>
      </c>
      <c r="S30" s="230">
        <f t="shared" si="2"/>
        <v>12</v>
      </c>
      <c r="T30" s="339">
        <f t="shared" si="3"/>
        <v>1.7999999999999998</v>
      </c>
      <c r="U30" s="340">
        <f t="shared" si="4"/>
        <v>485.46</v>
      </c>
      <c r="V30" s="337">
        <f t="shared" si="5"/>
        <v>3.54</v>
      </c>
      <c r="W30" s="231">
        <f t="shared" si="6"/>
        <v>0.89999999999999991</v>
      </c>
      <c r="X30" s="338">
        <f t="shared" si="7"/>
        <v>0.89999999999999991</v>
      </c>
      <c r="Y30" s="14"/>
    </row>
    <row r="31" spans="1:25" s="7" customFormat="1" ht="12" customHeight="1">
      <c r="A31" s="233">
        <v>40490</v>
      </c>
      <c r="B31" s="28">
        <v>753</v>
      </c>
      <c r="C31" s="20" t="s">
        <v>330</v>
      </c>
      <c r="D31" s="20" t="s">
        <v>24</v>
      </c>
      <c r="E31" s="28">
        <v>3</v>
      </c>
      <c r="F31" s="28" t="s">
        <v>1537</v>
      </c>
      <c r="G31" s="119">
        <v>166.25</v>
      </c>
      <c r="H31" s="150">
        <f t="shared" si="8"/>
        <v>498.75</v>
      </c>
      <c r="I31" s="348">
        <v>25</v>
      </c>
      <c r="J31" s="326">
        <v>61.17</v>
      </c>
      <c r="K31" s="341">
        <v>1.2</v>
      </c>
      <c r="L31" s="328">
        <v>0.18</v>
      </c>
      <c r="M31" s="336">
        <f t="shared" si="9"/>
        <v>62.370000000000005</v>
      </c>
      <c r="N31" s="337">
        <v>1.67</v>
      </c>
      <c r="O31" s="231">
        <v>0.1</v>
      </c>
      <c r="P31" s="338">
        <v>0.2</v>
      </c>
      <c r="Q31" s="325">
        <f t="shared" si="0"/>
        <v>75</v>
      </c>
      <c r="R31" s="222">
        <f t="shared" si="1"/>
        <v>183.51</v>
      </c>
      <c r="S31" s="230">
        <f t="shared" si="2"/>
        <v>3.5999999999999996</v>
      </c>
      <c r="T31" s="339">
        <f t="shared" si="3"/>
        <v>0.54</v>
      </c>
      <c r="U31" s="340">
        <f t="shared" si="4"/>
        <v>187.11</v>
      </c>
      <c r="V31" s="337">
        <f t="shared" si="5"/>
        <v>5.01</v>
      </c>
      <c r="W31" s="231">
        <f t="shared" si="6"/>
        <v>0.30000000000000004</v>
      </c>
      <c r="X31" s="338">
        <f t="shared" si="7"/>
        <v>0.60000000000000009</v>
      </c>
      <c r="Y31" s="14"/>
    </row>
    <row r="32" spans="1:25" s="7" customFormat="1" ht="12" customHeight="1">
      <c r="A32" s="233"/>
      <c r="B32" s="28"/>
      <c r="C32" s="20" t="s">
        <v>330</v>
      </c>
      <c r="D32" s="20" t="s">
        <v>24</v>
      </c>
      <c r="E32" s="28">
        <v>3</v>
      </c>
      <c r="F32" s="28" t="s">
        <v>1538</v>
      </c>
      <c r="G32" s="119">
        <v>166.25</v>
      </c>
      <c r="H32" s="150">
        <f t="shared" si="8"/>
        <v>498.75</v>
      </c>
      <c r="I32" s="348">
        <v>35</v>
      </c>
      <c r="J32" s="326">
        <v>51.49</v>
      </c>
      <c r="K32" s="341">
        <v>3.8</v>
      </c>
      <c r="L32" s="328">
        <v>0.56999999999999995</v>
      </c>
      <c r="M32" s="336">
        <f t="shared" si="9"/>
        <v>55.29</v>
      </c>
      <c r="N32" s="337">
        <v>1.25</v>
      </c>
      <c r="O32" s="231">
        <v>0.1</v>
      </c>
      <c r="P32" s="338">
        <v>0.2</v>
      </c>
      <c r="Q32" s="325">
        <f t="shared" si="0"/>
        <v>105</v>
      </c>
      <c r="R32" s="222">
        <f t="shared" si="1"/>
        <v>154.47</v>
      </c>
      <c r="S32" s="230">
        <f t="shared" si="2"/>
        <v>11.399999999999999</v>
      </c>
      <c r="T32" s="339">
        <f t="shared" si="3"/>
        <v>1.71</v>
      </c>
      <c r="U32" s="340">
        <f t="shared" si="4"/>
        <v>165.87</v>
      </c>
      <c r="V32" s="337">
        <f t="shared" si="5"/>
        <v>3.75</v>
      </c>
      <c r="W32" s="231">
        <f t="shared" si="6"/>
        <v>0.30000000000000004</v>
      </c>
      <c r="X32" s="338">
        <f t="shared" si="7"/>
        <v>0.60000000000000009</v>
      </c>
      <c r="Y32" s="14"/>
    </row>
    <row r="33" spans="1:25" s="7" customFormat="1" ht="12" customHeight="1">
      <c r="A33" s="233">
        <v>40490</v>
      </c>
      <c r="B33" s="28">
        <v>754</v>
      </c>
      <c r="C33" s="20" t="s">
        <v>1539</v>
      </c>
      <c r="D33" s="20" t="s">
        <v>1539</v>
      </c>
      <c r="E33" s="28">
        <v>14</v>
      </c>
      <c r="F33" s="28" t="s">
        <v>1540</v>
      </c>
      <c r="G33" s="119">
        <v>38.5</v>
      </c>
      <c r="H33" s="150">
        <f t="shared" si="8"/>
        <v>539</v>
      </c>
      <c r="I33" s="347">
        <v>3.5</v>
      </c>
      <c r="J33" s="326">
        <v>10.26</v>
      </c>
      <c r="K33" s="341">
        <v>0.2</v>
      </c>
      <c r="L33" s="328">
        <v>0.03</v>
      </c>
      <c r="M33" s="336">
        <f t="shared" si="9"/>
        <v>10.459999999999999</v>
      </c>
      <c r="N33" s="337">
        <v>0.33</v>
      </c>
      <c r="O33" s="231">
        <v>0.1</v>
      </c>
      <c r="P33" s="338">
        <v>0.1</v>
      </c>
      <c r="Q33" s="325">
        <f t="shared" si="0"/>
        <v>49</v>
      </c>
      <c r="R33" s="222">
        <f t="shared" si="1"/>
        <v>143.63999999999999</v>
      </c>
      <c r="S33" s="230">
        <f t="shared" si="2"/>
        <v>2.8000000000000003</v>
      </c>
      <c r="T33" s="339">
        <f t="shared" si="3"/>
        <v>0.42</v>
      </c>
      <c r="U33" s="340">
        <f t="shared" si="4"/>
        <v>146.44</v>
      </c>
      <c r="V33" s="337">
        <f t="shared" si="5"/>
        <v>4.62</v>
      </c>
      <c r="W33" s="231">
        <f t="shared" si="6"/>
        <v>1.4000000000000001</v>
      </c>
      <c r="X33" s="338">
        <f t="shared" si="7"/>
        <v>1.4000000000000001</v>
      </c>
      <c r="Y33" s="14"/>
    </row>
    <row r="34" spans="1:25" s="7" customFormat="1" ht="12" customHeight="1">
      <c r="A34" s="233"/>
      <c r="B34" s="28"/>
      <c r="C34" s="20" t="s">
        <v>1539</v>
      </c>
      <c r="D34" s="20" t="s">
        <v>1539</v>
      </c>
      <c r="E34" s="28">
        <v>18</v>
      </c>
      <c r="F34" s="28" t="s">
        <v>1541</v>
      </c>
      <c r="G34" s="119">
        <v>42.5</v>
      </c>
      <c r="H34" s="150">
        <f t="shared" si="8"/>
        <v>765</v>
      </c>
      <c r="I34" s="347">
        <v>3.5</v>
      </c>
      <c r="J34" s="326">
        <v>13.62</v>
      </c>
      <c r="K34" s="341">
        <v>0.2</v>
      </c>
      <c r="L34" s="328">
        <v>0.03</v>
      </c>
      <c r="M34" s="336">
        <f t="shared" si="9"/>
        <v>13.819999999999999</v>
      </c>
      <c r="N34" s="337">
        <v>0.33</v>
      </c>
      <c r="O34" s="231">
        <v>0.1</v>
      </c>
      <c r="P34" s="338">
        <v>0.1</v>
      </c>
      <c r="Q34" s="325">
        <f t="shared" si="0"/>
        <v>63</v>
      </c>
      <c r="R34" s="222">
        <f t="shared" si="1"/>
        <v>245.16</v>
      </c>
      <c r="S34" s="230">
        <f t="shared" si="2"/>
        <v>3.6</v>
      </c>
      <c r="T34" s="339">
        <f t="shared" si="3"/>
        <v>0.54</v>
      </c>
      <c r="U34" s="340">
        <f t="shared" si="4"/>
        <v>248.75999999999996</v>
      </c>
      <c r="V34" s="337">
        <f t="shared" si="5"/>
        <v>5.94</v>
      </c>
      <c r="W34" s="231">
        <f t="shared" si="6"/>
        <v>1.8</v>
      </c>
      <c r="X34" s="338">
        <f t="shared" si="7"/>
        <v>1.8</v>
      </c>
      <c r="Y34" s="14"/>
    </row>
    <row r="35" spans="1:25" s="7" customFormat="1" ht="12" customHeight="1">
      <c r="A35" s="233"/>
      <c r="B35" s="28"/>
      <c r="C35" s="20" t="s">
        <v>1539</v>
      </c>
      <c r="D35" s="20" t="s">
        <v>1539</v>
      </c>
      <c r="E35" s="28">
        <v>1</v>
      </c>
      <c r="F35" s="28" t="s">
        <v>1542</v>
      </c>
      <c r="G35" s="119">
        <v>42.5</v>
      </c>
      <c r="H35" s="150">
        <f t="shared" si="8"/>
        <v>42.5</v>
      </c>
      <c r="I35" s="347">
        <v>3.5</v>
      </c>
      <c r="J35" s="326">
        <v>13.62</v>
      </c>
      <c r="K35" s="341">
        <v>0.2</v>
      </c>
      <c r="L35" s="328">
        <v>0.03</v>
      </c>
      <c r="M35" s="336">
        <f>J35+K35</f>
        <v>13.819999999999999</v>
      </c>
      <c r="N35" s="337">
        <v>0.33</v>
      </c>
      <c r="O35" s="231">
        <v>0.1</v>
      </c>
      <c r="P35" s="338">
        <v>0.1</v>
      </c>
      <c r="Q35" s="325">
        <f t="shared" si="0"/>
        <v>3.5</v>
      </c>
      <c r="R35" s="222">
        <f t="shared" si="1"/>
        <v>13.62</v>
      </c>
      <c r="S35" s="230">
        <f t="shared" si="2"/>
        <v>0.2</v>
      </c>
      <c r="T35" s="339">
        <f t="shared" si="3"/>
        <v>0.03</v>
      </c>
      <c r="U35" s="340">
        <f t="shared" si="4"/>
        <v>13.819999999999999</v>
      </c>
      <c r="V35" s="337">
        <f t="shared" si="5"/>
        <v>0.33</v>
      </c>
      <c r="W35" s="231">
        <f t="shared" si="6"/>
        <v>0.1</v>
      </c>
      <c r="X35" s="338">
        <f t="shared" si="7"/>
        <v>0.1</v>
      </c>
      <c r="Y35" s="14"/>
    </row>
    <row r="36" spans="1:25" s="7" customFormat="1" ht="12" customHeight="1">
      <c r="A36" s="233">
        <v>40490</v>
      </c>
      <c r="B36" s="28">
        <v>755</v>
      </c>
      <c r="C36" s="20" t="s">
        <v>1543</v>
      </c>
      <c r="D36" s="20" t="s">
        <v>1544</v>
      </c>
      <c r="E36" s="28">
        <v>3</v>
      </c>
      <c r="F36" s="28" t="s">
        <v>1545</v>
      </c>
      <c r="G36" s="119">
        <v>119</v>
      </c>
      <c r="H36" s="150">
        <f t="shared" si="8"/>
        <v>357</v>
      </c>
      <c r="I36" s="347">
        <v>7.5</v>
      </c>
      <c r="J36" s="326">
        <v>25.84</v>
      </c>
      <c r="K36" s="341">
        <v>5</v>
      </c>
      <c r="L36" s="328">
        <v>0.75</v>
      </c>
      <c r="M36" s="340">
        <f t="shared" si="9"/>
        <v>30.84</v>
      </c>
      <c r="N36" s="337">
        <v>1.25</v>
      </c>
      <c r="O36" s="231">
        <v>0.25</v>
      </c>
      <c r="P36" s="338">
        <v>0.15</v>
      </c>
      <c r="Q36" s="325">
        <f t="shared" si="0"/>
        <v>22.5</v>
      </c>
      <c r="R36" s="222">
        <f t="shared" si="1"/>
        <v>77.52</v>
      </c>
      <c r="S36" s="230">
        <f t="shared" si="2"/>
        <v>15</v>
      </c>
      <c r="T36" s="339">
        <f t="shared" si="3"/>
        <v>2.25</v>
      </c>
      <c r="U36" s="340">
        <f t="shared" si="4"/>
        <v>92.52</v>
      </c>
      <c r="V36" s="337">
        <f t="shared" si="5"/>
        <v>3.75</v>
      </c>
      <c r="W36" s="231">
        <f t="shared" si="6"/>
        <v>0.75</v>
      </c>
      <c r="X36" s="338">
        <f t="shared" si="7"/>
        <v>0.44999999999999996</v>
      </c>
      <c r="Y36" s="14"/>
    </row>
    <row r="37" spans="1:25" s="7" customFormat="1" ht="12" customHeight="1">
      <c r="A37" s="233"/>
      <c r="B37" s="28"/>
      <c r="C37" s="20" t="s">
        <v>1543</v>
      </c>
      <c r="D37" s="20" t="s">
        <v>1544</v>
      </c>
      <c r="E37" s="28">
        <v>5</v>
      </c>
      <c r="F37" s="28" t="s">
        <v>1546</v>
      </c>
      <c r="G37" s="119">
        <v>88</v>
      </c>
      <c r="H37" s="150">
        <f t="shared" si="8"/>
        <v>440</v>
      </c>
      <c r="I37" s="347">
        <v>7.5</v>
      </c>
      <c r="J37" s="326">
        <v>16.05</v>
      </c>
      <c r="K37" s="327">
        <v>14</v>
      </c>
      <c r="L37" s="328">
        <v>2.1</v>
      </c>
      <c r="M37" s="340">
        <f t="shared" si="9"/>
        <v>30.05</v>
      </c>
      <c r="N37" s="337">
        <v>0.92</v>
      </c>
      <c r="O37" s="231">
        <v>0.15</v>
      </c>
      <c r="P37" s="338">
        <v>0.15</v>
      </c>
      <c r="Q37" s="325">
        <f t="shared" si="0"/>
        <v>37.5</v>
      </c>
      <c r="R37" s="222">
        <f t="shared" si="1"/>
        <v>80.25</v>
      </c>
      <c r="S37" s="230">
        <f t="shared" si="2"/>
        <v>70</v>
      </c>
      <c r="T37" s="339">
        <f t="shared" si="3"/>
        <v>10.5</v>
      </c>
      <c r="U37" s="340">
        <f t="shared" si="4"/>
        <v>150.25</v>
      </c>
      <c r="V37" s="337">
        <f t="shared" si="5"/>
        <v>4.6000000000000005</v>
      </c>
      <c r="W37" s="231">
        <f t="shared" si="6"/>
        <v>0.75</v>
      </c>
      <c r="X37" s="338">
        <f t="shared" si="7"/>
        <v>0.75</v>
      </c>
      <c r="Y37" s="14"/>
    </row>
    <row r="38" spans="1:25" s="7" customFormat="1" ht="12" customHeight="1">
      <c r="A38" s="233"/>
      <c r="B38" s="28"/>
      <c r="C38" s="20" t="s">
        <v>1543</v>
      </c>
      <c r="D38" s="20" t="s">
        <v>1544</v>
      </c>
      <c r="E38" s="28">
        <v>5</v>
      </c>
      <c r="F38" s="28" t="s">
        <v>1547</v>
      </c>
      <c r="G38" s="119">
        <v>70</v>
      </c>
      <c r="H38" s="150">
        <f t="shared" si="8"/>
        <v>350</v>
      </c>
      <c r="I38" s="347">
        <v>6</v>
      </c>
      <c r="J38" s="326">
        <v>13.42</v>
      </c>
      <c r="K38" s="341">
        <v>0</v>
      </c>
      <c r="L38" s="328">
        <v>0</v>
      </c>
      <c r="M38" s="340">
        <f t="shared" si="9"/>
        <v>13.42</v>
      </c>
      <c r="N38" s="337">
        <v>0.57999999999999996</v>
      </c>
      <c r="O38" s="231">
        <v>0.2</v>
      </c>
      <c r="P38" s="338">
        <v>0.2</v>
      </c>
      <c r="Q38" s="325">
        <f t="shared" si="0"/>
        <v>30</v>
      </c>
      <c r="R38" s="222">
        <f t="shared" si="1"/>
        <v>67.099999999999994</v>
      </c>
      <c r="S38" s="230">
        <f t="shared" si="2"/>
        <v>0</v>
      </c>
      <c r="T38" s="339">
        <f t="shared" si="3"/>
        <v>0</v>
      </c>
      <c r="U38" s="340">
        <f t="shared" si="4"/>
        <v>67.099999999999994</v>
      </c>
      <c r="V38" s="337">
        <f t="shared" si="5"/>
        <v>2.9</v>
      </c>
      <c r="W38" s="231">
        <f t="shared" si="6"/>
        <v>1</v>
      </c>
      <c r="X38" s="338">
        <f t="shared" si="7"/>
        <v>1</v>
      </c>
      <c r="Y38" s="14"/>
    </row>
    <row r="39" spans="1:25" s="7" customFormat="1" ht="12" customHeight="1">
      <c r="A39" s="233"/>
      <c r="B39" s="28"/>
      <c r="C39" s="20" t="s">
        <v>1543</v>
      </c>
      <c r="D39" s="20" t="s">
        <v>1544</v>
      </c>
      <c r="E39" s="28">
        <v>7</v>
      </c>
      <c r="F39" s="28" t="s">
        <v>1548</v>
      </c>
      <c r="G39" s="119">
        <v>46.5</v>
      </c>
      <c r="H39" s="150">
        <f t="shared" si="8"/>
        <v>325.5</v>
      </c>
      <c r="I39" s="347">
        <v>3.5</v>
      </c>
      <c r="J39" s="326">
        <v>14.58</v>
      </c>
      <c r="K39" s="341">
        <v>1.7</v>
      </c>
      <c r="L39" s="328">
        <v>0.26</v>
      </c>
      <c r="M39" s="340">
        <f t="shared" si="9"/>
        <v>16.28</v>
      </c>
      <c r="N39" s="337">
        <v>0.33</v>
      </c>
      <c r="O39" s="231">
        <v>0.1</v>
      </c>
      <c r="P39" s="338">
        <v>0.1</v>
      </c>
      <c r="Q39" s="325">
        <f t="shared" si="0"/>
        <v>24.5</v>
      </c>
      <c r="R39" s="222">
        <f t="shared" si="1"/>
        <v>102.06</v>
      </c>
      <c r="S39" s="230">
        <f t="shared" si="2"/>
        <v>11.9</v>
      </c>
      <c r="T39" s="339">
        <f t="shared" si="3"/>
        <v>1.82</v>
      </c>
      <c r="U39" s="340">
        <f t="shared" si="4"/>
        <v>113.96000000000001</v>
      </c>
      <c r="V39" s="337">
        <f t="shared" si="5"/>
        <v>2.31</v>
      </c>
      <c r="W39" s="231">
        <f t="shared" si="6"/>
        <v>0.70000000000000007</v>
      </c>
      <c r="X39" s="338">
        <f t="shared" si="7"/>
        <v>0.70000000000000007</v>
      </c>
      <c r="Y39" s="14"/>
    </row>
    <row r="40" spans="1:25" s="7" customFormat="1" ht="12" customHeight="1">
      <c r="A40" s="233"/>
      <c r="B40" s="28"/>
      <c r="C40" s="20" t="s">
        <v>1543</v>
      </c>
      <c r="D40" s="20" t="s">
        <v>1544</v>
      </c>
      <c r="E40" s="28">
        <v>3</v>
      </c>
      <c r="F40" s="28" t="s">
        <v>1549</v>
      </c>
      <c r="G40" s="119">
        <v>14.25</v>
      </c>
      <c r="H40" s="150">
        <f t="shared" si="8"/>
        <v>42.75</v>
      </c>
      <c r="I40" s="347">
        <v>1</v>
      </c>
      <c r="J40" s="326">
        <v>1.02</v>
      </c>
      <c r="K40" s="341">
        <v>1.7</v>
      </c>
      <c r="L40" s="328">
        <v>0.26</v>
      </c>
      <c r="M40" s="340">
        <f t="shared" si="9"/>
        <v>2.7199999999999998</v>
      </c>
      <c r="N40" s="337">
        <v>0.28999999999999998</v>
      </c>
      <c r="O40" s="231">
        <v>0.1</v>
      </c>
      <c r="P40" s="338">
        <v>0.1</v>
      </c>
      <c r="Q40" s="325">
        <f t="shared" si="0"/>
        <v>3</v>
      </c>
      <c r="R40" s="222">
        <f t="shared" si="1"/>
        <v>3.06</v>
      </c>
      <c r="S40" s="230">
        <f t="shared" si="2"/>
        <v>5.0999999999999996</v>
      </c>
      <c r="T40" s="339">
        <f t="shared" si="3"/>
        <v>0.78</v>
      </c>
      <c r="U40" s="340">
        <f t="shared" si="4"/>
        <v>8.16</v>
      </c>
      <c r="V40" s="337">
        <f t="shared" si="5"/>
        <v>0.86999999999999988</v>
      </c>
      <c r="W40" s="231">
        <f t="shared" si="6"/>
        <v>0.30000000000000004</v>
      </c>
      <c r="X40" s="338">
        <f t="shared" si="7"/>
        <v>0.30000000000000004</v>
      </c>
      <c r="Y40" s="14"/>
    </row>
    <row r="41" spans="1:25" s="7" customFormat="1" ht="12" customHeight="1">
      <c r="A41" s="233">
        <v>40490</v>
      </c>
      <c r="B41" s="28">
        <v>756</v>
      </c>
      <c r="C41" s="20" t="s">
        <v>1550</v>
      </c>
      <c r="D41" s="20" t="s">
        <v>1550</v>
      </c>
      <c r="E41" s="28">
        <v>12</v>
      </c>
      <c r="F41" s="28" t="s">
        <v>1551</v>
      </c>
      <c r="G41" s="119">
        <v>35</v>
      </c>
      <c r="H41" s="150">
        <f t="shared" si="8"/>
        <v>420</v>
      </c>
      <c r="I41" s="347">
        <v>3.5</v>
      </c>
      <c r="J41" s="326">
        <v>3.38</v>
      </c>
      <c r="K41" s="341">
        <v>3.4</v>
      </c>
      <c r="L41" s="328">
        <v>0.51</v>
      </c>
      <c r="M41" s="340">
        <f t="shared" si="9"/>
        <v>6.7799999999999994</v>
      </c>
      <c r="N41" s="337">
        <v>0.33</v>
      </c>
      <c r="O41" s="231">
        <v>0.1</v>
      </c>
      <c r="P41" s="338">
        <v>0.1</v>
      </c>
      <c r="Q41" s="325">
        <f t="shared" si="0"/>
        <v>42</v>
      </c>
      <c r="R41" s="222">
        <f t="shared" si="1"/>
        <v>40.56</v>
      </c>
      <c r="S41" s="230">
        <f t="shared" si="2"/>
        <v>40.799999999999997</v>
      </c>
      <c r="T41" s="339">
        <f t="shared" si="3"/>
        <v>6.12</v>
      </c>
      <c r="U41" s="340">
        <f t="shared" si="4"/>
        <v>81.359999999999985</v>
      </c>
      <c r="V41" s="337">
        <f t="shared" si="5"/>
        <v>3.96</v>
      </c>
      <c r="W41" s="231">
        <f t="shared" si="6"/>
        <v>1.2000000000000002</v>
      </c>
      <c r="X41" s="338">
        <f t="shared" si="7"/>
        <v>1.2000000000000002</v>
      </c>
      <c r="Y41" s="14"/>
    </row>
    <row r="42" spans="1:25" s="7" customFormat="1" ht="12" customHeight="1">
      <c r="A42" s="233"/>
      <c r="B42" s="28"/>
      <c r="C42" s="20" t="s">
        <v>1550</v>
      </c>
      <c r="D42" s="20" t="s">
        <v>1550</v>
      </c>
      <c r="E42" s="28">
        <v>3</v>
      </c>
      <c r="F42" s="28" t="s">
        <v>1552</v>
      </c>
      <c r="G42" s="119">
        <v>34</v>
      </c>
      <c r="H42" s="150">
        <f t="shared" si="8"/>
        <v>102</v>
      </c>
      <c r="I42" s="347">
        <v>3.5</v>
      </c>
      <c r="J42" s="326">
        <v>3.38</v>
      </c>
      <c r="K42" s="341">
        <v>3.4</v>
      </c>
      <c r="L42" s="328">
        <v>0.51</v>
      </c>
      <c r="M42" s="340">
        <f>J42+K42</f>
        <v>6.7799999999999994</v>
      </c>
      <c r="N42" s="337">
        <v>0.33</v>
      </c>
      <c r="O42" s="231">
        <v>0.1</v>
      </c>
      <c r="P42" s="338">
        <v>0.1</v>
      </c>
      <c r="Q42" s="325">
        <f t="shared" si="0"/>
        <v>10.5</v>
      </c>
      <c r="R42" s="222">
        <f t="shared" si="1"/>
        <v>10.14</v>
      </c>
      <c r="S42" s="230">
        <f t="shared" si="2"/>
        <v>10.199999999999999</v>
      </c>
      <c r="T42" s="339">
        <f t="shared" si="3"/>
        <v>1.53</v>
      </c>
      <c r="U42" s="340">
        <f t="shared" si="4"/>
        <v>20.339999999999996</v>
      </c>
      <c r="V42" s="337">
        <f t="shared" si="5"/>
        <v>0.99</v>
      </c>
      <c r="W42" s="231">
        <f t="shared" si="6"/>
        <v>0.30000000000000004</v>
      </c>
      <c r="X42" s="338">
        <f t="shared" si="7"/>
        <v>0.30000000000000004</v>
      </c>
      <c r="Y42" s="14"/>
    </row>
    <row r="43" spans="1:25" s="7" customFormat="1" ht="12" customHeight="1">
      <c r="A43" s="233"/>
      <c r="B43" s="28"/>
      <c r="C43" s="20" t="s">
        <v>1550</v>
      </c>
      <c r="D43" s="20" t="s">
        <v>1550</v>
      </c>
      <c r="E43" s="28">
        <f>46+6</f>
        <v>52</v>
      </c>
      <c r="F43" s="28" t="s">
        <v>1553</v>
      </c>
      <c r="G43" s="119">
        <v>38.5</v>
      </c>
      <c r="H43" s="150">
        <f t="shared" si="8"/>
        <v>2002</v>
      </c>
      <c r="I43" s="347">
        <v>3.5</v>
      </c>
      <c r="J43" s="326">
        <v>3.38</v>
      </c>
      <c r="K43" s="341">
        <v>3.4</v>
      </c>
      <c r="L43" s="328">
        <v>0.51</v>
      </c>
      <c r="M43" s="340">
        <f>J43+K43</f>
        <v>6.7799999999999994</v>
      </c>
      <c r="N43" s="337">
        <v>0.33</v>
      </c>
      <c r="O43" s="231">
        <v>0.1</v>
      </c>
      <c r="P43" s="338">
        <v>0.1</v>
      </c>
      <c r="Q43" s="325">
        <f t="shared" si="0"/>
        <v>182</v>
      </c>
      <c r="R43" s="222">
        <f t="shared" si="1"/>
        <v>175.76</v>
      </c>
      <c r="S43" s="230">
        <f t="shared" si="2"/>
        <v>176.79999999999998</v>
      </c>
      <c r="T43" s="339">
        <f t="shared" si="3"/>
        <v>26.52</v>
      </c>
      <c r="U43" s="340">
        <f t="shared" si="4"/>
        <v>352.55999999999995</v>
      </c>
      <c r="V43" s="337">
        <f t="shared" si="5"/>
        <v>17.16</v>
      </c>
      <c r="W43" s="231">
        <f t="shared" si="6"/>
        <v>5.2</v>
      </c>
      <c r="X43" s="338">
        <f t="shared" si="7"/>
        <v>5.2</v>
      </c>
      <c r="Y43" s="14"/>
    </row>
    <row r="44" spans="1:25" s="7" customFormat="1" ht="12" customHeight="1">
      <c r="A44" s="233"/>
      <c r="B44" s="28"/>
      <c r="C44" s="20" t="s">
        <v>1550</v>
      </c>
      <c r="D44" s="20" t="s">
        <v>1550</v>
      </c>
      <c r="E44" s="28">
        <f>10+6</f>
        <v>16</v>
      </c>
      <c r="F44" s="28" t="s">
        <v>1554</v>
      </c>
      <c r="G44" s="119">
        <v>35</v>
      </c>
      <c r="H44" s="150">
        <f t="shared" si="8"/>
        <v>560</v>
      </c>
      <c r="I44" s="347">
        <v>3.5</v>
      </c>
      <c r="J44" s="326">
        <v>3.38</v>
      </c>
      <c r="K44" s="341">
        <v>3.4</v>
      </c>
      <c r="L44" s="328">
        <v>0.51</v>
      </c>
      <c r="M44" s="340">
        <f>J44+K44</f>
        <v>6.7799999999999994</v>
      </c>
      <c r="N44" s="337">
        <v>0.33</v>
      </c>
      <c r="O44" s="231">
        <v>0.1</v>
      </c>
      <c r="P44" s="338">
        <v>0.1</v>
      </c>
      <c r="Q44" s="325">
        <f t="shared" si="0"/>
        <v>56</v>
      </c>
      <c r="R44" s="222">
        <f t="shared" si="1"/>
        <v>54.08</v>
      </c>
      <c r="S44" s="230">
        <f t="shared" si="2"/>
        <v>54.4</v>
      </c>
      <c r="T44" s="339">
        <f t="shared" si="3"/>
        <v>8.16</v>
      </c>
      <c r="U44" s="340">
        <f t="shared" si="4"/>
        <v>108.47999999999999</v>
      </c>
      <c r="V44" s="337">
        <f t="shared" si="5"/>
        <v>5.28</v>
      </c>
      <c r="W44" s="231">
        <f t="shared" si="6"/>
        <v>1.6</v>
      </c>
      <c r="X44" s="338">
        <f t="shared" si="7"/>
        <v>1.6</v>
      </c>
      <c r="Y44" s="14"/>
    </row>
    <row r="45" spans="1:25" s="7" customFormat="1" ht="12" customHeight="1">
      <c r="A45" s="233"/>
      <c r="B45" s="28"/>
      <c r="C45" s="20" t="s">
        <v>1550</v>
      </c>
      <c r="D45" s="20" t="s">
        <v>1550</v>
      </c>
      <c r="E45" s="28">
        <v>1</v>
      </c>
      <c r="F45" s="28" t="s">
        <v>1555</v>
      </c>
      <c r="G45" s="119">
        <v>34</v>
      </c>
      <c r="H45" s="150">
        <f t="shared" si="8"/>
        <v>34</v>
      </c>
      <c r="I45" s="347">
        <v>3.5</v>
      </c>
      <c r="J45" s="326">
        <v>3.38</v>
      </c>
      <c r="K45" s="341">
        <v>3.4</v>
      </c>
      <c r="L45" s="328">
        <v>0.51</v>
      </c>
      <c r="M45" s="340">
        <f>J45+K45</f>
        <v>6.7799999999999994</v>
      </c>
      <c r="N45" s="337">
        <v>0.33</v>
      </c>
      <c r="O45" s="231">
        <v>0.1</v>
      </c>
      <c r="P45" s="338">
        <v>0.1</v>
      </c>
      <c r="Q45" s="325">
        <f t="shared" si="0"/>
        <v>3.5</v>
      </c>
      <c r="R45" s="222">
        <f t="shared" si="1"/>
        <v>3.38</v>
      </c>
      <c r="S45" s="230">
        <f t="shared" si="2"/>
        <v>3.4</v>
      </c>
      <c r="T45" s="339">
        <f t="shared" si="3"/>
        <v>0.51</v>
      </c>
      <c r="U45" s="340">
        <f t="shared" si="4"/>
        <v>6.7799999999999994</v>
      </c>
      <c r="V45" s="337">
        <f t="shared" si="5"/>
        <v>0.33</v>
      </c>
      <c r="W45" s="231">
        <f t="shared" si="6"/>
        <v>0.1</v>
      </c>
      <c r="X45" s="338">
        <f t="shared" si="7"/>
        <v>0.1</v>
      </c>
      <c r="Y45" s="14"/>
    </row>
    <row r="46" spans="1:25" s="7" customFormat="1" ht="12" customHeight="1">
      <c r="A46" s="233">
        <v>40490</v>
      </c>
      <c r="B46" s="28">
        <v>757</v>
      </c>
      <c r="C46" s="20" t="s">
        <v>678</v>
      </c>
      <c r="D46" s="20" t="s">
        <v>679</v>
      </c>
      <c r="E46" s="28">
        <v>8</v>
      </c>
      <c r="F46" s="28" t="s">
        <v>1556</v>
      </c>
      <c r="G46" s="119">
        <v>53</v>
      </c>
      <c r="H46" s="150">
        <f t="shared" si="8"/>
        <v>424</v>
      </c>
      <c r="I46" s="347">
        <v>5.5</v>
      </c>
      <c r="J46" s="326">
        <v>8.39</v>
      </c>
      <c r="K46" s="341">
        <v>1.5</v>
      </c>
      <c r="L46" s="328">
        <v>0.23</v>
      </c>
      <c r="M46" s="340">
        <f t="shared" si="9"/>
        <v>9.89</v>
      </c>
      <c r="N46" s="337">
        <v>0.67</v>
      </c>
      <c r="O46" s="231">
        <v>0.1</v>
      </c>
      <c r="P46" s="338">
        <v>0.1</v>
      </c>
      <c r="Q46" s="325">
        <f t="shared" si="0"/>
        <v>44</v>
      </c>
      <c r="R46" s="222">
        <f t="shared" si="1"/>
        <v>67.12</v>
      </c>
      <c r="S46" s="230">
        <f t="shared" si="2"/>
        <v>12</v>
      </c>
      <c r="T46" s="339">
        <f t="shared" si="3"/>
        <v>1.84</v>
      </c>
      <c r="U46" s="340">
        <f t="shared" si="4"/>
        <v>79.12</v>
      </c>
      <c r="V46" s="337">
        <f>N46*E46</f>
        <v>5.36</v>
      </c>
      <c r="W46" s="231">
        <f>O46*E46</f>
        <v>0.8</v>
      </c>
      <c r="X46" s="338">
        <f>P46*E46</f>
        <v>0.8</v>
      </c>
      <c r="Y46" s="14"/>
    </row>
    <row r="47" spans="1:25" s="7" customFormat="1" ht="12" customHeight="1">
      <c r="A47" s="233">
        <v>40491</v>
      </c>
      <c r="B47" s="28">
        <v>758</v>
      </c>
      <c r="C47" s="20" t="s">
        <v>259</v>
      </c>
      <c r="D47" s="20" t="s">
        <v>113</v>
      </c>
      <c r="E47" s="28">
        <v>100</v>
      </c>
      <c r="F47" s="28" t="s">
        <v>1557</v>
      </c>
      <c r="G47" s="119">
        <v>12.5</v>
      </c>
      <c r="H47" s="150">
        <f t="shared" si="8"/>
        <v>1250</v>
      </c>
      <c r="I47" s="347">
        <v>1</v>
      </c>
      <c r="J47" s="326">
        <v>2.0099999999999998</v>
      </c>
      <c r="K47" s="341">
        <v>1.1000000000000001</v>
      </c>
      <c r="L47" s="328">
        <v>0.17</v>
      </c>
      <c r="M47" s="340">
        <f t="shared" si="9"/>
        <v>3.11</v>
      </c>
      <c r="N47" s="337">
        <v>0.28999999999999998</v>
      </c>
      <c r="O47" s="231">
        <v>0.1</v>
      </c>
      <c r="P47" s="338">
        <v>0.1</v>
      </c>
      <c r="Q47" s="325">
        <f t="shared" si="0"/>
        <v>100</v>
      </c>
      <c r="R47" s="222">
        <f t="shared" si="1"/>
        <v>200.99999999999997</v>
      </c>
      <c r="S47" s="230">
        <f t="shared" si="2"/>
        <v>110.00000000000001</v>
      </c>
      <c r="T47" s="339">
        <f t="shared" si="3"/>
        <v>17</v>
      </c>
      <c r="U47" s="340">
        <f t="shared" si="4"/>
        <v>311</v>
      </c>
      <c r="V47" s="337">
        <f t="shared" si="5"/>
        <v>28.999999999999996</v>
      </c>
      <c r="W47" s="231">
        <f t="shared" si="6"/>
        <v>10</v>
      </c>
      <c r="X47" s="338">
        <f t="shared" si="7"/>
        <v>10</v>
      </c>
      <c r="Y47" s="14"/>
    </row>
    <row r="48" spans="1:25" s="7" customFormat="1" ht="12" customHeight="1">
      <c r="A48" s="233">
        <v>40491</v>
      </c>
      <c r="B48" s="28">
        <v>759</v>
      </c>
      <c r="C48" s="20" t="s">
        <v>362</v>
      </c>
      <c r="D48" s="20" t="s">
        <v>42</v>
      </c>
      <c r="E48" s="28">
        <v>100</v>
      </c>
      <c r="F48" s="28" t="s">
        <v>1558</v>
      </c>
      <c r="G48" s="119">
        <v>15.65</v>
      </c>
      <c r="H48" s="150">
        <f t="shared" si="8"/>
        <v>1565</v>
      </c>
      <c r="I48" s="347">
        <v>0.8</v>
      </c>
      <c r="J48" s="326">
        <v>1.81</v>
      </c>
      <c r="K48" s="341">
        <v>0</v>
      </c>
      <c r="L48" s="328">
        <v>0</v>
      </c>
      <c r="M48" s="340">
        <f t="shared" si="9"/>
        <v>1.81</v>
      </c>
      <c r="N48" s="337">
        <v>0</v>
      </c>
      <c r="O48" s="231">
        <v>0.05</v>
      </c>
      <c r="P48" s="338">
        <v>0.05</v>
      </c>
      <c r="Q48" s="325">
        <f t="shared" si="0"/>
        <v>80</v>
      </c>
      <c r="R48" s="222">
        <f t="shared" si="1"/>
        <v>181</v>
      </c>
      <c r="S48" s="230">
        <f t="shared" si="2"/>
        <v>0</v>
      </c>
      <c r="T48" s="339">
        <f t="shared" si="3"/>
        <v>0</v>
      </c>
      <c r="U48" s="340">
        <f t="shared" si="4"/>
        <v>181</v>
      </c>
      <c r="V48" s="337">
        <f>N48*E48</f>
        <v>0</v>
      </c>
      <c r="W48" s="231">
        <f>O48*E48</f>
        <v>5</v>
      </c>
      <c r="X48" s="338">
        <f>P48*E48</f>
        <v>5</v>
      </c>
      <c r="Y48" s="14"/>
    </row>
    <row r="49" spans="1:25" s="7" customFormat="1" ht="12" customHeight="1">
      <c r="A49" s="233">
        <v>40491</v>
      </c>
      <c r="B49" s="28">
        <v>760</v>
      </c>
      <c r="C49" s="20" t="s">
        <v>27</v>
      </c>
      <c r="D49" s="20" t="s">
        <v>24</v>
      </c>
      <c r="E49" s="28">
        <v>10</v>
      </c>
      <c r="F49" s="28" t="s">
        <v>1559</v>
      </c>
      <c r="G49" s="119">
        <v>36.5</v>
      </c>
      <c r="H49" s="150">
        <f t="shared" si="8"/>
        <v>365</v>
      </c>
      <c r="I49" s="347">
        <v>3.5</v>
      </c>
      <c r="J49" s="326">
        <v>7.79</v>
      </c>
      <c r="K49" s="341">
        <v>0.8</v>
      </c>
      <c r="L49" s="328">
        <v>0.12</v>
      </c>
      <c r="M49" s="340">
        <f t="shared" si="9"/>
        <v>8.59</v>
      </c>
      <c r="N49" s="337">
        <v>0.33</v>
      </c>
      <c r="O49" s="231">
        <v>0.1</v>
      </c>
      <c r="P49" s="338">
        <v>0.1</v>
      </c>
      <c r="Q49" s="325">
        <f t="shared" si="0"/>
        <v>35</v>
      </c>
      <c r="R49" s="222">
        <f t="shared" si="1"/>
        <v>77.900000000000006</v>
      </c>
      <c r="S49" s="230">
        <f t="shared" si="2"/>
        <v>8</v>
      </c>
      <c r="T49" s="339">
        <f t="shared" si="3"/>
        <v>1.2</v>
      </c>
      <c r="U49" s="340">
        <f t="shared" si="4"/>
        <v>85.9</v>
      </c>
      <c r="V49" s="337">
        <f t="shared" si="5"/>
        <v>3.3000000000000003</v>
      </c>
      <c r="W49" s="231">
        <f t="shared" si="6"/>
        <v>1</v>
      </c>
      <c r="X49" s="338">
        <f t="shared" si="7"/>
        <v>1</v>
      </c>
      <c r="Y49" s="14"/>
    </row>
    <row r="50" spans="1:25" s="7" customFormat="1" ht="12" customHeight="1">
      <c r="A50" s="233">
        <v>40491</v>
      </c>
      <c r="B50" s="28">
        <v>761</v>
      </c>
      <c r="C50" s="20" t="s">
        <v>1560</v>
      </c>
      <c r="D50" s="20" t="s">
        <v>1561</v>
      </c>
      <c r="E50" s="28">
        <v>14</v>
      </c>
      <c r="F50" s="28" t="s">
        <v>1562</v>
      </c>
      <c r="G50" s="119">
        <v>57</v>
      </c>
      <c r="H50" s="150">
        <f t="shared" si="8"/>
        <v>798</v>
      </c>
      <c r="I50" s="347">
        <v>3.5</v>
      </c>
      <c r="J50" s="326">
        <v>14.29</v>
      </c>
      <c r="K50" s="341">
        <v>2.4</v>
      </c>
      <c r="L50" s="328">
        <v>0.36</v>
      </c>
      <c r="M50" s="340">
        <f t="shared" si="9"/>
        <v>16.689999999999998</v>
      </c>
      <c r="N50" s="337">
        <v>0.33</v>
      </c>
      <c r="O50" s="231">
        <v>0.1</v>
      </c>
      <c r="P50" s="338">
        <v>0.1</v>
      </c>
      <c r="Q50" s="325">
        <f t="shared" si="0"/>
        <v>49</v>
      </c>
      <c r="R50" s="222">
        <f t="shared" si="1"/>
        <v>200.06</v>
      </c>
      <c r="S50" s="230">
        <f t="shared" si="2"/>
        <v>33.6</v>
      </c>
      <c r="T50" s="339">
        <f t="shared" si="3"/>
        <v>5.04</v>
      </c>
      <c r="U50" s="340">
        <f t="shared" si="4"/>
        <v>233.65999999999997</v>
      </c>
      <c r="V50" s="337">
        <f t="shared" si="5"/>
        <v>4.62</v>
      </c>
      <c r="W50" s="231">
        <f t="shared" si="6"/>
        <v>1.4000000000000001</v>
      </c>
      <c r="X50" s="338">
        <f t="shared" si="7"/>
        <v>1.4000000000000001</v>
      </c>
      <c r="Y50" s="14"/>
    </row>
    <row r="51" spans="1:25" s="7" customFormat="1" ht="12" customHeight="1">
      <c r="A51" s="233"/>
      <c r="B51" s="28"/>
      <c r="C51" s="20" t="s">
        <v>1560</v>
      </c>
      <c r="D51" s="20" t="s">
        <v>1561</v>
      </c>
      <c r="E51" s="28">
        <f>2+1</f>
        <v>3</v>
      </c>
      <c r="F51" s="28" t="s">
        <v>1563</v>
      </c>
      <c r="G51" s="119">
        <v>61</v>
      </c>
      <c r="H51" s="150">
        <f t="shared" si="8"/>
        <v>183</v>
      </c>
      <c r="I51" s="347">
        <v>3.5</v>
      </c>
      <c r="J51" s="326">
        <v>14.29</v>
      </c>
      <c r="K51" s="341">
        <v>2.4</v>
      </c>
      <c r="L51" s="328">
        <v>0.36</v>
      </c>
      <c r="M51" s="340">
        <f>J51+K51</f>
        <v>16.689999999999998</v>
      </c>
      <c r="N51" s="337">
        <v>0.33</v>
      </c>
      <c r="O51" s="231">
        <v>0.1</v>
      </c>
      <c r="P51" s="338">
        <v>0.1</v>
      </c>
      <c r="Q51" s="325">
        <f t="shared" si="0"/>
        <v>10.5</v>
      </c>
      <c r="R51" s="222">
        <f t="shared" si="1"/>
        <v>42.87</v>
      </c>
      <c r="S51" s="230">
        <f t="shared" si="2"/>
        <v>7.1999999999999993</v>
      </c>
      <c r="T51" s="339">
        <f t="shared" si="3"/>
        <v>1.08</v>
      </c>
      <c r="U51" s="340">
        <f t="shared" si="4"/>
        <v>50.069999999999993</v>
      </c>
      <c r="V51" s="337">
        <f t="shared" si="5"/>
        <v>0.99</v>
      </c>
      <c r="W51" s="231">
        <f t="shared" si="6"/>
        <v>0.30000000000000004</v>
      </c>
      <c r="X51" s="338">
        <f t="shared" si="7"/>
        <v>0.30000000000000004</v>
      </c>
      <c r="Y51" s="14"/>
    </row>
    <row r="52" spans="1:25" s="7" customFormat="1" ht="12" customHeight="1">
      <c r="A52" s="233"/>
      <c r="B52" s="28"/>
      <c r="C52" s="20" t="s">
        <v>1560</v>
      </c>
      <c r="D52" s="20" t="s">
        <v>1561</v>
      </c>
      <c r="E52" s="28">
        <v>30</v>
      </c>
      <c r="F52" s="28" t="s">
        <v>1564</v>
      </c>
      <c r="G52" s="119">
        <v>57</v>
      </c>
      <c r="H52" s="150">
        <f t="shared" si="8"/>
        <v>1710</v>
      </c>
      <c r="I52" s="347">
        <v>3.5</v>
      </c>
      <c r="J52" s="326">
        <v>20.329999999999998</v>
      </c>
      <c r="K52" s="341">
        <v>2.4</v>
      </c>
      <c r="L52" s="328">
        <v>0.36</v>
      </c>
      <c r="M52" s="340">
        <f>J52+K52</f>
        <v>22.729999999999997</v>
      </c>
      <c r="N52" s="337">
        <v>0.33</v>
      </c>
      <c r="O52" s="231">
        <v>0.1</v>
      </c>
      <c r="P52" s="338">
        <v>0.1</v>
      </c>
      <c r="Q52" s="325">
        <f t="shared" si="0"/>
        <v>105</v>
      </c>
      <c r="R52" s="222">
        <f t="shared" si="1"/>
        <v>609.9</v>
      </c>
      <c r="S52" s="230">
        <f t="shared" si="2"/>
        <v>72</v>
      </c>
      <c r="T52" s="339">
        <f t="shared" si="3"/>
        <v>10.799999999999999</v>
      </c>
      <c r="U52" s="340">
        <f t="shared" si="4"/>
        <v>681.89999999999986</v>
      </c>
      <c r="V52" s="337">
        <f t="shared" si="5"/>
        <v>9.9</v>
      </c>
      <c r="W52" s="231">
        <f t="shared" si="6"/>
        <v>3</v>
      </c>
      <c r="X52" s="338">
        <f t="shared" si="7"/>
        <v>3</v>
      </c>
      <c r="Y52" s="14"/>
    </row>
    <row r="53" spans="1:25" s="7" customFormat="1" ht="12" customHeight="1">
      <c r="A53" s="233"/>
      <c r="B53" s="28"/>
      <c r="C53" s="20" t="s">
        <v>1560</v>
      </c>
      <c r="D53" s="20" t="s">
        <v>1561</v>
      </c>
      <c r="E53" s="28">
        <v>5</v>
      </c>
      <c r="F53" s="28" t="s">
        <v>1565</v>
      </c>
      <c r="G53" s="119">
        <v>61</v>
      </c>
      <c r="H53" s="150">
        <f t="shared" si="8"/>
        <v>305</v>
      </c>
      <c r="I53" s="347">
        <v>3.5</v>
      </c>
      <c r="J53" s="326">
        <v>20.329999999999998</v>
      </c>
      <c r="K53" s="341">
        <v>2.4</v>
      </c>
      <c r="L53" s="328">
        <v>0.36</v>
      </c>
      <c r="M53" s="340">
        <f>J53+K53</f>
        <v>22.729999999999997</v>
      </c>
      <c r="N53" s="337">
        <v>0.33</v>
      </c>
      <c r="O53" s="231">
        <v>0.1</v>
      </c>
      <c r="P53" s="338">
        <v>0.1</v>
      </c>
      <c r="Q53" s="325">
        <f t="shared" si="0"/>
        <v>17.5</v>
      </c>
      <c r="R53" s="222">
        <f t="shared" si="1"/>
        <v>101.64999999999999</v>
      </c>
      <c r="S53" s="230">
        <f t="shared" si="2"/>
        <v>12</v>
      </c>
      <c r="T53" s="339">
        <f t="shared" si="3"/>
        <v>1.7999999999999998</v>
      </c>
      <c r="U53" s="340">
        <f t="shared" si="4"/>
        <v>113.64999999999998</v>
      </c>
      <c r="V53" s="337">
        <f t="shared" si="5"/>
        <v>1.6500000000000001</v>
      </c>
      <c r="W53" s="231">
        <f t="shared" si="6"/>
        <v>0.5</v>
      </c>
      <c r="X53" s="338">
        <f t="shared" si="7"/>
        <v>0.5</v>
      </c>
      <c r="Y53" s="14"/>
    </row>
    <row r="54" spans="1:25" s="7" customFormat="1" ht="12" customHeight="1">
      <c r="A54" s="233">
        <v>40491</v>
      </c>
      <c r="B54" s="28">
        <v>762</v>
      </c>
      <c r="C54" s="20" t="s">
        <v>21</v>
      </c>
      <c r="D54" s="20" t="s">
        <v>42</v>
      </c>
      <c r="E54" s="28">
        <v>62</v>
      </c>
      <c r="F54" s="28" t="s">
        <v>1566</v>
      </c>
      <c r="G54" s="119">
        <v>42.5</v>
      </c>
      <c r="H54" s="150">
        <f t="shared" si="8"/>
        <v>2635</v>
      </c>
      <c r="I54" s="347">
        <v>4</v>
      </c>
      <c r="J54" s="326">
        <v>21.56</v>
      </c>
      <c r="K54" s="341">
        <v>0.6</v>
      </c>
      <c r="L54" s="328">
        <v>0.09</v>
      </c>
      <c r="M54" s="340">
        <f t="shared" si="9"/>
        <v>22.16</v>
      </c>
      <c r="N54" s="337">
        <v>0.28999999999999998</v>
      </c>
      <c r="O54" s="231">
        <v>0.1</v>
      </c>
      <c r="P54" s="338">
        <v>0.1</v>
      </c>
      <c r="Q54" s="325">
        <f t="shared" si="0"/>
        <v>248</v>
      </c>
      <c r="R54" s="343">
        <f t="shared" si="1"/>
        <v>1336.72</v>
      </c>
      <c r="S54" s="230">
        <f t="shared" si="2"/>
        <v>37.199999999999996</v>
      </c>
      <c r="T54" s="339">
        <f t="shared" si="3"/>
        <v>5.58</v>
      </c>
      <c r="U54" s="344">
        <f t="shared" si="4"/>
        <v>1373.92</v>
      </c>
      <c r="V54" s="337">
        <f t="shared" si="5"/>
        <v>17.98</v>
      </c>
      <c r="W54" s="231">
        <f t="shared" si="6"/>
        <v>6.2</v>
      </c>
      <c r="X54" s="338">
        <f t="shared" si="7"/>
        <v>6.2</v>
      </c>
      <c r="Y54" s="14"/>
    </row>
    <row r="55" spans="1:25" s="7" customFormat="1" ht="12" customHeight="1">
      <c r="A55" s="233">
        <v>40493</v>
      </c>
      <c r="B55" s="28">
        <v>763</v>
      </c>
      <c r="C55" s="20" t="s">
        <v>1567</v>
      </c>
      <c r="D55" s="20" t="s">
        <v>1568</v>
      </c>
      <c r="E55" s="28">
        <v>120</v>
      </c>
      <c r="F55" s="28" t="s">
        <v>1569</v>
      </c>
      <c r="G55" s="119">
        <v>44.5</v>
      </c>
      <c r="H55" s="150">
        <f t="shared" si="8"/>
        <v>5340</v>
      </c>
      <c r="I55" s="347">
        <v>3.5</v>
      </c>
      <c r="J55" s="326">
        <v>10.130000000000001</v>
      </c>
      <c r="K55" s="341">
        <v>4.9000000000000004</v>
      </c>
      <c r="L55" s="328">
        <v>0.74</v>
      </c>
      <c r="M55" s="340">
        <f t="shared" si="9"/>
        <v>15.030000000000001</v>
      </c>
      <c r="N55" s="337">
        <v>0.33</v>
      </c>
      <c r="O55" s="231">
        <v>0.1</v>
      </c>
      <c r="P55" s="338">
        <v>0.1</v>
      </c>
      <c r="Q55" s="325">
        <f t="shared" si="0"/>
        <v>420</v>
      </c>
      <c r="R55" s="222">
        <f t="shared" si="1"/>
        <v>1215.6000000000001</v>
      </c>
      <c r="S55" s="230">
        <f t="shared" si="2"/>
        <v>588</v>
      </c>
      <c r="T55" s="339">
        <f t="shared" si="3"/>
        <v>88.8</v>
      </c>
      <c r="U55" s="340">
        <f t="shared" si="4"/>
        <v>1803.6000000000001</v>
      </c>
      <c r="V55" s="337">
        <f t="shared" si="5"/>
        <v>39.6</v>
      </c>
      <c r="W55" s="231">
        <f t="shared" si="6"/>
        <v>12</v>
      </c>
      <c r="X55" s="338">
        <f t="shared" si="7"/>
        <v>12</v>
      </c>
      <c r="Y55" s="14"/>
    </row>
    <row r="56" spans="1:25" s="7" customFormat="1" ht="12" customHeight="1">
      <c r="A56" s="233"/>
      <c r="B56" s="28"/>
      <c r="C56" s="20" t="s">
        <v>1567</v>
      </c>
      <c r="D56" s="20" t="s">
        <v>1568</v>
      </c>
      <c r="E56" s="28">
        <f>120-36</f>
        <v>84</v>
      </c>
      <c r="F56" s="28" t="s">
        <v>1570</v>
      </c>
      <c r="G56" s="119">
        <v>48.5</v>
      </c>
      <c r="H56" s="150">
        <f t="shared" si="8"/>
        <v>4074</v>
      </c>
      <c r="I56" s="347">
        <v>3.5</v>
      </c>
      <c r="J56" s="326">
        <v>10.15</v>
      </c>
      <c r="K56" s="341">
        <v>4.9000000000000004</v>
      </c>
      <c r="L56" s="328">
        <v>0.74</v>
      </c>
      <c r="M56" s="340">
        <f t="shared" ref="M56:M62" si="10">J56+K56</f>
        <v>15.05</v>
      </c>
      <c r="N56" s="337">
        <v>0.33</v>
      </c>
      <c r="O56" s="231">
        <v>0.1</v>
      </c>
      <c r="P56" s="338">
        <v>0.1</v>
      </c>
      <c r="Q56" s="325">
        <f t="shared" si="0"/>
        <v>294</v>
      </c>
      <c r="R56" s="222">
        <f t="shared" si="1"/>
        <v>852.6</v>
      </c>
      <c r="S56" s="230">
        <f t="shared" si="2"/>
        <v>411.6</v>
      </c>
      <c r="T56" s="339">
        <f t="shared" si="3"/>
        <v>62.16</v>
      </c>
      <c r="U56" s="340">
        <f t="shared" si="4"/>
        <v>1264.2</v>
      </c>
      <c r="V56" s="337">
        <f t="shared" si="5"/>
        <v>27.720000000000002</v>
      </c>
      <c r="W56" s="231">
        <f t="shared" si="6"/>
        <v>8.4</v>
      </c>
      <c r="X56" s="338">
        <f t="shared" si="7"/>
        <v>8.4</v>
      </c>
      <c r="Y56" s="14"/>
    </row>
    <row r="57" spans="1:25" s="7" customFormat="1" ht="12" customHeight="1">
      <c r="A57" s="233"/>
      <c r="B57" s="28"/>
      <c r="C57" s="20" t="s">
        <v>1567</v>
      </c>
      <c r="D57" s="20" t="s">
        <v>1568</v>
      </c>
      <c r="E57" s="28">
        <v>36</v>
      </c>
      <c r="F57" s="28" t="s">
        <v>1571</v>
      </c>
      <c r="G57" s="119">
        <v>52.5</v>
      </c>
      <c r="H57" s="150">
        <f t="shared" si="8"/>
        <v>1890</v>
      </c>
      <c r="I57" s="347">
        <v>3.5</v>
      </c>
      <c r="J57" s="326">
        <v>10.15</v>
      </c>
      <c r="K57" s="341">
        <v>4.9000000000000004</v>
      </c>
      <c r="L57" s="328">
        <v>0.74</v>
      </c>
      <c r="M57" s="340">
        <f t="shared" si="10"/>
        <v>15.05</v>
      </c>
      <c r="N57" s="337">
        <v>0.33</v>
      </c>
      <c r="O57" s="231">
        <v>0.1</v>
      </c>
      <c r="P57" s="338">
        <v>0.1</v>
      </c>
      <c r="Q57" s="325">
        <f t="shared" si="0"/>
        <v>126</v>
      </c>
      <c r="R57" s="222">
        <f t="shared" si="1"/>
        <v>365.40000000000003</v>
      </c>
      <c r="S57" s="230">
        <f t="shared" si="2"/>
        <v>176.4</v>
      </c>
      <c r="T57" s="339">
        <f t="shared" si="3"/>
        <v>26.64</v>
      </c>
      <c r="U57" s="340">
        <f t="shared" si="4"/>
        <v>541.80000000000007</v>
      </c>
      <c r="V57" s="337">
        <f t="shared" si="5"/>
        <v>11.88</v>
      </c>
      <c r="W57" s="231">
        <f t="shared" si="6"/>
        <v>3.6</v>
      </c>
      <c r="X57" s="338">
        <f t="shared" si="7"/>
        <v>3.6</v>
      </c>
      <c r="Y57" s="14"/>
    </row>
    <row r="58" spans="1:25" s="7" customFormat="1" ht="12" customHeight="1">
      <c r="A58" s="233"/>
      <c r="B58" s="28"/>
      <c r="C58" s="20" t="s">
        <v>1567</v>
      </c>
      <c r="D58" s="20" t="s">
        <v>1568</v>
      </c>
      <c r="E58" s="28">
        <v>60</v>
      </c>
      <c r="F58" s="28" t="s">
        <v>1572</v>
      </c>
      <c r="G58" s="119">
        <v>44.5</v>
      </c>
      <c r="H58" s="150">
        <f t="shared" si="8"/>
        <v>2670</v>
      </c>
      <c r="I58" s="347">
        <v>3.5</v>
      </c>
      <c r="J58" s="326">
        <v>10.130000000000001</v>
      </c>
      <c r="K58" s="341">
        <v>4.9000000000000004</v>
      </c>
      <c r="L58" s="328">
        <v>0.74</v>
      </c>
      <c r="M58" s="340">
        <f t="shared" si="10"/>
        <v>15.030000000000001</v>
      </c>
      <c r="N58" s="337">
        <v>0.33</v>
      </c>
      <c r="O58" s="231">
        <v>0.1</v>
      </c>
      <c r="P58" s="338">
        <v>0.1</v>
      </c>
      <c r="Q58" s="325">
        <f t="shared" si="0"/>
        <v>210</v>
      </c>
      <c r="R58" s="222">
        <f t="shared" si="1"/>
        <v>607.80000000000007</v>
      </c>
      <c r="S58" s="230">
        <f t="shared" si="2"/>
        <v>294</v>
      </c>
      <c r="T58" s="339">
        <f t="shared" si="3"/>
        <v>44.4</v>
      </c>
      <c r="U58" s="340">
        <f t="shared" si="4"/>
        <v>901.80000000000007</v>
      </c>
      <c r="V58" s="337">
        <f t="shared" si="5"/>
        <v>19.8</v>
      </c>
      <c r="W58" s="231">
        <f t="shared" si="6"/>
        <v>6</v>
      </c>
      <c r="X58" s="338">
        <f t="shared" si="7"/>
        <v>6</v>
      </c>
      <c r="Y58" s="14"/>
    </row>
    <row r="59" spans="1:25" ht="12" customHeight="1">
      <c r="A59" s="233"/>
      <c r="B59" s="28"/>
      <c r="C59" s="20" t="s">
        <v>1567</v>
      </c>
      <c r="D59" s="20" t="s">
        <v>1568</v>
      </c>
      <c r="E59" s="28">
        <f>60-24</f>
        <v>36</v>
      </c>
      <c r="F59" s="28" t="s">
        <v>1573</v>
      </c>
      <c r="G59" s="119">
        <v>48.5</v>
      </c>
      <c r="H59" s="150">
        <f t="shared" si="8"/>
        <v>1746</v>
      </c>
      <c r="I59" s="347">
        <v>3.5</v>
      </c>
      <c r="J59" s="326">
        <v>10.15</v>
      </c>
      <c r="K59" s="341">
        <v>4.9000000000000004</v>
      </c>
      <c r="L59" s="328">
        <v>0.74</v>
      </c>
      <c r="M59" s="340">
        <f t="shared" si="10"/>
        <v>15.05</v>
      </c>
      <c r="N59" s="337">
        <v>0.33</v>
      </c>
      <c r="O59" s="231">
        <v>0.1</v>
      </c>
      <c r="P59" s="338">
        <v>0.1</v>
      </c>
      <c r="Q59" s="325">
        <f t="shared" si="0"/>
        <v>126</v>
      </c>
      <c r="R59" s="222">
        <f t="shared" si="1"/>
        <v>365.40000000000003</v>
      </c>
      <c r="S59" s="230">
        <f t="shared" si="2"/>
        <v>176.4</v>
      </c>
      <c r="T59" s="339">
        <f t="shared" si="3"/>
        <v>26.64</v>
      </c>
      <c r="U59" s="340">
        <f t="shared" si="4"/>
        <v>541.80000000000007</v>
      </c>
      <c r="V59" s="337">
        <f t="shared" si="5"/>
        <v>11.88</v>
      </c>
      <c r="W59" s="231">
        <f t="shared" si="6"/>
        <v>3.6</v>
      </c>
      <c r="X59" s="338">
        <f t="shared" si="7"/>
        <v>3.6</v>
      </c>
      <c r="Y59" s="14"/>
    </row>
    <row r="60" spans="1:25" ht="12" customHeight="1">
      <c r="A60" s="233"/>
      <c r="B60" s="28"/>
      <c r="C60" s="20" t="s">
        <v>1567</v>
      </c>
      <c r="D60" s="20" t="s">
        <v>1568</v>
      </c>
      <c r="E60" s="28">
        <v>24</v>
      </c>
      <c r="F60" s="28" t="s">
        <v>1574</v>
      </c>
      <c r="G60" s="119">
        <v>52.5</v>
      </c>
      <c r="H60" s="150">
        <f t="shared" si="8"/>
        <v>1260</v>
      </c>
      <c r="I60" s="347">
        <v>3.5</v>
      </c>
      <c r="J60" s="326">
        <v>10.15</v>
      </c>
      <c r="K60" s="341">
        <v>4.9000000000000004</v>
      </c>
      <c r="L60" s="328">
        <v>0.74</v>
      </c>
      <c r="M60" s="340">
        <f t="shared" si="10"/>
        <v>15.05</v>
      </c>
      <c r="N60" s="337">
        <v>0.33</v>
      </c>
      <c r="O60" s="231">
        <v>0.1</v>
      </c>
      <c r="P60" s="338">
        <v>0.1</v>
      </c>
      <c r="Q60" s="325">
        <f t="shared" si="0"/>
        <v>84</v>
      </c>
      <c r="R60" s="222">
        <f t="shared" si="1"/>
        <v>243.60000000000002</v>
      </c>
      <c r="S60" s="230">
        <f t="shared" si="2"/>
        <v>117.60000000000001</v>
      </c>
      <c r="T60" s="339">
        <f t="shared" si="3"/>
        <v>17.759999999999998</v>
      </c>
      <c r="U60" s="340">
        <f t="shared" si="4"/>
        <v>361.20000000000005</v>
      </c>
      <c r="V60" s="337">
        <f t="shared" si="5"/>
        <v>7.92</v>
      </c>
      <c r="W60" s="231">
        <f t="shared" si="6"/>
        <v>2.4000000000000004</v>
      </c>
      <c r="X60" s="338">
        <f t="shared" si="7"/>
        <v>2.4000000000000004</v>
      </c>
      <c r="Y60" s="14"/>
    </row>
    <row r="61" spans="1:25" ht="12" customHeight="1">
      <c r="A61" s="233"/>
      <c r="B61" s="28"/>
      <c r="C61" s="20" t="s">
        <v>1567</v>
      </c>
      <c r="D61" s="20" t="s">
        <v>1568</v>
      </c>
      <c r="E61" s="28">
        <v>12</v>
      </c>
      <c r="F61" s="28" t="s">
        <v>1575</v>
      </c>
      <c r="G61" s="119">
        <v>43.5</v>
      </c>
      <c r="H61" s="150">
        <f t="shared" si="8"/>
        <v>522</v>
      </c>
      <c r="I61" s="347">
        <v>3.5</v>
      </c>
      <c r="J61" s="326">
        <v>10.130000000000001</v>
      </c>
      <c r="K61" s="341">
        <v>4.9000000000000004</v>
      </c>
      <c r="L61" s="328">
        <v>0.74</v>
      </c>
      <c r="M61" s="340">
        <f t="shared" si="10"/>
        <v>15.030000000000001</v>
      </c>
      <c r="N61" s="337">
        <v>0.33</v>
      </c>
      <c r="O61" s="231">
        <v>0.1</v>
      </c>
      <c r="P61" s="338">
        <v>0.1</v>
      </c>
      <c r="Q61" s="325">
        <f t="shared" si="0"/>
        <v>42</v>
      </c>
      <c r="R61" s="222">
        <f t="shared" si="1"/>
        <v>121.56</v>
      </c>
      <c r="S61" s="230">
        <f t="shared" si="2"/>
        <v>58.800000000000004</v>
      </c>
      <c r="T61" s="339">
        <f t="shared" si="3"/>
        <v>8.879999999999999</v>
      </c>
      <c r="U61" s="340">
        <f t="shared" si="4"/>
        <v>180.36</v>
      </c>
      <c r="V61" s="337">
        <f t="shared" si="5"/>
        <v>3.96</v>
      </c>
      <c r="W61" s="231">
        <f t="shared" si="6"/>
        <v>1.2000000000000002</v>
      </c>
      <c r="X61" s="338">
        <f t="shared" si="7"/>
        <v>1.2000000000000002</v>
      </c>
      <c r="Y61" s="14"/>
    </row>
    <row r="62" spans="1:25" ht="12" customHeight="1">
      <c r="A62" s="233"/>
      <c r="B62" s="28"/>
      <c r="C62" s="20" t="s">
        <v>1567</v>
      </c>
      <c r="D62" s="20" t="s">
        <v>1568</v>
      </c>
      <c r="E62" s="28">
        <v>12</v>
      </c>
      <c r="F62" s="28" t="s">
        <v>1576</v>
      </c>
      <c r="G62" s="119">
        <v>43.5</v>
      </c>
      <c r="H62" s="150">
        <f t="shared" si="8"/>
        <v>522</v>
      </c>
      <c r="I62" s="347">
        <v>3.5</v>
      </c>
      <c r="J62" s="326">
        <v>10.15</v>
      </c>
      <c r="K62" s="341">
        <v>4.9000000000000004</v>
      </c>
      <c r="L62" s="328">
        <v>0.74</v>
      </c>
      <c r="M62" s="340">
        <f t="shared" si="10"/>
        <v>15.05</v>
      </c>
      <c r="N62" s="337">
        <v>0.33</v>
      </c>
      <c r="O62" s="231">
        <v>0.1</v>
      </c>
      <c r="P62" s="338">
        <v>0.1</v>
      </c>
      <c r="Q62" s="325">
        <f t="shared" si="0"/>
        <v>42</v>
      </c>
      <c r="R62" s="222">
        <f t="shared" si="1"/>
        <v>121.80000000000001</v>
      </c>
      <c r="S62" s="230">
        <f t="shared" si="2"/>
        <v>58.800000000000004</v>
      </c>
      <c r="T62" s="339">
        <f t="shared" si="3"/>
        <v>8.879999999999999</v>
      </c>
      <c r="U62" s="340">
        <f t="shared" si="4"/>
        <v>180.60000000000002</v>
      </c>
      <c r="V62" s="337">
        <f t="shared" si="5"/>
        <v>3.96</v>
      </c>
      <c r="W62" s="231">
        <f t="shared" si="6"/>
        <v>1.2000000000000002</v>
      </c>
      <c r="X62" s="338">
        <f t="shared" si="7"/>
        <v>1.2000000000000002</v>
      </c>
      <c r="Y62" s="14"/>
    </row>
    <row r="63" spans="1:25" ht="12" customHeight="1">
      <c r="A63" s="233"/>
      <c r="B63" s="28"/>
      <c r="C63" s="20" t="s">
        <v>1567</v>
      </c>
      <c r="D63" s="20" t="s">
        <v>1568</v>
      </c>
      <c r="E63" s="28">
        <v>120</v>
      </c>
      <c r="F63" s="28" t="s">
        <v>1577</v>
      </c>
      <c r="G63" s="119">
        <v>16.5</v>
      </c>
      <c r="H63" s="150">
        <f t="shared" si="8"/>
        <v>1980</v>
      </c>
      <c r="I63" s="347">
        <v>1</v>
      </c>
      <c r="J63" s="326">
        <v>1.84</v>
      </c>
      <c r="K63" s="327">
        <v>2</v>
      </c>
      <c r="L63" s="328">
        <v>0.3</v>
      </c>
      <c r="M63" s="344">
        <f t="shared" si="9"/>
        <v>3.84</v>
      </c>
      <c r="N63" s="337">
        <v>0.28999999999999998</v>
      </c>
      <c r="O63" s="231">
        <v>0.1</v>
      </c>
      <c r="P63" s="338">
        <v>0.1</v>
      </c>
      <c r="Q63" s="325">
        <f t="shared" si="0"/>
        <v>120</v>
      </c>
      <c r="R63" s="222">
        <f t="shared" si="1"/>
        <v>220.8</v>
      </c>
      <c r="S63" s="230">
        <f t="shared" si="2"/>
        <v>240</v>
      </c>
      <c r="T63" s="339">
        <f t="shared" si="3"/>
        <v>36</v>
      </c>
      <c r="U63" s="340">
        <f t="shared" si="4"/>
        <v>460.79999999999995</v>
      </c>
      <c r="V63" s="337">
        <f t="shared" si="5"/>
        <v>34.799999999999997</v>
      </c>
      <c r="W63" s="231">
        <f t="shared" si="6"/>
        <v>12</v>
      </c>
      <c r="X63" s="338">
        <f t="shared" si="7"/>
        <v>12</v>
      </c>
      <c r="Y63" s="14"/>
    </row>
    <row r="64" spans="1:25" ht="12" customHeight="1">
      <c r="A64" s="233">
        <v>40494</v>
      </c>
      <c r="B64" s="28">
        <v>764</v>
      </c>
      <c r="C64" s="20" t="s">
        <v>203</v>
      </c>
      <c r="D64" s="20" t="s">
        <v>1578</v>
      </c>
      <c r="E64" s="28">
        <v>10</v>
      </c>
      <c r="F64" s="28" t="s">
        <v>1579</v>
      </c>
      <c r="G64" s="119">
        <v>45</v>
      </c>
      <c r="H64" s="150">
        <f t="shared" si="8"/>
        <v>450</v>
      </c>
      <c r="I64" s="347">
        <v>6</v>
      </c>
      <c r="J64" s="326">
        <v>0.91</v>
      </c>
      <c r="K64" s="341">
        <v>1.7</v>
      </c>
      <c r="L64" s="328">
        <v>0.23</v>
      </c>
      <c r="M64" s="340">
        <f t="shared" si="9"/>
        <v>2.61</v>
      </c>
      <c r="N64" s="337">
        <v>0.57999999999999996</v>
      </c>
      <c r="O64" s="231">
        <v>0.1</v>
      </c>
      <c r="P64" s="338">
        <v>0.1</v>
      </c>
      <c r="Q64" s="325">
        <f t="shared" si="0"/>
        <v>60</v>
      </c>
      <c r="R64" s="222">
        <f t="shared" si="1"/>
        <v>9.1</v>
      </c>
      <c r="S64" s="230">
        <f t="shared" si="2"/>
        <v>17</v>
      </c>
      <c r="T64" s="339">
        <f t="shared" si="3"/>
        <v>2.3000000000000003</v>
      </c>
      <c r="U64" s="340">
        <f t="shared" si="4"/>
        <v>26.099999999999998</v>
      </c>
      <c r="V64" s="337">
        <f t="shared" si="5"/>
        <v>5.8</v>
      </c>
      <c r="W64" s="231">
        <f t="shared" si="6"/>
        <v>1</v>
      </c>
      <c r="X64" s="338">
        <f t="shared" si="7"/>
        <v>1</v>
      </c>
      <c r="Y64" s="14"/>
    </row>
    <row r="65" spans="1:25" ht="12" customHeight="1">
      <c r="A65" s="233">
        <v>40494</v>
      </c>
      <c r="B65" s="28">
        <v>765</v>
      </c>
      <c r="C65" s="20" t="s">
        <v>1580</v>
      </c>
      <c r="D65" s="20" t="s">
        <v>135</v>
      </c>
      <c r="E65" s="28">
        <v>7</v>
      </c>
      <c r="F65" s="28" t="s">
        <v>1581</v>
      </c>
      <c r="G65" s="119">
        <v>142.5</v>
      </c>
      <c r="H65" s="150">
        <f t="shared" si="8"/>
        <v>997.5</v>
      </c>
      <c r="I65" s="347">
        <v>8</v>
      </c>
      <c r="J65" s="326">
        <v>10.37</v>
      </c>
      <c r="K65" s="341">
        <v>2</v>
      </c>
      <c r="L65" s="328">
        <v>0.3</v>
      </c>
      <c r="M65" s="340">
        <f t="shared" si="9"/>
        <v>12.37</v>
      </c>
      <c r="N65" s="337">
        <v>1.25</v>
      </c>
      <c r="O65" s="231">
        <v>0.1</v>
      </c>
      <c r="P65" s="338">
        <v>0.1</v>
      </c>
      <c r="Q65" s="325">
        <f t="shared" si="0"/>
        <v>56</v>
      </c>
      <c r="R65" s="222">
        <f t="shared" si="1"/>
        <v>72.589999999999989</v>
      </c>
      <c r="S65" s="230">
        <f t="shared" si="2"/>
        <v>14</v>
      </c>
      <c r="T65" s="339">
        <f t="shared" si="3"/>
        <v>2.1</v>
      </c>
      <c r="U65" s="340">
        <f t="shared" si="4"/>
        <v>86.589999999999989</v>
      </c>
      <c r="V65" s="337">
        <f t="shared" si="5"/>
        <v>8.75</v>
      </c>
      <c r="W65" s="231">
        <f t="shared" si="6"/>
        <v>0.70000000000000007</v>
      </c>
      <c r="X65" s="338">
        <f t="shared" si="7"/>
        <v>0.70000000000000007</v>
      </c>
      <c r="Y65" s="14"/>
    </row>
    <row r="66" spans="1:25" ht="12" customHeight="1">
      <c r="A66" s="233"/>
      <c r="B66" s="28"/>
      <c r="C66" s="20" t="s">
        <v>1580</v>
      </c>
      <c r="D66" s="20" t="s">
        <v>135</v>
      </c>
      <c r="E66" s="28">
        <v>7</v>
      </c>
      <c r="F66" s="28" t="s">
        <v>1582</v>
      </c>
      <c r="G66" s="119">
        <v>150</v>
      </c>
      <c r="H66" s="150">
        <f t="shared" si="8"/>
        <v>1050</v>
      </c>
      <c r="I66" s="347">
        <v>8</v>
      </c>
      <c r="J66" s="326">
        <v>55</v>
      </c>
      <c r="K66" s="341">
        <v>2</v>
      </c>
      <c r="L66" s="328">
        <v>0.3</v>
      </c>
      <c r="M66" s="340">
        <f t="shared" si="9"/>
        <v>57</v>
      </c>
      <c r="N66" s="337">
        <v>1.67</v>
      </c>
      <c r="O66" s="231">
        <v>0.1</v>
      </c>
      <c r="P66" s="338">
        <v>0.2</v>
      </c>
      <c r="Q66" s="325">
        <f t="shared" si="0"/>
        <v>56</v>
      </c>
      <c r="R66" s="222">
        <f t="shared" si="1"/>
        <v>385</v>
      </c>
      <c r="S66" s="230">
        <f t="shared" si="2"/>
        <v>14</v>
      </c>
      <c r="T66" s="339">
        <f t="shared" si="3"/>
        <v>2.1</v>
      </c>
      <c r="U66" s="340">
        <f t="shared" si="4"/>
        <v>399</v>
      </c>
      <c r="V66" s="337">
        <f t="shared" si="5"/>
        <v>11.69</v>
      </c>
      <c r="W66" s="231">
        <f t="shared" si="6"/>
        <v>0.70000000000000007</v>
      </c>
      <c r="X66" s="338">
        <f t="shared" si="7"/>
        <v>1.4000000000000001</v>
      </c>
      <c r="Y66" s="14"/>
    </row>
    <row r="67" spans="1:25" ht="12" customHeight="1">
      <c r="A67" s="233">
        <v>40497</v>
      </c>
      <c r="B67" s="28">
        <v>766</v>
      </c>
      <c r="C67" s="20" t="s">
        <v>1583</v>
      </c>
      <c r="D67" s="20" t="s">
        <v>266</v>
      </c>
      <c r="E67" s="28">
        <v>12</v>
      </c>
      <c r="F67" s="28" t="s">
        <v>1584</v>
      </c>
      <c r="G67" s="119">
        <v>42.5</v>
      </c>
      <c r="H67" s="150">
        <f t="shared" si="8"/>
        <v>510</v>
      </c>
      <c r="I67" s="347">
        <v>3.5</v>
      </c>
      <c r="J67" s="326">
        <v>6.8</v>
      </c>
      <c r="K67" s="341">
        <v>1</v>
      </c>
      <c r="L67" s="328">
        <v>0.15</v>
      </c>
      <c r="M67" s="340">
        <f t="shared" si="9"/>
        <v>7.8</v>
      </c>
      <c r="N67" s="337">
        <v>0.33</v>
      </c>
      <c r="O67" s="231">
        <v>0.1</v>
      </c>
      <c r="P67" s="338">
        <v>0.1</v>
      </c>
      <c r="Q67" s="325">
        <f t="shared" si="0"/>
        <v>42</v>
      </c>
      <c r="R67" s="222">
        <f t="shared" si="1"/>
        <v>81.599999999999994</v>
      </c>
      <c r="S67" s="230">
        <f t="shared" si="2"/>
        <v>12</v>
      </c>
      <c r="T67" s="339">
        <f t="shared" si="3"/>
        <v>1.7999999999999998</v>
      </c>
      <c r="U67" s="340">
        <f t="shared" si="4"/>
        <v>93.6</v>
      </c>
      <c r="V67" s="337">
        <f t="shared" si="5"/>
        <v>3.96</v>
      </c>
      <c r="W67" s="231">
        <f t="shared" si="6"/>
        <v>1.2000000000000002</v>
      </c>
      <c r="X67" s="338">
        <f t="shared" si="7"/>
        <v>1.2000000000000002</v>
      </c>
      <c r="Y67" s="14"/>
    </row>
    <row r="68" spans="1:25" ht="12" customHeight="1">
      <c r="A68" s="233">
        <v>40498</v>
      </c>
      <c r="B68" s="28">
        <v>767</v>
      </c>
      <c r="C68" s="20" t="s">
        <v>21</v>
      </c>
      <c r="D68" s="20" t="s">
        <v>42</v>
      </c>
      <c r="E68" s="28">
        <v>24</v>
      </c>
      <c r="F68" s="28" t="s">
        <v>1585</v>
      </c>
      <c r="G68" s="119">
        <v>51</v>
      </c>
      <c r="H68" s="150">
        <f t="shared" si="8"/>
        <v>1224</v>
      </c>
      <c r="I68" s="347">
        <v>0.5</v>
      </c>
      <c r="J68" s="326">
        <v>9.4499999999999993</v>
      </c>
      <c r="K68" s="341">
        <v>0.6</v>
      </c>
      <c r="L68" s="328">
        <v>0.09</v>
      </c>
      <c r="M68" s="340">
        <f t="shared" si="9"/>
        <v>10.049999999999999</v>
      </c>
      <c r="N68" s="337">
        <v>0</v>
      </c>
      <c r="O68" s="231">
        <v>0.1</v>
      </c>
      <c r="P68" s="338">
        <v>0.1</v>
      </c>
      <c r="Q68" s="325">
        <f t="shared" si="0"/>
        <v>12</v>
      </c>
      <c r="R68" s="222">
        <f t="shared" si="1"/>
        <v>226.79999999999998</v>
      </c>
      <c r="S68" s="230">
        <f t="shared" si="2"/>
        <v>14.399999999999999</v>
      </c>
      <c r="T68" s="339">
        <f t="shared" si="3"/>
        <v>2.16</v>
      </c>
      <c r="U68" s="340">
        <f t="shared" si="4"/>
        <v>241.2</v>
      </c>
      <c r="V68" s="337">
        <f t="shared" si="5"/>
        <v>0</v>
      </c>
      <c r="W68" s="231">
        <f t="shared" si="6"/>
        <v>2.4000000000000004</v>
      </c>
      <c r="X68" s="338">
        <f t="shared" si="7"/>
        <v>2.4000000000000004</v>
      </c>
      <c r="Y68" s="14"/>
    </row>
    <row r="69" spans="1:25" ht="12" customHeight="1">
      <c r="A69" s="233"/>
      <c r="B69" s="28"/>
      <c r="C69" s="20" t="s">
        <v>21</v>
      </c>
      <c r="D69" s="20" t="s">
        <v>42</v>
      </c>
      <c r="E69" s="28">
        <v>49</v>
      </c>
      <c r="F69" s="28" t="s">
        <v>1586</v>
      </c>
      <c r="G69" s="119">
        <v>55</v>
      </c>
      <c r="H69" s="150">
        <f t="shared" si="8"/>
        <v>2695</v>
      </c>
      <c r="I69" s="347">
        <v>6</v>
      </c>
      <c r="J69" s="326">
        <v>13.61</v>
      </c>
      <c r="K69" s="341">
        <v>0.6</v>
      </c>
      <c r="L69" s="328">
        <v>0.09</v>
      </c>
      <c r="M69" s="340">
        <f t="shared" si="9"/>
        <v>14.209999999999999</v>
      </c>
      <c r="N69" s="337">
        <v>0.57999999999999996</v>
      </c>
      <c r="O69" s="231">
        <v>0.1</v>
      </c>
      <c r="P69" s="338">
        <v>0.1</v>
      </c>
      <c r="Q69" s="325">
        <f t="shared" si="0"/>
        <v>294</v>
      </c>
      <c r="R69" s="222">
        <f t="shared" si="1"/>
        <v>666.89</v>
      </c>
      <c r="S69" s="230">
        <f t="shared" si="2"/>
        <v>29.4</v>
      </c>
      <c r="T69" s="339">
        <f t="shared" si="3"/>
        <v>4.41</v>
      </c>
      <c r="U69" s="340">
        <f t="shared" si="4"/>
        <v>696.29</v>
      </c>
      <c r="V69" s="337">
        <f t="shared" si="5"/>
        <v>28.419999999999998</v>
      </c>
      <c r="W69" s="231">
        <f t="shared" si="6"/>
        <v>4.9000000000000004</v>
      </c>
      <c r="X69" s="338">
        <f t="shared" si="7"/>
        <v>4.9000000000000004</v>
      </c>
      <c r="Y69" s="14"/>
    </row>
    <row r="70" spans="1:25" ht="12" customHeight="1">
      <c r="A70" s="233"/>
      <c r="B70" s="28"/>
      <c r="C70" s="20" t="s">
        <v>21</v>
      </c>
      <c r="D70" s="20" t="s">
        <v>42</v>
      </c>
      <c r="E70" s="28">
        <v>8</v>
      </c>
      <c r="F70" s="28" t="s">
        <v>1587</v>
      </c>
      <c r="G70" s="119">
        <v>42.5</v>
      </c>
      <c r="H70" s="150">
        <f t="shared" si="8"/>
        <v>340</v>
      </c>
      <c r="I70" s="347">
        <v>6.5</v>
      </c>
      <c r="J70" s="326">
        <v>20.25</v>
      </c>
      <c r="K70" s="341">
        <v>0.6</v>
      </c>
      <c r="L70" s="328">
        <v>0.09</v>
      </c>
      <c r="M70" s="340">
        <f t="shared" si="9"/>
        <v>20.85</v>
      </c>
      <c r="N70" s="337">
        <v>0.28999999999999998</v>
      </c>
      <c r="O70" s="231">
        <v>0.1</v>
      </c>
      <c r="P70" s="338">
        <v>0.1</v>
      </c>
      <c r="Q70" s="325">
        <f t="shared" si="0"/>
        <v>52</v>
      </c>
      <c r="R70" s="222">
        <f t="shared" si="1"/>
        <v>162</v>
      </c>
      <c r="S70" s="230">
        <f t="shared" si="2"/>
        <v>4.8</v>
      </c>
      <c r="T70" s="339">
        <f t="shared" si="3"/>
        <v>0.72</v>
      </c>
      <c r="U70" s="340">
        <f t="shared" si="4"/>
        <v>166.8</v>
      </c>
      <c r="V70" s="337">
        <f t="shared" si="5"/>
        <v>2.3199999999999998</v>
      </c>
      <c r="W70" s="231">
        <f t="shared" si="6"/>
        <v>0.8</v>
      </c>
      <c r="X70" s="338">
        <f t="shared" si="7"/>
        <v>0.8</v>
      </c>
      <c r="Y70" s="14"/>
    </row>
    <row r="71" spans="1:25" ht="12" customHeight="1">
      <c r="A71" s="233">
        <v>40498</v>
      </c>
      <c r="B71" s="28">
        <v>768</v>
      </c>
      <c r="C71" s="20" t="s">
        <v>1588</v>
      </c>
      <c r="D71" s="20" t="s">
        <v>42</v>
      </c>
      <c r="E71" s="28">
        <v>9</v>
      </c>
      <c r="F71" s="28" t="s">
        <v>1589</v>
      </c>
      <c r="G71" s="119">
        <v>151</v>
      </c>
      <c r="H71" s="150">
        <f t="shared" si="8"/>
        <v>1359</v>
      </c>
      <c r="I71" s="347">
        <v>5.5</v>
      </c>
      <c r="J71" s="326">
        <v>46.59</v>
      </c>
      <c r="K71" s="341">
        <v>9</v>
      </c>
      <c r="L71" s="328">
        <v>1.35</v>
      </c>
      <c r="M71" s="340">
        <f t="shared" si="9"/>
        <v>55.59</v>
      </c>
      <c r="N71" s="337">
        <v>0.67</v>
      </c>
      <c r="O71" s="231">
        <v>0.1</v>
      </c>
      <c r="P71" s="338">
        <v>0.1</v>
      </c>
      <c r="Q71" s="325">
        <f t="shared" si="0"/>
        <v>49.5</v>
      </c>
      <c r="R71" s="222">
        <f t="shared" si="1"/>
        <v>419.31000000000006</v>
      </c>
      <c r="S71" s="230">
        <f t="shared" si="2"/>
        <v>81</v>
      </c>
      <c r="T71" s="339">
        <f t="shared" si="3"/>
        <v>12.15</v>
      </c>
      <c r="U71" s="340">
        <f t="shared" si="4"/>
        <v>500.31000000000006</v>
      </c>
      <c r="V71" s="337">
        <f t="shared" si="5"/>
        <v>6.03</v>
      </c>
      <c r="W71" s="231">
        <f t="shared" si="6"/>
        <v>0.9</v>
      </c>
      <c r="X71" s="338">
        <f t="shared" si="7"/>
        <v>0.9</v>
      </c>
      <c r="Y71" s="14"/>
    </row>
    <row r="72" spans="1:25" ht="12" customHeight="1">
      <c r="A72" s="233">
        <v>40498</v>
      </c>
      <c r="B72" s="28">
        <v>769</v>
      </c>
      <c r="C72" s="20" t="s">
        <v>27</v>
      </c>
      <c r="D72" s="20" t="s">
        <v>24</v>
      </c>
      <c r="E72" s="28">
        <v>30</v>
      </c>
      <c r="F72" s="28" t="s">
        <v>1590</v>
      </c>
      <c r="G72" s="119">
        <v>73</v>
      </c>
      <c r="H72" s="150">
        <f t="shared" si="8"/>
        <v>2190</v>
      </c>
      <c r="I72" s="347">
        <v>5.5</v>
      </c>
      <c r="J72" s="326">
        <v>18</v>
      </c>
      <c r="K72" s="341">
        <v>0</v>
      </c>
      <c r="L72" s="328">
        <v>0</v>
      </c>
      <c r="M72" s="340">
        <f t="shared" si="9"/>
        <v>18</v>
      </c>
      <c r="N72" s="337">
        <v>0.42</v>
      </c>
      <c r="O72" s="231">
        <v>0.1</v>
      </c>
      <c r="P72" s="338">
        <v>0.5</v>
      </c>
      <c r="Q72" s="325">
        <f t="shared" si="0"/>
        <v>165</v>
      </c>
      <c r="R72" s="222">
        <f t="shared" si="1"/>
        <v>540</v>
      </c>
      <c r="S72" s="230">
        <f t="shared" si="2"/>
        <v>0</v>
      </c>
      <c r="T72" s="339">
        <f t="shared" si="3"/>
        <v>0</v>
      </c>
      <c r="U72" s="340">
        <f t="shared" si="4"/>
        <v>540</v>
      </c>
      <c r="V72" s="337">
        <f t="shared" si="5"/>
        <v>12.6</v>
      </c>
      <c r="W72" s="231">
        <f t="shared" si="6"/>
        <v>3</v>
      </c>
      <c r="X72" s="338">
        <f t="shared" si="7"/>
        <v>15</v>
      </c>
      <c r="Y72" s="15"/>
    </row>
    <row r="73" spans="1:25" ht="12" customHeight="1">
      <c r="A73" s="233"/>
      <c r="B73" s="28"/>
      <c r="C73" s="20" t="s">
        <v>27</v>
      </c>
      <c r="D73" s="20" t="s">
        <v>24</v>
      </c>
      <c r="E73" s="28">
        <v>1</v>
      </c>
      <c r="F73" s="28" t="s">
        <v>1591</v>
      </c>
      <c r="G73" s="119">
        <v>105</v>
      </c>
      <c r="H73" s="150">
        <f t="shared" ref="H73:H133" si="11">E73*G73</f>
        <v>105</v>
      </c>
      <c r="I73" s="347">
        <v>8.5</v>
      </c>
      <c r="J73" s="326">
        <v>23.83</v>
      </c>
      <c r="K73" s="341">
        <v>0</v>
      </c>
      <c r="L73" s="328">
        <v>0</v>
      </c>
      <c r="M73" s="340">
        <f t="shared" si="9"/>
        <v>23.83</v>
      </c>
      <c r="N73" s="337">
        <v>1.67</v>
      </c>
      <c r="O73" s="231">
        <v>0.1</v>
      </c>
      <c r="P73" s="338">
        <v>0.5</v>
      </c>
      <c r="Q73" s="325">
        <f t="shared" si="0"/>
        <v>8.5</v>
      </c>
      <c r="R73" s="222">
        <f t="shared" si="1"/>
        <v>23.83</v>
      </c>
      <c r="S73" s="230">
        <f t="shared" si="2"/>
        <v>0</v>
      </c>
      <c r="T73" s="339">
        <f t="shared" si="3"/>
        <v>0</v>
      </c>
      <c r="U73" s="340">
        <f t="shared" si="4"/>
        <v>23.83</v>
      </c>
      <c r="V73" s="337">
        <f t="shared" si="5"/>
        <v>1.67</v>
      </c>
      <c r="W73" s="231">
        <f t="shared" si="6"/>
        <v>0.1</v>
      </c>
      <c r="X73" s="338">
        <f t="shared" si="7"/>
        <v>0.5</v>
      </c>
      <c r="Y73" s="14"/>
    </row>
    <row r="74" spans="1:25" ht="12" customHeight="1">
      <c r="A74" s="233"/>
      <c r="B74" s="28"/>
      <c r="C74" s="20" t="s">
        <v>27</v>
      </c>
      <c r="D74" s="20" t="s">
        <v>24</v>
      </c>
      <c r="E74" s="28">
        <v>4</v>
      </c>
      <c r="F74" s="28" t="s">
        <v>1592</v>
      </c>
      <c r="G74" s="119">
        <v>71.5</v>
      </c>
      <c r="H74" s="150">
        <f t="shared" si="11"/>
        <v>286</v>
      </c>
      <c r="I74" s="347">
        <v>3.5</v>
      </c>
      <c r="J74" s="326">
        <v>35.58</v>
      </c>
      <c r="K74" s="341">
        <v>0</v>
      </c>
      <c r="L74" s="328">
        <v>0</v>
      </c>
      <c r="M74" s="340">
        <f t="shared" ref="M74:M133" si="12">J74+K74</f>
        <v>35.58</v>
      </c>
      <c r="N74" s="337">
        <v>0.33</v>
      </c>
      <c r="O74" s="231">
        <v>0.1</v>
      </c>
      <c r="P74" s="338">
        <v>0.1</v>
      </c>
      <c r="Q74" s="325">
        <f t="shared" si="0"/>
        <v>14</v>
      </c>
      <c r="R74" s="222">
        <f t="shared" si="1"/>
        <v>142.32</v>
      </c>
      <c r="S74" s="230">
        <f t="shared" si="2"/>
        <v>0</v>
      </c>
      <c r="T74" s="339">
        <f t="shared" si="3"/>
        <v>0</v>
      </c>
      <c r="U74" s="340">
        <f t="shared" si="4"/>
        <v>142.32</v>
      </c>
      <c r="V74" s="337">
        <f t="shared" si="5"/>
        <v>1.32</v>
      </c>
      <c r="W74" s="231">
        <f t="shared" si="6"/>
        <v>0.4</v>
      </c>
      <c r="X74" s="338">
        <f t="shared" si="7"/>
        <v>0.4</v>
      </c>
      <c r="Y74" s="14"/>
    </row>
    <row r="75" spans="1:25" ht="12" customHeight="1">
      <c r="A75" s="233"/>
      <c r="B75" s="28"/>
      <c r="C75" s="20" t="s">
        <v>27</v>
      </c>
      <c r="D75" s="20" t="s">
        <v>24</v>
      </c>
      <c r="E75" s="28">
        <f>23+8</f>
        <v>31</v>
      </c>
      <c r="F75" s="28" t="s">
        <v>1593</v>
      </c>
      <c r="G75" s="119">
        <v>19</v>
      </c>
      <c r="H75" s="150">
        <f t="shared" si="11"/>
        <v>589</v>
      </c>
      <c r="I75" s="347">
        <v>0</v>
      </c>
      <c r="J75" s="326">
        <v>0</v>
      </c>
      <c r="K75" s="341">
        <v>0</v>
      </c>
      <c r="L75" s="328">
        <v>0</v>
      </c>
      <c r="M75" s="340">
        <f t="shared" si="12"/>
        <v>0</v>
      </c>
      <c r="N75" s="337">
        <v>0</v>
      </c>
      <c r="O75" s="231">
        <v>0</v>
      </c>
      <c r="P75" s="338">
        <v>0</v>
      </c>
      <c r="Q75" s="325">
        <f t="shared" si="0"/>
        <v>0</v>
      </c>
      <c r="R75" s="222">
        <f t="shared" si="1"/>
        <v>0</v>
      </c>
      <c r="S75" s="230">
        <f t="shared" si="2"/>
        <v>0</v>
      </c>
      <c r="T75" s="339">
        <f t="shared" si="3"/>
        <v>0</v>
      </c>
      <c r="U75" s="340">
        <f t="shared" si="4"/>
        <v>0</v>
      </c>
      <c r="V75" s="337">
        <f t="shared" si="5"/>
        <v>0</v>
      </c>
      <c r="W75" s="231">
        <f t="shared" si="6"/>
        <v>0</v>
      </c>
      <c r="X75" s="338">
        <f t="shared" si="7"/>
        <v>0</v>
      </c>
      <c r="Y75" s="14"/>
    </row>
    <row r="76" spans="1:25" ht="12" customHeight="1">
      <c r="A76" s="233"/>
      <c r="B76" s="28"/>
      <c r="C76" s="20" t="s">
        <v>27</v>
      </c>
      <c r="D76" s="20" t="s">
        <v>24</v>
      </c>
      <c r="E76" s="28">
        <v>4</v>
      </c>
      <c r="F76" s="28" t="s">
        <v>1594</v>
      </c>
      <c r="G76" s="119">
        <v>15</v>
      </c>
      <c r="H76" s="150">
        <f t="shared" si="11"/>
        <v>60</v>
      </c>
      <c r="I76" s="347">
        <v>0</v>
      </c>
      <c r="J76" s="326">
        <v>0</v>
      </c>
      <c r="K76" s="341">
        <v>0</v>
      </c>
      <c r="L76" s="328">
        <v>0</v>
      </c>
      <c r="M76" s="340">
        <f t="shared" si="12"/>
        <v>0</v>
      </c>
      <c r="N76" s="337">
        <v>0</v>
      </c>
      <c r="O76" s="231">
        <v>0</v>
      </c>
      <c r="P76" s="338">
        <v>0</v>
      </c>
      <c r="Q76" s="325">
        <f t="shared" si="0"/>
        <v>0</v>
      </c>
      <c r="R76" s="222">
        <f t="shared" si="1"/>
        <v>0</v>
      </c>
      <c r="S76" s="230">
        <f t="shared" si="2"/>
        <v>0</v>
      </c>
      <c r="T76" s="339">
        <f t="shared" si="3"/>
        <v>0</v>
      </c>
      <c r="U76" s="340">
        <f t="shared" si="4"/>
        <v>0</v>
      </c>
      <c r="V76" s="337">
        <f t="shared" si="5"/>
        <v>0</v>
      </c>
      <c r="W76" s="231">
        <f t="shared" si="6"/>
        <v>0</v>
      </c>
      <c r="X76" s="338">
        <f t="shared" si="7"/>
        <v>0</v>
      </c>
      <c r="Y76" s="14"/>
    </row>
    <row r="77" spans="1:25" ht="12" customHeight="1">
      <c r="A77" s="233">
        <v>40498</v>
      </c>
      <c r="B77" s="28">
        <v>770</v>
      </c>
      <c r="C77" s="20" t="s">
        <v>21</v>
      </c>
      <c r="D77" s="20" t="s">
        <v>42</v>
      </c>
      <c r="E77" s="28">
        <v>82</v>
      </c>
      <c r="F77" s="28" t="s">
        <v>1595</v>
      </c>
      <c r="G77" s="119">
        <v>54.5</v>
      </c>
      <c r="H77" s="150">
        <f t="shared" si="11"/>
        <v>4469</v>
      </c>
      <c r="I77" s="347">
        <v>3</v>
      </c>
      <c r="J77" s="326">
        <v>11.03</v>
      </c>
      <c r="K77" s="341">
        <v>0</v>
      </c>
      <c r="L77" s="328">
        <v>0</v>
      </c>
      <c r="M77" s="340">
        <f t="shared" si="12"/>
        <v>11.03</v>
      </c>
      <c r="N77" s="337">
        <v>0</v>
      </c>
      <c r="O77" s="231">
        <v>0.1</v>
      </c>
      <c r="P77" s="338">
        <v>0.1</v>
      </c>
      <c r="Q77" s="325">
        <f t="shared" ref="Q77:Q133" si="13">E77*I77</f>
        <v>246</v>
      </c>
      <c r="R77" s="222">
        <f t="shared" ref="R77:R133" si="14">E77*J77</f>
        <v>904.45999999999992</v>
      </c>
      <c r="S77" s="230">
        <f t="shared" ref="S77:S133" si="15">E77*K77</f>
        <v>0</v>
      </c>
      <c r="T77" s="339">
        <f t="shared" ref="T77:T133" si="16">E77*L77</f>
        <v>0</v>
      </c>
      <c r="U77" s="340">
        <f t="shared" ref="U77:U133" si="17">E77*M77</f>
        <v>904.45999999999992</v>
      </c>
      <c r="V77" s="337">
        <f t="shared" ref="V77:V133" si="18">N77*E77</f>
        <v>0</v>
      </c>
      <c r="W77" s="231">
        <f t="shared" ref="W77:W133" si="19">O77*E77</f>
        <v>8.2000000000000011</v>
      </c>
      <c r="X77" s="338">
        <f t="shared" ref="X77:X133" si="20">P77*E77</f>
        <v>8.2000000000000011</v>
      </c>
      <c r="Y77" s="14"/>
    </row>
    <row r="78" spans="1:25" ht="12" customHeight="1">
      <c r="A78" s="233">
        <v>40498</v>
      </c>
      <c r="B78" s="28">
        <v>771</v>
      </c>
      <c r="C78" s="20" t="s">
        <v>1596</v>
      </c>
      <c r="D78" s="20" t="s">
        <v>1597</v>
      </c>
      <c r="E78" s="28">
        <v>2</v>
      </c>
      <c r="F78" s="28" t="s">
        <v>1598</v>
      </c>
      <c r="G78" s="119">
        <v>41.5</v>
      </c>
      <c r="H78" s="150">
        <f t="shared" si="11"/>
        <v>83</v>
      </c>
      <c r="I78" s="347">
        <v>3.5</v>
      </c>
      <c r="J78" s="326">
        <v>8.4600000000000009</v>
      </c>
      <c r="K78" s="341">
        <v>1</v>
      </c>
      <c r="L78" s="328">
        <v>0.1</v>
      </c>
      <c r="M78" s="340">
        <f t="shared" si="12"/>
        <v>9.4600000000000009</v>
      </c>
      <c r="N78" s="337">
        <v>0.33</v>
      </c>
      <c r="O78" s="231">
        <v>0.1</v>
      </c>
      <c r="P78" s="338">
        <v>0.1</v>
      </c>
      <c r="Q78" s="325">
        <f t="shared" si="13"/>
        <v>7</v>
      </c>
      <c r="R78" s="343">
        <f t="shared" si="14"/>
        <v>16.920000000000002</v>
      </c>
      <c r="S78" s="230">
        <f t="shared" si="15"/>
        <v>2</v>
      </c>
      <c r="T78" s="339">
        <f t="shared" si="16"/>
        <v>0.2</v>
      </c>
      <c r="U78" s="344">
        <f t="shared" si="17"/>
        <v>18.920000000000002</v>
      </c>
      <c r="V78" s="337">
        <f t="shared" si="18"/>
        <v>0.66</v>
      </c>
      <c r="W78" s="231">
        <f t="shared" si="19"/>
        <v>0.2</v>
      </c>
      <c r="X78" s="338">
        <f t="shared" si="20"/>
        <v>0.2</v>
      </c>
      <c r="Y78" s="14"/>
    </row>
    <row r="79" spans="1:25" ht="12" customHeight="1">
      <c r="A79" s="233"/>
      <c r="B79" s="28"/>
      <c r="C79" s="20" t="s">
        <v>1596</v>
      </c>
      <c r="D79" s="20" t="s">
        <v>1597</v>
      </c>
      <c r="E79" s="28">
        <v>3</v>
      </c>
      <c r="F79" s="28" t="s">
        <v>1599</v>
      </c>
      <c r="G79" s="119">
        <v>45.5</v>
      </c>
      <c r="H79" s="150">
        <f t="shared" si="11"/>
        <v>136.5</v>
      </c>
      <c r="I79" s="347">
        <v>3.5</v>
      </c>
      <c r="J79" s="326">
        <v>11.32</v>
      </c>
      <c r="K79" s="341">
        <v>1</v>
      </c>
      <c r="L79" s="328">
        <v>0.15</v>
      </c>
      <c r="M79" s="340">
        <f t="shared" si="12"/>
        <v>12.32</v>
      </c>
      <c r="N79" s="337">
        <v>0.33</v>
      </c>
      <c r="O79" s="231">
        <v>0.1</v>
      </c>
      <c r="P79" s="338">
        <v>0.1</v>
      </c>
      <c r="Q79" s="325">
        <f t="shared" si="13"/>
        <v>10.5</v>
      </c>
      <c r="R79" s="222">
        <f t="shared" si="14"/>
        <v>33.96</v>
      </c>
      <c r="S79" s="230">
        <f t="shared" si="15"/>
        <v>3</v>
      </c>
      <c r="T79" s="339">
        <f t="shared" si="16"/>
        <v>0.44999999999999996</v>
      </c>
      <c r="U79" s="340">
        <f t="shared" si="17"/>
        <v>36.96</v>
      </c>
      <c r="V79" s="337">
        <f t="shared" si="18"/>
        <v>0.99</v>
      </c>
      <c r="W79" s="231">
        <f t="shared" si="19"/>
        <v>0.30000000000000004</v>
      </c>
      <c r="X79" s="338">
        <f t="shared" si="20"/>
        <v>0.30000000000000004</v>
      </c>
      <c r="Y79" s="14"/>
    </row>
    <row r="80" spans="1:25" ht="12" customHeight="1">
      <c r="A80" s="233"/>
      <c r="B80" s="28"/>
      <c r="C80" s="20" t="s">
        <v>1596</v>
      </c>
      <c r="D80" s="20" t="s">
        <v>1597</v>
      </c>
      <c r="E80" s="28">
        <v>3</v>
      </c>
      <c r="F80" s="28" t="s">
        <v>1600</v>
      </c>
      <c r="G80" s="119">
        <v>39</v>
      </c>
      <c r="H80" s="150">
        <f t="shared" si="11"/>
        <v>117</v>
      </c>
      <c r="I80" s="347">
        <v>3.5</v>
      </c>
      <c r="J80" s="326">
        <v>10.96</v>
      </c>
      <c r="K80" s="341">
        <v>1</v>
      </c>
      <c r="L80" s="328">
        <v>0.15</v>
      </c>
      <c r="M80" s="340">
        <f t="shared" si="12"/>
        <v>11.96</v>
      </c>
      <c r="N80" s="337">
        <v>0.3</v>
      </c>
      <c r="O80" s="231">
        <v>0.1</v>
      </c>
      <c r="P80" s="338">
        <v>0.1</v>
      </c>
      <c r="Q80" s="325">
        <f t="shared" si="13"/>
        <v>10.5</v>
      </c>
      <c r="R80" s="222">
        <f t="shared" si="14"/>
        <v>32.880000000000003</v>
      </c>
      <c r="S80" s="230">
        <f t="shared" si="15"/>
        <v>3</v>
      </c>
      <c r="T80" s="339">
        <f t="shared" si="16"/>
        <v>0.44999999999999996</v>
      </c>
      <c r="U80" s="340">
        <f t="shared" si="17"/>
        <v>35.880000000000003</v>
      </c>
      <c r="V80" s="337">
        <f t="shared" si="18"/>
        <v>0.89999999999999991</v>
      </c>
      <c r="W80" s="231">
        <f t="shared" si="19"/>
        <v>0.30000000000000004</v>
      </c>
      <c r="X80" s="338">
        <f t="shared" si="20"/>
        <v>0.30000000000000004</v>
      </c>
      <c r="Y80" s="14"/>
    </row>
    <row r="81" spans="1:25" ht="12" customHeight="1">
      <c r="A81" s="237">
        <v>40498</v>
      </c>
      <c r="B81" s="198">
        <v>772</v>
      </c>
      <c r="C81" s="199" t="s">
        <v>425</v>
      </c>
      <c r="D81" s="199" t="s">
        <v>245</v>
      </c>
      <c r="E81" s="198">
        <v>2</v>
      </c>
      <c r="F81" s="198" t="s">
        <v>1601</v>
      </c>
      <c r="G81" s="241"/>
      <c r="H81" s="150">
        <f t="shared" si="11"/>
        <v>0</v>
      </c>
      <c r="I81" s="347">
        <v>3.5</v>
      </c>
      <c r="J81" s="326">
        <v>1.57</v>
      </c>
      <c r="K81" s="341">
        <v>1.3</v>
      </c>
      <c r="L81" s="345">
        <v>0.2</v>
      </c>
      <c r="M81" s="340">
        <f t="shared" si="12"/>
        <v>2.87</v>
      </c>
      <c r="N81" s="337">
        <v>0.33</v>
      </c>
      <c r="O81" s="231">
        <v>0.1</v>
      </c>
      <c r="P81" s="338">
        <v>0.1</v>
      </c>
      <c r="Q81" s="325">
        <f t="shared" si="13"/>
        <v>7</v>
      </c>
      <c r="R81" s="222">
        <f t="shared" si="14"/>
        <v>3.14</v>
      </c>
      <c r="S81" s="230">
        <f t="shared" si="15"/>
        <v>2.6</v>
      </c>
      <c r="T81" s="339">
        <f t="shared" si="16"/>
        <v>0.4</v>
      </c>
      <c r="U81" s="340">
        <f t="shared" si="17"/>
        <v>5.74</v>
      </c>
      <c r="V81" s="337">
        <f t="shared" si="18"/>
        <v>0.66</v>
      </c>
      <c r="W81" s="231">
        <f t="shared" si="19"/>
        <v>0.2</v>
      </c>
      <c r="X81" s="338">
        <f t="shared" si="20"/>
        <v>0.2</v>
      </c>
      <c r="Y81" s="14"/>
    </row>
    <row r="82" spans="1:25" ht="12" customHeight="1">
      <c r="A82" s="237"/>
      <c r="B82" s="198"/>
      <c r="C82" s="199" t="s">
        <v>425</v>
      </c>
      <c r="D82" s="199" t="s">
        <v>245</v>
      </c>
      <c r="E82" s="198">
        <v>2</v>
      </c>
      <c r="F82" s="198" t="s">
        <v>1602</v>
      </c>
      <c r="G82" s="241"/>
      <c r="H82" s="150">
        <f t="shared" si="11"/>
        <v>0</v>
      </c>
      <c r="I82" s="348">
        <v>3.5</v>
      </c>
      <c r="J82" s="326">
        <v>2.86</v>
      </c>
      <c r="K82" s="341">
        <v>1.3</v>
      </c>
      <c r="L82" s="345">
        <v>0.2</v>
      </c>
      <c r="M82" s="340">
        <f t="shared" si="12"/>
        <v>4.16</v>
      </c>
      <c r="N82" s="337">
        <v>0.33</v>
      </c>
      <c r="O82" s="231">
        <v>0.1</v>
      </c>
      <c r="P82" s="338">
        <v>0.1</v>
      </c>
      <c r="Q82" s="325">
        <f t="shared" si="13"/>
        <v>7</v>
      </c>
      <c r="R82" s="222">
        <f t="shared" si="14"/>
        <v>5.72</v>
      </c>
      <c r="S82" s="230">
        <f t="shared" si="15"/>
        <v>2.6</v>
      </c>
      <c r="T82" s="339">
        <f t="shared" si="16"/>
        <v>0.4</v>
      </c>
      <c r="U82" s="340">
        <f t="shared" si="17"/>
        <v>8.32</v>
      </c>
      <c r="V82" s="337">
        <f t="shared" si="18"/>
        <v>0.66</v>
      </c>
      <c r="W82" s="231">
        <f t="shared" si="19"/>
        <v>0.2</v>
      </c>
      <c r="X82" s="338">
        <f t="shared" si="20"/>
        <v>0.2</v>
      </c>
      <c r="Y82" s="14"/>
    </row>
    <row r="83" spans="1:25" ht="12" customHeight="1">
      <c r="A83" s="238">
        <v>40498</v>
      </c>
      <c r="B83" s="45">
        <v>773</v>
      </c>
      <c r="C83" s="96" t="s">
        <v>1603</v>
      </c>
      <c r="D83" s="96" t="s">
        <v>590</v>
      </c>
      <c r="E83" s="45">
        <v>51</v>
      </c>
      <c r="F83" s="45" t="s">
        <v>651</v>
      </c>
      <c r="G83" s="242"/>
      <c r="H83" s="150">
        <f t="shared" si="11"/>
        <v>0</v>
      </c>
      <c r="I83" s="347">
        <v>0</v>
      </c>
      <c r="J83" s="326">
        <v>0</v>
      </c>
      <c r="K83" s="341">
        <v>0</v>
      </c>
      <c r="L83" s="328">
        <v>0</v>
      </c>
      <c r="M83" s="340">
        <f t="shared" si="12"/>
        <v>0</v>
      </c>
      <c r="N83" s="337">
        <v>0</v>
      </c>
      <c r="O83" s="231">
        <v>0</v>
      </c>
      <c r="P83" s="338">
        <v>0</v>
      </c>
      <c r="Q83" s="325">
        <f t="shared" si="13"/>
        <v>0</v>
      </c>
      <c r="R83" s="222">
        <f t="shared" si="14"/>
        <v>0</v>
      </c>
      <c r="S83" s="230">
        <f t="shared" si="15"/>
        <v>0</v>
      </c>
      <c r="T83" s="339">
        <f t="shared" si="16"/>
        <v>0</v>
      </c>
      <c r="U83" s="340">
        <f t="shared" si="17"/>
        <v>0</v>
      </c>
      <c r="V83" s="337">
        <f t="shared" si="18"/>
        <v>0</v>
      </c>
      <c r="W83" s="231">
        <f t="shared" si="19"/>
        <v>0</v>
      </c>
      <c r="X83" s="338">
        <f t="shared" si="20"/>
        <v>0</v>
      </c>
      <c r="Y83" s="14"/>
    </row>
    <row r="84" spans="1:25" ht="12" customHeight="1">
      <c r="A84" s="233">
        <v>40498</v>
      </c>
      <c r="B84" s="28">
        <v>774</v>
      </c>
      <c r="C84" s="20" t="s">
        <v>1605</v>
      </c>
      <c r="D84" s="20" t="s">
        <v>201</v>
      </c>
      <c r="E84" s="28">
        <v>14</v>
      </c>
      <c r="F84" s="28" t="s">
        <v>1606</v>
      </c>
      <c r="G84" s="119">
        <v>40</v>
      </c>
      <c r="H84" s="150">
        <f t="shared" si="11"/>
        <v>560</v>
      </c>
      <c r="I84" s="347">
        <v>3.5</v>
      </c>
      <c r="J84" s="326">
        <v>9</v>
      </c>
      <c r="K84" s="341">
        <v>1.2</v>
      </c>
      <c r="L84" s="328">
        <v>0.18</v>
      </c>
      <c r="M84" s="340">
        <f t="shared" si="12"/>
        <v>10.199999999999999</v>
      </c>
      <c r="N84" s="337">
        <v>0.33</v>
      </c>
      <c r="O84" s="231">
        <v>0.1</v>
      </c>
      <c r="P84" s="338">
        <v>0.1</v>
      </c>
      <c r="Q84" s="325">
        <f t="shared" si="13"/>
        <v>49</v>
      </c>
      <c r="R84" s="343">
        <f t="shared" si="14"/>
        <v>126</v>
      </c>
      <c r="S84" s="230">
        <f t="shared" si="15"/>
        <v>16.8</v>
      </c>
      <c r="T84" s="339">
        <f t="shared" si="16"/>
        <v>2.52</v>
      </c>
      <c r="U84" s="344">
        <f t="shared" si="17"/>
        <v>142.79999999999998</v>
      </c>
      <c r="V84" s="337">
        <f t="shared" si="18"/>
        <v>4.62</v>
      </c>
      <c r="W84" s="231">
        <f t="shared" si="19"/>
        <v>1.4000000000000001</v>
      </c>
      <c r="X84" s="338">
        <f t="shared" si="20"/>
        <v>1.4000000000000001</v>
      </c>
      <c r="Y84" s="14"/>
    </row>
    <row r="85" spans="1:25" ht="12" customHeight="1">
      <c r="A85" s="233"/>
      <c r="B85" s="28"/>
      <c r="C85" s="20" t="s">
        <v>1605</v>
      </c>
      <c r="D85" s="20" t="s">
        <v>201</v>
      </c>
      <c r="E85" s="28">
        <v>6</v>
      </c>
      <c r="F85" s="28" t="s">
        <v>1607</v>
      </c>
      <c r="G85" s="119">
        <v>44</v>
      </c>
      <c r="H85" s="150">
        <f t="shared" si="11"/>
        <v>264</v>
      </c>
      <c r="I85" s="347">
        <v>3.5</v>
      </c>
      <c r="J85" s="326">
        <v>9</v>
      </c>
      <c r="K85" s="341">
        <v>1.2</v>
      </c>
      <c r="L85" s="328">
        <v>0.18</v>
      </c>
      <c r="M85" s="340">
        <f>J85+K85</f>
        <v>10.199999999999999</v>
      </c>
      <c r="N85" s="337">
        <v>0.33</v>
      </c>
      <c r="O85" s="231">
        <v>0.1</v>
      </c>
      <c r="P85" s="338">
        <v>0.1</v>
      </c>
      <c r="Q85" s="325">
        <f t="shared" si="13"/>
        <v>21</v>
      </c>
      <c r="R85" s="222">
        <f t="shared" si="14"/>
        <v>54</v>
      </c>
      <c r="S85" s="230">
        <f t="shared" si="15"/>
        <v>7.1999999999999993</v>
      </c>
      <c r="T85" s="339">
        <f t="shared" si="16"/>
        <v>1.08</v>
      </c>
      <c r="U85" s="340">
        <f t="shared" si="17"/>
        <v>61.199999999999996</v>
      </c>
      <c r="V85" s="337">
        <f t="shared" si="18"/>
        <v>1.98</v>
      </c>
      <c r="W85" s="231">
        <f t="shared" si="19"/>
        <v>0.60000000000000009</v>
      </c>
      <c r="X85" s="338">
        <f t="shared" si="20"/>
        <v>0.60000000000000009</v>
      </c>
      <c r="Y85" s="14"/>
    </row>
    <row r="86" spans="1:25" ht="12" customHeight="1">
      <c r="A86" s="233"/>
      <c r="B86" s="28"/>
      <c r="C86" s="20" t="s">
        <v>1605</v>
      </c>
      <c r="D86" s="20" t="s">
        <v>201</v>
      </c>
      <c r="E86" s="28">
        <v>13</v>
      </c>
      <c r="F86" s="28" t="s">
        <v>1608</v>
      </c>
      <c r="G86" s="119">
        <v>42.5</v>
      </c>
      <c r="H86" s="150">
        <f t="shared" si="11"/>
        <v>552.5</v>
      </c>
      <c r="I86" s="347">
        <v>3.5</v>
      </c>
      <c r="J86" s="326">
        <v>3.6</v>
      </c>
      <c r="K86" s="341">
        <v>1.2</v>
      </c>
      <c r="L86" s="328">
        <v>0.18</v>
      </c>
      <c r="M86" s="340">
        <f>J86+K86</f>
        <v>4.8</v>
      </c>
      <c r="N86" s="337">
        <v>0.33</v>
      </c>
      <c r="O86" s="231">
        <v>0.1</v>
      </c>
      <c r="P86" s="338">
        <v>0.1</v>
      </c>
      <c r="Q86" s="325">
        <f t="shared" si="13"/>
        <v>45.5</v>
      </c>
      <c r="R86" s="222">
        <f t="shared" si="14"/>
        <v>46.800000000000004</v>
      </c>
      <c r="S86" s="230">
        <f t="shared" si="15"/>
        <v>15.6</v>
      </c>
      <c r="T86" s="339">
        <f t="shared" si="16"/>
        <v>2.34</v>
      </c>
      <c r="U86" s="340">
        <f t="shared" si="17"/>
        <v>62.4</v>
      </c>
      <c r="V86" s="337">
        <f t="shared" si="18"/>
        <v>4.29</v>
      </c>
      <c r="W86" s="231">
        <f t="shared" si="19"/>
        <v>1.3</v>
      </c>
      <c r="X86" s="338">
        <f t="shared" si="20"/>
        <v>1.3</v>
      </c>
      <c r="Y86" s="14"/>
    </row>
    <row r="87" spans="1:25" ht="12" customHeight="1">
      <c r="A87" s="233"/>
      <c r="B87" s="28"/>
      <c r="C87" s="20" t="s">
        <v>1605</v>
      </c>
      <c r="D87" s="20" t="s">
        <v>201</v>
      </c>
      <c r="E87" s="28">
        <v>17</v>
      </c>
      <c r="F87" s="28" t="s">
        <v>1609</v>
      </c>
      <c r="G87" s="119">
        <v>46.5</v>
      </c>
      <c r="H87" s="150">
        <f t="shared" si="11"/>
        <v>790.5</v>
      </c>
      <c r="I87" s="347">
        <v>3.5</v>
      </c>
      <c r="J87" s="326">
        <v>3.6</v>
      </c>
      <c r="K87" s="341">
        <v>1.2</v>
      </c>
      <c r="L87" s="328">
        <v>0.18</v>
      </c>
      <c r="M87" s="340">
        <f>J87+K87</f>
        <v>4.8</v>
      </c>
      <c r="N87" s="337">
        <v>0.33</v>
      </c>
      <c r="O87" s="231">
        <v>0.1</v>
      </c>
      <c r="P87" s="338">
        <v>0.1</v>
      </c>
      <c r="Q87" s="325">
        <f t="shared" si="13"/>
        <v>59.5</v>
      </c>
      <c r="R87" s="222">
        <f t="shared" si="14"/>
        <v>61.2</v>
      </c>
      <c r="S87" s="230">
        <f t="shared" si="15"/>
        <v>20.399999999999999</v>
      </c>
      <c r="T87" s="339">
        <f t="shared" si="16"/>
        <v>3.06</v>
      </c>
      <c r="U87" s="340">
        <f t="shared" si="17"/>
        <v>81.599999999999994</v>
      </c>
      <c r="V87" s="337">
        <f t="shared" si="18"/>
        <v>5.61</v>
      </c>
      <c r="W87" s="231">
        <f t="shared" si="19"/>
        <v>1.7000000000000002</v>
      </c>
      <c r="X87" s="338">
        <f t="shared" si="20"/>
        <v>1.7000000000000002</v>
      </c>
      <c r="Y87" s="14"/>
    </row>
    <row r="88" spans="1:25" ht="12" customHeight="1">
      <c r="A88" s="233">
        <v>40499</v>
      </c>
      <c r="B88" s="28">
        <v>775</v>
      </c>
      <c r="C88" s="20" t="s">
        <v>209</v>
      </c>
      <c r="D88" s="20" t="s">
        <v>210</v>
      </c>
      <c r="E88" s="28">
        <v>19</v>
      </c>
      <c r="F88" s="28" t="s">
        <v>1610</v>
      </c>
      <c r="G88" s="119">
        <v>69.5</v>
      </c>
      <c r="H88" s="150">
        <f t="shared" si="11"/>
        <v>1320.5</v>
      </c>
      <c r="I88" s="347">
        <v>0</v>
      </c>
      <c r="J88" s="326">
        <v>0</v>
      </c>
      <c r="K88" s="341">
        <v>0</v>
      </c>
      <c r="L88" s="328">
        <v>0</v>
      </c>
      <c r="M88" s="340">
        <f>J88+K88</f>
        <v>0</v>
      </c>
      <c r="N88" s="337">
        <v>0</v>
      </c>
      <c r="O88" s="231">
        <v>0</v>
      </c>
      <c r="P88" s="338">
        <v>0</v>
      </c>
      <c r="Q88" s="325">
        <f t="shared" si="13"/>
        <v>0</v>
      </c>
      <c r="R88" s="222">
        <f t="shared" si="14"/>
        <v>0</v>
      </c>
      <c r="S88" s="230">
        <f t="shared" si="15"/>
        <v>0</v>
      </c>
      <c r="T88" s="339">
        <f t="shared" si="16"/>
        <v>0</v>
      </c>
      <c r="U88" s="340">
        <f t="shared" si="17"/>
        <v>0</v>
      </c>
      <c r="V88" s="337">
        <f t="shared" si="18"/>
        <v>0</v>
      </c>
      <c r="W88" s="231">
        <f t="shared" si="19"/>
        <v>0</v>
      </c>
      <c r="X88" s="338">
        <f t="shared" si="20"/>
        <v>0</v>
      </c>
      <c r="Y88" s="14"/>
    </row>
    <row r="89" spans="1:25" ht="12" customHeight="1">
      <c r="A89" s="233"/>
      <c r="B89" s="28"/>
      <c r="C89" s="20" t="s">
        <v>209</v>
      </c>
      <c r="D89" s="20" t="s">
        <v>210</v>
      </c>
      <c r="E89" s="28">
        <v>6</v>
      </c>
      <c r="F89" s="28" t="s">
        <v>1611</v>
      </c>
      <c r="G89" s="119">
        <v>41.5</v>
      </c>
      <c r="H89" s="150">
        <f t="shared" si="11"/>
        <v>249</v>
      </c>
      <c r="I89" s="347">
        <v>3.5</v>
      </c>
      <c r="J89" s="326">
        <v>4.58</v>
      </c>
      <c r="K89" s="341">
        <v>1.5</v>
      </c>
      <c r="L89" s="328">
        <v>0.23</v>
      </c>
      <c r="M89" s="340">
        <f>J89+K89</f>
        <v>6.08</v>
      </c>
      <c r="N89" s="337">
        <v>0.33</v>
      </c>
      <c r="O89" s="231">
        <v>0.1</v>
      </c>
      <c r="P89" s="338">
        <v>0.1</v>
      </c>
      <c r="Q89" s="325">
        <f t="shared" si="13"/>
        <v>21</v>
      </c>
      <c r="R89" s="222">
        <f t="shared" si="14"/>
        <v>27.48</v>
      </c>
      <c r="S89" s="230">
        <f t="shared" si="15"/>
        <v>9</v>
      </c>
      <c r="T89" s="339">
        <f t="shared" si="16"/>
        <v>1.3800000000000001</v>
      </c>
      <c r="U89" s="340">
        <f t="shared" si="17"/>
        <v>36.480000000000004</v>
      </c>
      <c r="V89" s="337">
        <f t="shared" si="18"/>
        <v>1.98</v>
      </c>
      <c r="W89" s="231">
        <f t="shared" si="19"/>
        <v>0.60000000000000009</v>
      </c>
      <c r="X89" s="338">
        <f t="shared" si="20"/>
        <v>0.60000000000000009</v>
      </c>
      <c r="Y89" s="14"/>
    </row>
    <row r="90" spans="1:25" ht="12" customHeight="1">
      <c r="A90" s="233"/>
      <c r="B90" s="28"/>
      <c r="C90" s="20" t="s">
        <v>209</v>
      </c>
      <c r="D90" s="20" t="s">
        <v>210</v>
      </c>
      <c r="E90" s="28">
        <v>85</v>
      </c>
      <c r="F90" s="28" t="s">
        <v>1612</v>
      </c>
      <c r="G90" s="119">
        <v>49.5</v>
      </c>
      <c r="H90" s="150">
        <f t="shared" si="11"/>
        <v>4207.5</v>
      </c>
      <c r="I90" s="347">
        <v>5.5</v>
      </c>
      <c r="J90" s="326">
        <v>13.69</v>
      </c>
      <c r="K90" s="341">
        <v>1.8</v>
      </c>
      <c r="L90" s="328">
        <v>0.27</v>
      </c>
      <c r="M90" s="340">
        <f t="shared" si="12"/>
        <v>15.49</v>
      </c>
      <c r="N90" s="337">
        <v>0.67</v>
      </c>
      <c r="O90" s="231">
        <v>0.1</v>
      </c>
      <c r="P90" s="338">
        <v>0.1</v>
      </c>
      <c r="Q90" s="325">
        <f t="shared" si="13"/>
        <v>467.5</v>
      </c>
      <c r="R90" s="222">
        <f t="shared" si="14"/>
        <v>1163.6499999999999</v>
      </c>
      <c r="S90" s="230">
        <f t="shared" si="15"/>
        <v>153</v>
      </c>
      <c r="T90" s="339">
        <f t="shared" si="16"/>
        <v>22.950000000000003</v>
      </c>
      <c r="U90" s="340">
        <f t="shared" si="17"/>
        <v>1316.65</v>
      </c>
      <c r="V90" s="337">
        <f t="shared" si="18"/>
        <v>56.95</v>
      </c>
      <c r="W90" s="231">
        <f t="shared" si="19"/>
        <v>8.5</v>
      </c>
      <c r="X90" s="338">
        <f t="shared" si="20"/>
        <v>8.5</v>
      </c>
      <c r="Y90" s="14"/>
    </row>
    <row r="91" spans="1:25" ht="12" customHeight="1">
      <c r="A91" s="233"/>
      <c r="B91" s="28"/>
      <c r="C91" s="20" t="s">
        <v>209</v>
      </c>
      <c r="D91" s="20" t="s">
        <v>210</v>
      </c>
      <c r="E91" s="28">
        <v>85</v>
      </c>
      <c r="F91" s="28" t="s">
        <v>1613</v>
      </c>
      <c r="G91" s="119">
        <v>14.5</v>
      </c>
      <c r="H91" s="150">
        <f t="shared" si="11"/>
        <v>1232.5</v>
      </c>
      <c r="I91" s="347">
        <v>1.5</v>
      </c>
      <c r="J91" s="326">
        <v>4.2699999999999996</v>
      </c>
      <c r="K91" s="341">
        <v>1.3</v>
      </c>
      <c r="L91" s="328">
        <v>0.2</v>
      </c>
      <c r="M91" s="340">
        <f t="shared" si="12"/>
        <v>5.5699999999999994</v>
      </c>
      <c r="N91" s="337">
        <v>0.21</v>
      </c>
      <c r="O91" s="231">
        <v>0.1</v>
      </c>
      <c r="P91" s="338">
        <v>0.1</v>
      </c>
      <c r="Q91" s="325">
        <f t="shared" si="13"/>
        <v>127.5</v>
      </c>
      <c r="R91" s="222">
        <f t="shared" si="14"/>
        <v>362.95</v>
      </c>
      <c r="S91" s="230">
        <f t="shared" si="15"/>
        <v>110.5</v>
      </c>
      <c r="T91" s="339">
        <f t="shared" si="16"/>
        <v>17</v>
      </c>
      <c r="U91" s="340">
        <f t="shared" si="17"/>
        <v>473.44999999999993</v>
      </c>
      <c r="V91" s="337">
        <f t="shared" si="18"/>
        <v>17.849999999999998</v>
      </c>
      <c r="W91" s="231">
        <f t="shared" si="19"/>
        <v>8.5</v>
      </c>
      <c r="X91" s="338">
        <f t="shared" si="20"/>
        <v>8.5</v>
      </c>
      <c r="Y91" s="14"/>
    </row>
    <row r="92" spans="1:25" ht="12" customHeight="1">
      <c r="A92" s="233">
        <v>40499</v>
      </c>
      <c r="B92" s="28">
        <v>776</v>
      </c>
      <c r="C92" s="20" t="s">
        <v>1614</v>
      </c>
      <c r="D92" s="20" t="s">
        <v>735</v>
      </c>
      <c r="E92" s="28">
        <v>12</v>
      </c>
      <c r="F92" s="28" t="s">
        <v>1615</v>
      </c>
      <c r="G92" s="119">
        <v>50</v>
      </c>
      <c r="H92" s="150">
        <f t="shared" si="11"/>
        <v>600</v>
      </c>
      <c r="I92" s="347">
        <v>5.5</v>
      </c>
      <c r="J92" s="326">
        <v>16.670000000000002</v>
      </c>
      <c r="K92" s="341">
        <v>1</v>
      </c>
      <c r="L92" s="328">
        <v>0.15</v>
      </c>
      <c r="M92" s="340">
        <f t="shared" si="12"/>
        <v>17.670000000000002</v>
      </c>
      <c r="N92" s="337">
        <v>0.57999999999999996</v>
      </c>
      <c r="O92" s="231">
        <v>0.1</v>
      </c>
      <c r="P92" s="338">
        <v>0.2</v>
      </c>
      <c r="Q92" s="325">
        <f t="shared" si="13"/>
        <v>66</v>
      </c>
      <c r="R92" s="222">
        <f t="shared" si="14"/>
        <v>200.04000000000002</v>
      </c>
      <c r="S92" s="230">
        <f t="shared" si="15"/>
        <v>12</v>
      </c>
      <c r="T92" s="339">
        <f t="shared" si="16"/>
        <v>1.7999999999999998</v>
      </c>
      <c r="U92" s="340">
        <f t="shared" si="17"/>
        <v>212.04000000000002</v>
      </c>
      <c r="V92" s="337">
        <f t="shared" si="18"/>
        <v>6.9599999999999991</v>
      </c>
      <c r="W92" s="231">
        <f t="shared" si="19"/>
        <v>1.2000000000000002</v>
      </c>
      <c r="X92" s="338">
        <f t="shared" si="20"/>
        <v>2.4000000000000004</v>
      </c>
      <c r="Y92" s="14"/>
    </row>
    <row r="93" spans="1:25" ht="12" customHeight="1">
      <c r="A93" s="233"/>
      <c r="B93" s="28"/>
      <c r="C93" s="20" t="s">
        <v>1614</v>
      </c>
      <c r="D93" s="20" t="s">
        <v>735</v>
      </c>
      <c r="E93" s="28">
        <v>12</v>
      </c>
      <c r="F93" s="28" t="s">
        <v>1616</v>
      </c>
      <c r="G93" s="119">
        <v>40</v>
      </c>
      <c r="H93" s="150">
        <f t="shared" si="11"/>
        <v>480</v>
      </c>
      <c r="I93" s="347">
        <v>5</v>
      </c>
      <c r="J93" s="326">
        <v>10.220000000000001</v>
      </c>
      <c r="K93" s="341">
        <v>0</v>
      </c>
      <c r="L93" s="328">
        <v>0</v>
      </c>
      <c r="M93" s="340">
        <f t="shared" si="12"/>
        <v>10.220000000000001</v>
      </c>
      <c r="N93" s="337">
        <v>0.57999999999999996</v>
      </c>
      <c r="O93" s="231">
        <v>0.1</v>
      </c>
      <c r="P93" s="338">
        <v>0.1</v>
      </c>
      <c r="Q93" s="325">
        <f t="shared" si="13"/>
        <v>60</v>
      </c>
      <c r="R93" s="222">
        <f t="shared" si="14"/>
        <v>122.64000000000001</v>
      </c>
      <c r="S93" s="230">
        <f t="shared" si="15"/>
        <v>0</v>
      </c>
      <c r="T93" s="339">
        <f t="shared" si="16"/>
        <v>0</v>
      </c>
      <c r="U93" s="340">
        <f t="shared" si="17"/>
        <v>122.64000000000001</v>
      </c>
      <c r="V93" s="337">
        <f t="shared" si="18"/>
        <v>6.9599999999999991</v>
      </c>
      <c r="W93" s="231">
        <f t="shared" si="19"/>
        <v>1.2000000000000002</v>
      </c>
      <c r="X93" s="338">
        <f t="shared" si="20"/>
        <v>1.2000000000000002</v>
      </c>
      <c r="Y93" s="14"/>
    </row>
    <row r="94" spans="1:25" ht="12" customHeight="1">
      <c r="A94" s="233"/>
      <c r="B94" s="28"/>
      <c r="C94" s="20" t="s">
        <v>1614</v>
      </c>
      <c r="D94" s="20" t="s">
        <v>735</v>
      </c>
      <c r="E94" s="28">
        <v>12</v>
      </c>
      <c r="F94" s="28" t="s">
        <v>1617</v>
      </c>
      <c r="G94" s="119">
        <v>13.5</v>
      </c>
      <c r="H94" s="150">
        <f t="shared" si="11"/>
        <v>162</v>
      </c>
      <c r="I94" s="347">
        <v>2.5</v>
      </c>
      <c r="J94" s="326">
        <v>4.99</v>
      </c>
      <c r="K94" s="341">
        <v>0.6</v>
      </c>
      <c r="L94" s="328">
        <v>0.09</v>
      </c>
      <c r="M94" s="340">
        <f t="shared" si="12"/>
        <v>5.59</v>
      </c>
      <c r="N94" s="337">
        <v>0.21</v>
      </c>
      <c r="O94" s="231">
        <v>0.2</v>
      </c>
      <c r="P94" s="338">
        <v>0.2</v>
      </c>
      <c r="Q94" s="325">
        <f t="shared" si="13"/>
        <v>30</v>
      </c>
      <c r="R94" s="222">
        <f t="shared" si="14"/>
        <v>59.88</v>
      </c>
      <c r="S94" s="230">
        <f t="shared" si="15"/>
        <v>7.1999999999999993</v>
      </c>
      <c r="T94" s="339">
        <f t="shared" si="16"/>
        <v>1.08</v>
      </c>
      <c r="U94" s="340">
        <f t="shared" si="17"/>
        <v>67.08</v>
      </c>
      <c r="V94" s="337">
        <f t="shared" si="18"/>
        <v>2.52</v>
      </c>
      <c r="W94" s="231">
        <f t="shared" si="19"/>
        <v>2.4000000000000004</v>
      </c>
      <c r="X94" s="338">
        <f t="shared" si="20"/>
        <v>2.4000000000000004</v>
      </c>
      <c r="Y94" s="14"/>
    </row>
    <row r="95" spans="1:25" ht="12" customHeight="1">
      <c r="A95" s="237">
        <v>40499</v>
      </c>
      <c r="B95" s="198">
        <v>777</v>
      </c>
      <c r="C95" s="199" t="s">
        <v>425</v>
      </c>
      <c r="D95" s="199" t="s">
        <v>425</v>
      </c>
      <c r="E95" s="198">
        <v>1</v>
      </c>
      <c r="F95" s="198" t="s">
        <v>1618</v>
      </c>
      <c r="G95" s="241"/>
      <c r="H95" s="150">
        <f t="shared" si="11"/>
        <v>0</v>
      </c>
      <c r="I95" s="347">
        <v>0</v>
      </c>
      <c r="J95" s="326">
        <v>0</v>
      </c>
      <c r="K95" s="341">
        <v>0</v>
      </c>
      <c r="L95" s="328">
        <v>0</v>
      </c>
      <c r="M95" s="340">
        <f t="shared" si="12"/>
        <v>0</v>
      </c>
      <c r="N95" s="337">
        <v>0</v>
      </c>
      <c r="O95" s="231">
        <v>0</v>
      </c>
      <c r="P95" s="338">
        <v>0</v>
      </c>
      <c r="Q95" s="325">
        <f t="shared" si="13"/>
        <v>0</v>
      </c>
      <c r="R95" s="222">
        <f t="shared" si="14"/>
        <v>0</v>
      </c>
      <c r="S95" s="230">
        <f t="shared" si="15"/>
        <v>0</v>
      </c>
      <c r="T95" s="339">
        <f t="shared" si="16"/>
        <v>0</v>
      </c>
      <c r="U95" s="340">
        <f t="shared" si="17"/>
        <v>0</v>
      </c>
      <c r="V95" s="337">
        <f t="shared" si="18"/>
        <v>0</v>
      </c>
      <c r="W95" s="231">
        <f t="shared" si="19"/>
        <v>0</v>
      </c>
      <c r="X95" s="338">
        <f t="shared" si="20"/>
        <v>0</v>
      </c>
      <c r="Y95" s="14"/>
    </row>
    <row r="96" spans="1:25" ht="12" customHeight="1">
      <c r="A96" s="233">
        <v>40500</v>
      </c>
      <c r="B96" s="28">
        <v>778</v>
      </c>
      <c r="C96" s="20" t="s">
        <v>1478</v>
      </c>
      <c r="D96" s="20" t="s">
        <v>724</v>
      </c>
      <c r="E96" s="28">
        <f>50+10</f>
        <v>60</v>
      </c>
      <c r="F96" s="28" t="s">
        <v>1619</v>
      </c>
      <c r="G96" s="119">
        <v>42.5</v>
      </c>
      <c r="H96" s="150">
        <f t="shared" si="11"/>
        <v>2550</v>
      </c>
      <c r="I96" s="347">
        <v>3</v>
      </c>
      <c r="J96" s="326">
        <v>15.5</v>
      </c>
      <c r="K96" s="341">
        <v>4</v>
      </c>
      <c r="L96" s="328">
        <v>0.6</v>
      </c>
      <c r="M96" s="340">
        <f t="shared" si="12"/>
        <v>19.5</v>
      </c>
      <c r="N96" s="337">
        <v>0.42</v>
      </c>
      <c r="O96" s="231">
        <v>0.05</v>
      </c>
      <c r="P96" s="338">
        <v>0.2</v>
      </c>
      <c r="Q96" s="325">
        <f t="shared" si="13"/>
        <v>180</v>
      </c>
      <c r="R96" s="222">
        <f t="shared" si="14"/>
        <v>930</v>
      </c>
      <c r="S96" s="230">
        <f t="shared" si="15"/>
        <v>240</v>
      </c>
      <c r="T96" s="339">
        <f t="shared" si="16"/>
        <v>36</v>
      </c>
      <c r="U96" s="340">
        <f t="shared" si="17"/>
        <v>1170</v>
      </c>
      <c r="V96" s="337">
        <f t="shared" si="18"/>
        <v>25.2</v>
      </c>
      <c r="W96" s="231">
        <f t="shared" si="19"/>
        <v>3</v>
      </c>
      <c r="X96" s="338">
        <f t="shared" si="20"/>
        <v>12</v>
      </c>
      <c r="Y96" s="14"/>
    </row>
    <row r="97" spans="1:25" ht="12" customHeight="1">
      <c r="A97" s="233">
        <v>40501</v>
      </c>
      <c r="B97" s="28">
        <v>779</v>
      </c>
      <c r="C97" s="20" t="s">
        <v>1620</v>
      </c>
      <c r="D97" s="20" t="s">
        <v>1009</v>
      </c>
      <c r="E97" s="28">
        <v>12</v>
      </c>
      <c r="F97" s="28" t="s">
        <v>1621</v>
      </c>
      <c r="G97" s="119"/>
      <c r="H97" s="150">
        <f t="shared" si="11"/>
        <v>0</v>
      </c>
      <c r="I97" s="347">
        <v>0</v>
      </c>
      <c r="J97" s="326">
        <v>0</v>
      </c>
      <c r="K97" s="341">
        <v>0</v>
      </c>
      <c r="L97" s="328">
        <v>0</v>
      </c>
      <c r="M97" s="340">
        <f t="shared" si="12"/>
        <v>0</v>
      </c>
      <c r="N97" s="337">
        <v>0</v>
      </c>
      <c r="O97" s="231">
        <v>0</v>
      </c>
      <c r="P97" s="338">
        <v>0</v>
      </c>
      <c r="Q97" s="325">
        <f t="shared" si="13"/>
        <v>0</v>
      </c>
      <c r="R97" s="222">
        <f t="shared" si="14"/>
        <v>0</v>
      </c>
      <c r="S97" s="230">
        <f t="shared" si="15"/>
        <v>0</v>
      </c>
      <c r="T97" s="339">
        <f t="shared" si="16"/>
        <v>0</v>
      </c>
      <c r="U97" s="340">
        <f t="shared" si="17"/>
        <v>0</v>
      </c>
      <c r="V97" s="337">
        <f t="shared" si="18"/>
        <v>0</v>
      </c>
      <c r="W97" s="231">
        <f t="shared" si="19"/>
        <v>0</v>
      </c>
      <c r="X97" s="338">
        <f t="shared" si="20"/>
        <v>0</v>
      </c>
      <c r="Y97" s="14"/>
    </row>
    <row r="98" spans="1:25" ht="12" customHeight="1">
      <c r="A98" s="233">
        <v>40501</v>
      </c>
      <c r="B98" s="28">
        <v>780</v>
      </c>
      <c r="C98" s="20" t="s">
        <v>30</v>
      </c>
      <c r="D98" s="20" t="s">
        <v>42</v>
      </c>
      <c r="E98" s="28">
        <v>150</v>
      </c>
      <c r="F98" s="28" t="s">
        <v>1622</v>
      </c>
      <c r="G98" s="119">
        <v>14.5</v>
      </c>
      <c r="H98" s="150">
        <f t="shared" si="11"/>
        <v>2175</v>
      </c>
      <c r="I98" s="347">
        <v>1.5</v>
      </c>
      <c r="J98" s="326">
        <v>3.48</v>
      </c>
      <c r="K98" s="341">
        <v>1.48</v>
      </c>
      <c r="L98" s="328">
        <v>0.22</v>
      </c>
      <c r="M98" s="340">
        <f t="shared" si="12"/>
        <v>4.96</v>
      </c>
      <c r="N98" s="337">
        <v>0.21</v>
      </c>
      <c r="O98" s="231">
        <v>0.1</v>
      </c>
      <c r="P98" s="338">
        <v>0.1</v>
      </c>
      <c r="Q98" s="325">
        <f t="shared" si="13"/>
        <v>225</v>
      </c>
      <c r="R98" s="222">
        <f t="shared" si="14"/>
        <v>522</v>
      </c>
      <c r="S98" s="230">
        <f t="shared" si="15"/>
        <v>222</v>
      </c>
      <c r="T98" s="339">
        <f t="shared" si="16"/>
        <v>33</v>
      </c>
      <c r="U98" s="340">
        <f t="shared" si="17"/>
        <v>744</v>
      </c>
      <c r="V98" s="337">
        <f t="shared" si="18"/>
        <v>31.5</v>
      </c>
      <c r="W98" s="231">
        <f t="shared" si="19"/>
        <v>15</v>
      </c>
      <c r="X98" s="338">
        <f t="shared" si="20"/>
        <v>15</v>
      </c>
      <c r="Y98" s="14"/>
    </row>
    <row r="99" spans="1:25" ht="12" customHeight="1">
      <c r="A99" s="233"/>
      <c r="B99" s="28"/>
      <c r="C99" s="20" t="s">
        <v>30</v>
      </c>
      <c r="D99" s="20" t="s">
        <v>42</v>
      </c>
      <c r="E99" s="28">
        <v>150</v>
      </c>
      <c r="F99" s="28" t="s">
        <v>1623</v>
      </c>
      <c r="G99" s="119">
        <v>20.8</v>
      </c>
      <c r="H99" s="150">
        <f t="shared" si="11"/>
        <v>3120</v>
      </c>
      <c r="I99" s="347">
        <v>1</v>
      </c>
      <c r="J99" s="326">
        <v>2.69</v>
      </c>
      <c r="K99" s="341">
        <v>0</v>
      </c>
      <c r="L99" s="328">
        <v>0</v>
      </c>
      <c r="M99" s="340">
        <f t="shared" si="12"/>
        <v>2.69</v>
      </c>
      <c r="N99" s="337">
        <v>0</v>
      </c>
      <c r="O99" s="231">
        <v>0.1</v>
      </c>
      <c r="P99" s="338">
        <v>0.1</v>
      </c>
      <c r="Q99" s="325">
        <f t="shared" si="13"/>
        <v>150</v>
      </c>
      <c r="R99" s="222">
        <f t="shared" si="14"/>
        <v>403.5</v>
      </c>
      <c r="S99" s="230">
        <f t="shared" si="15"/>
        <v>0</v>
      </c>
      <c r="T99" s="339">
        <f t="shared" si="16"/>
        <v>0</v>
      </c>
      <c r="U99" s="340">
        <f t="shared" si="17"/>
        <v>403.5</v>
      </c>
      <c r="V99" s="337">
        <f t="shared" si="18"/>
        <v>0</v>
      </c>
      <c r="W99" s="231">
        <f t="shared" si="19"/>
        <v>15</v>
      </c>
      <c r="X99" s="338">
        <f t="shared" si="20"/>
        <v>15</v>
      </c>
      <c r="Y99" s="14"/>
    </row>
    <row r="100" spans="1:25" ht="13.5">
      <c r="A100" s="233"/>
      <c r="B100" s="28"/>
      <c r="C100" s="20" t="s">
        <v>30</v>
      </c>
      <c r="D100" s="20" t="s">
        <v>42</v>
      </c>
      <c r="E100" s="28">
        <v>120</v>
      </c>
      <c r="F100" s="28" t="s">
        <v>1624</v>
      </c>
      <c r="G100" s="119">
        <v>38</v>
      </c>
      <c r="H100" s="150">
        <f t="shared" si="11"/>
        <v>4560</v>
      </c>
      <c r="I100" s="347">
        <v>5</v>
      </c>
      <c r="J100" s="326">
        <v>6.09</v>
      </c>
      <c r="K100" s="341">
        <v>0</v>
      </c>
      <c r="L100" s="328">
        <v>0</v>
      </c>
      <c r="M100" s="340">
        <f>J100+K100</f>
        <v>6.09</v>
      </c>
      <c r="N100" s="337">
        <v>0.33</v>
      </c>
      <c r="O100" s="231">
        <v>0.2</v>
      </c>
      <c r="P100" s="338">
        <v>0.2</v>
      </c>
      <c r="Q100" s="325">
        <f t="shared" si="13"/>
        <v>600</v>
      </c>
      <c r="R100" s="222">
        <f t="shared" si="14"/>
        <v>730.8</v>
      </c>
      <c r="S100" s="230">
        <f t="shared" si="15"/>
        <v>0</v>
      </c>
      <c r="T100" s="339">
        <f t="shared" si="16"/>
        <v>0</v>
      </c>
      <c r="U100" s="340">
        <f t="shared" si="17"/>
        <v>730.8</v>
      </c>
      <c r="V100" s="337">
        <f t="shared" si="18"/>
        <v>39.6</v>
      </c>
      <c r="W100" s="231">
        <f t="shared" si="19"/>
        <v>24</v>
      </c>
      <c r="X100" s="338">
        <f t="shared" si="20"/>
        <v>24</v>
      </c>
      <c r="Y100" s="14"/>
    </row>
    <row r="101" spans="1:25" ht="13.5">
      <c r="A101" s="233"/>
      <c r="B101" s="28"/>
      <c r="C101" s="20" t="s">
        <v>30</v>
      </c>
      <c r="D101" s="20" t="s">
        <v>42</v>
      </c>
      <c r="E101" s="28">
        <v>75</v>
      </c>
      <c r="F101" s="28" t="s">
        <v>423</v>
      </c>
      <c r="G101" s="119">
        <v>37</v>
      </c>
      <c r="H101" s="150">
        <f t="shared" si="11"/>
        <v>2775</v>
      </c>
      <c r="I101" s="347">
        <v>3.5</v>
      </c>
      <c r="J101" s="326">
        <v>4.3</v>
      </c>
      <c r="K101" s="341">
        <v>1.55</v>
      </c>
      <c r="L101" s="328">
        <v>0.23</v>
      </c>
      <c r="M101" s="340">
        <f t="shared" si="12"/>
        <v>5.85</v>
      </c>
      <c r="N101" s="337">
        <v>0.33</v>
      </c>
      <c r="O101" s="231">
        <v>0.1</v>
      </c>
      <c r="P101" s="338">
        <v>0.2</v>
      </c>
      <c r="Q101" s="325">
        <f t="shared" si="13"/>
        <v>262.5</v>
      </c>
      <c r="R101" s="222">
        <f t="shared" si="14"/>
        <v>322.5</v>
      </c>
      <c r="S101" s="230">
        <f t="shared" si="15"/>
        <v>116.25</v>
      </c>
      <c r="T101" s="339">
        <f t="shared" si="16"/>
        <v>17.25</v>
      </c>
      <c r="U101" s="340">
        <f t="shared" si="17"/>
        <v>438.75</v>
      </c>
      <c r="V101" s="337">
        <f t="shared" si="18"/>
        <v>24.75</v>
      </c>
      <c r="W101" s="231">
        <f t="shared" si="19"/>
        <v>7.5</v>
      </c>
      <c r="X101" s="338">
        <f t="shared" si="20"/>
        <v>15</v>
      </c>
      <c r="Y101" s="14"/>
    </row>
    <row r="102" spans="1:25" ht="13.5">
      <c r="A102" s="233"/>
      <c r="B102" s="28"/>
      <c r="C102" s="20" t="s">
        <v>30</v>
      </c>
      <c r="D102" s="20" t="s">
        <v>42</v>
      </c>
      <c r="E102" s="28">
        <v>75</v>
      </c>
      <c r="F102" s="28" t="s">
        <v>1625</v>
      </c>
      <c r="G102" s="119">
        <v>33</v>
      </c>
      <c r="H102" s="150">
        <f t="shared" si="11"/>
        <v>2475</v>
      </c>
      <c r="I102" s="347">
        <v>3.5</v>
      </c>
      <c r="J102" s="326">
        <v>4.3</v>
      </c>
      <c r="K102" s="341">
        <v>1.55</v>
      </c>
      <c r="L102" s="328">
        <v>0.23</v>
      </c>
      <c r="M102" s="340">
        <f t="shared" si="12"/>
        <v>5.85</v>
      </c>
      <c r="N102" s="337">
        <v>0.33</v>
      </c>
      <c r="O102" s="231">
        <v>0.1</v>
      </c>
      <c r="P102" s="338">
        <v>0.2</v>
      </c>
      <c r="Q102" s="325">
        <f t="shared" si="13"/>
        <v>262.5</v>
      </c>
      <c r="R102" s="222">
        <f t="shared" si="14"/>
        <v>322.5</v>
      </c>
      <c r="S102" s="230">
        <f t="shared" si="15"/>
        <v>116.25</v>
      </c>
      <c r="T102" s="339">
        <f t="shared" si="16"/>
        <v>17.25</v>
      </c>
      <c r="U102" s="340">
        <f t="shared" si="17"/>
        <v>438.75</v>
      </c>
      <c r="V102" s="337">
        <f t="shared" si="18"/>
        <v>24.75</v>
      </c>
      <c r="W102" s="231">
        <f t="shared" si="19"/>
        <v>7.5</v>
      </c>
      <c r="X102" s="338">
        <f t="shared" si="20"/>
        <v>15</v>
      </c>
      <c r="Y102" s="14"/>
    </row>
    <row r="103" spans="1:25" ht="13.5">
      <c r="A103" s="233">
        <v>40501</v>
      </c>
      <c r="B103" s="28">
        <v>781</v>
      </c>
      <c r="C103" s="20" t="s">
        <v>1056</v>
      </c>
      <c r="D103" s="20" t="s">
        <v>1056</v>
      </c>
      <c r="E103" s="28">
        <v>25</v>
      </c>
      <c r="F103" s="28" t="s">
        <v>1626</v>
      </c>
      <c r="G103" s="119">
        <v>220</v>
      </c>
      <c r="H103" s="150">
        <f t="shared" si="11"/>
        <v>5500</v>
      </c>
      <c r="I103" s="348">
        <v>30</v>
      </c>
      <c r="J103" s="326">
        <v>28.48</v>
      </c>
      <c r="K103" s="341">
        <v>0</v>
      </c>
      <c r="L103" s="328">
        <v>0</v>
      </c>
      <c r="M103" s="340">
        <f t="shared" si="12"/>
        <v>28.48</v>
      </c>
      <c r="N103" s="337">
        <v>4.17</v>
      </c>
      <c r="O103" s="231">
        <v>0.1</v>
      </c>
      <c r="P103" s="338">
        <v>0.1</v>
      </c>
      <c r="Q103" s="325">
        <f t="shared" si="13"/>
        <v>750</v>
      </c>
      <c r="R103" s="222">
        <f t="shared" si="14"/>
        <v>712</v>
      </c>
      <c r="S103" s="230">
        <f t="shared" si="15"/>
        <v>0</v>
      </c>
      <c r="T103" s="339">
        <f t="shared" si="16"/>
        <v>0</v>
      </c>
      <c r="U103" s="340">
        <f t="shared" si="17"/>
        <v>712</v>
      </c>
      <c r="V103" s="337">
        <f t="shared" si="18"/>
        <v>104.25</v>
      </c>
      <c r="W103" s="231">
        <f t="shared" si="19"/>
        <v>2.5</v>
      </c>
      <c r="X103" s="338">
        <f t="shared" si="20"/>
        <v>2.5</v>
      </c>
      <c r="Y103" s="14"/>
    </row>
    <row r="104" spans="1:25" ht="13.5">
      <c r="A104" s="233">
        <v>40504</v>
      </c>
      <c r="B104" s="28">
        <v>782</v>
      </c>
      <c r="C104" s="20" t="s">
        <v>1056</v>
      </c>
      <c r="D104" s="20" t="s">
        <v>1056</v>
      </c>
      <c r="E104" s="28">
        <v>17</v>
      </c>
      <c r="F104" s="28" t="s">
        <v>1627</v>
      </c>
      <c r="G104" s="119">
        <v>45.5</v>
      </c>
      <c r="H104" s="150">
        <f t="shared" si="11"/>
        <v>773.5</v>
      </c>
      <c r="I104" s="347">
        <v>3.5</v>
      </c>
      <c r="J104" s="326">
        <v>4.2699999999999996</v>
      </c>
      <c r="K104" s="341">
        <v>0</v>
      </c>
      <c r="L104" s="328">
        <v>0</v>
      </c>
      <c r="M104" s="340">
        <f t="shared" si="12"/>
        <v>4.2699999999999996</v>
      </c>
      <c r="N104" s="337">
        <v>0.33</v>
      </c>
      <c r="O104" s="231">
        <v>0.1</v>
      </c>
      <c r="P104" s="338">
        <v>0.1</v>
      </c>
      <c r="Q104" s="325">
        <f t="shared" si="13"/>
        <v>59.5</v>
      </c>
      <c r="R104" s="222">
        <f t="shared" si="14"/>
        <v>72.589999999999989</v>
      </c>
      <c r="S104" s="230">
        <f t="shared" si="15"/>
        <v>0</v>
      </c>
      <c r="T104" s="339">
        <f t="shared" si="16"/>
        <v>0</v>
      </c>
      <c r="U104" s="340">
        <f t="shared" si="17"/>
        <v>72.589999999999989</v>
      </c>
      <c r="V104" s="337">
        <f t="shared" si="18"/>
        <v>5.61</v>
      </c>
      <c r="W104" s="231">
        <f t="shared" si="19"/>
        <v>1.7000000000000002</v>
      </c>
      <c r="X104" s="338">
        <f t="shared" si="20"/>
        <v>1.7000000000000002</v>
      </c>
      <c r="Y104" s="14"/>
    </row>
    <row r="105" spans="1:25" ht="13.5">
      <c r="A105" s="233"/>
      <c r="B105" s="28"/>
      <c r="C105" s="20" t="s">
        <v>1056</v>
      </c>
      <c r="D105" s="20" t="s">
        <v>1056</v>
      </c>
      <c r="E105" s="28">
        <v>8</v>
      </c>
      <c r="F105" s="28" t="s">
        <v>1628</v>
      </c>
      <c r="G105" s="119">
        <v>49.5</v>
      </c>
      <c r="H105" s="150">
        <f t="shared" si="11"/>
        <v>396</v>
      </c>
      <c r="I105" s="347">
        <v>3.5</v>
      </c>
      <c r="J105" s="326">
        <v>7.43</v>
      </c>
      <c r="K105" s="341">
        <v>0</v>
      </c>
      <c r="L105" s="328">
        <v>0</v>
      </c>
      <c r="M105" s="340">
        <f t="shared" si="12"/>
        <v>7.43</v>
      </c>
      <c r="N105" s="337">
        <v>0.33</v>
      </c>
      <c r="O105" s="231">
        <v>0.1</v>
      </c>
      <c r="P105" s="338">
        <v>0.1</v>
      </c>
      <c r="Q105" s="325">
        <f t="shared" si="13"/>
        <v>28</v>
      </c>
      <c r="R105" s="222">
        <f t="shared" si="14"/>
        <v>59.44</v>
      </c>
      <c r="S105" s="230">
        <f t="shared" si="15"/>
        <v>0</v>
      </c>
      <c r="T105" s="339">
        <f t="shared" si="16"/>
        <v>0</v>
      </c>
      <c r="U105" s="340">
        <f t="shared" si="17"/>
        <v>59.44</v>
      </c>
      <c r="V105" s="337">
        <f t="shared" si="18"/>
        <v>2.64</v>
      </c>
      <c r="W105" s="231">
        <f t="shared" si="19"/>
        <v>0.8</v>
      </c>
      <c r="X105" s="338">
        <f t="shared" si="20"/>
        <v>0.8</v>
      </c>
      <c r="Y105" s="14"/>
    </row>
    <row r="106" spans="1:25" ht="13.5">
      <c r="A106" s="233">
        <v>40505</v>
      </c>
      <c r="B106" s="28">
        <v>783</v>
      </c>
      <c r="C106" s="20" t="s">
        <v>23</v>
      </c>
      <c r="D106" s="20" t="s">
        <v>24</v>
      </c>
      <c r="E106" s="28">
        <v>20</v>
      </c>
      <c r="F106" s="28" t="s">
        <v>1629</v>
      </c>
      <c r="G106" s="119">
        <v>14.5</v>
      </c>
      <c r="H106" s="150">
        <f t="shared" si="11"/>
        <v>290</v>
      </c>
      <c r="I106" s="347">
        <v>1</v>
      </c>
      <c r="J106" s="326">
        <v>3.62</v>
      </c>
      <c r="K106" s="341">
        <v>1.6</v>
      </c>
      <c r="L106" s="328">
        <v>0.24</v>
      </c>
      <c r="M106" s="340">
        <f t="shared" si="12"/>
        <v>5.2200000000000006</v>
      </c>
      <c r="N106" s="337">
        <v>0.28999999999999998</v>
      </c>
      <c r="O106" s="231">
        <v>0.1</v>
      </c>
      <c r="P106" s="338">
        <v>0.1</v>
      </c>
      <c r="Q106" s="325">
        <f t="shared" si="13"/>
        <v>20</v>
      </c>
      <c r="R106" s="222">
        <f t="shared" si="14"/>
        <v>72.400000000000006</v>
      </c>
      <c r="S106" s="230">
        <f t="shared" si="15"/>
        <v>32</v>
      </c>
      <c r="T106" s="339">
        <f t="shared" si="16"/>
        <v>4.8</v>
      </c>
      <c r="U106" s="340">
        <f t="shared" si="17"/>
        <v>104.4</v>
      </c>
      <c r="V106" s="337">
        <f t="shared" si="18"/>
        <v>5.8</v>
      </c>
      <c r="W106" s="231">
        <f t="shared" si="19"/>
        <v>2</v>
      </c>
      <c r="X106" s="338">
        <f t="shared" si="20"/>
        <v>2</v>
      </c>
      <c r="Y106" s="14"/>
    </row>
    <row r="107" spans="1:25" ht="13.5">
      <c r="A107" s="233"/>
      <c r="B107" s="28"/>
      <c r="C107" s="20" t="s">
        <v>23</v>
      </c>
      <c r="D107" s="20" t="s">
        <v>24</v>
      </c>
      <c r="E107" s="28">
        <v>20</v>
      </c>
      <c r="F107" s="28" t="s">
        <v>1630</v>
      </c>
      <c r="G107" s="119">
        <v>20</v>
      </c>
      <c r="H107" s="150">
        <f t="shared" si="11"/>
        <v>400</v>
      </c>
      <c r="I107" s="347">
        <v>1.5</v>
      </c>
      <c r="J107" s="326">
        <v>2.97</v>
      </c>
      <c r="K107" s="341">
        <v>0</v>
      </c>
      <c r="L107" s="328">
        <v>0</v>
      </c>
      <c r="M107" s="340">
        <f t="shared" si="12"/>
        <v>2.97</v>
      </c>
      <c r="N107" s="337">
        <v>0.21</v>
      </c>
      <c r="O107" s="231">
        <v>0.1</v>
      </c>
      <c r="P107" s="338">
        <v>0.1</v>
      </c>
      <c r="Q107" s="325">
        <f t="shared" si="13"/>
        <v>30</v>
      </c>
      <c r="R107" s="222">
        <f t="shared" si="14"/>
        <v>59.400000000000006</v>
      </c>
      <c r="S107" s="230">
        <f t="shared" si="15"/>
        <v>0</v>
      </c>
      <c r="T107" s="339">
        <f t="shared" si="16"/>
        <v>0</v>
      </c>
      <c r="U107" s="340">
        <f t="shared" si="17"/>
        <v>59.400000000000006</v>
      </c>
      <c r="V107" s="337">
        <f t="shared" si="18"/>
        <v>4.2</v>
      </c>
      <c r="W107" s="231">
        <f t="shared" si="19"/>
        <v>2</v>
      </c>
      <c r="X107" s="338">
        <f t="shared" si="20"/>
        <v>2</v>
      </c>
      <c r="Y107" s="14"/>
    </row>
    <row r="108" spans="1:25" ht="13.5">
      <c r="A108" s="233"/>
      <c r="B108" s="28"/>
      <c r="C108" s="20" t="s">
        <v>23</v>
      </c>
      <c r="D108" s="20" t="s">
        <v>24</v>
      </c>
      <c r="E108" s="28">
        <v>486</v>
      </c>
      <c r="F108" s="28" t="s">
        <v>1631</v>
      </c>
      <c r="G108" s="119">
        <v>15</v>
      </c>
      <c r="H108" s="150">
        <f t="shared" si="11"/>
        <v>7290</v>
      </c>
      <c r="I108" s="347">
        <v>1.5</v>
      </c>
      <c r="J108" s="326">
        <v>2.97</v>
      </c>
      <c r="K108" s="341">
        <v>0</v>
      </c>
      <c r="L108" s="328">
        <v>0</v>
      </c>
      <c r="M108" s="340">
        <f t="shared" si="12"/>
        <v>2.97</v>
      </c>
      <c r="N108" s="337">
        <v>0.21</v>
      </c>
      <c r="O108" s="231">
        <v>0.1</v>
      </c>
      <c r="P108" s="338">
        <v>0.1</v>
      </c>
      <c r="Q108" s="325">
        <f t="shared" si="13"/>
        <v>729</v>
      </c>
      <c r="R108" s="222">
        <f t="shared" si="14"/>
        <v>1443.42</v>
      </c>
      <c r="S108" s="230">
        <f t="shared" si="15"/>
        <v>0</v>
      </c>
      <c r="T108" s="339">
        <f t="shared" si="16"/>
        <v>0</v>
      </c>
      <c r="U108" s="340">
        <f t="shared" si="17"/>
        <v>1443.42</v>
      </c>
      <c r="V108" s="337">
        <f t="shared" si="18"/>
        <v>102.06</v>
      </c>
      <c r="W108" s="231">
        <f t="shared" si="19"/>
        <v>48.6</v>
      </c>
      <c r="X108" s="338">
        <f t="shared" si="20"/>
        <v>48.6</v>
      </c>
      <c r="Y108" s="14"/>
    </row>
    <row r="109" spans="1:25" ht="13.5">
      <c r="A109" s="233">
        <v>40505</v>
      </c>
      <c r="B109" s="28">
        <v>784</v>
      </c>
      <c r="C109" s="20" t="s">
        <v>734</v>
      </c>
      <c r="D109" s="20" t="s">
        <v>735</v>
      </c>
      <c r="E109" s="28">
        <v>3</v>
      </c>
      <c r="F109" s="28" t="s">
        <v>1632</v>
      </c>
      <c r="G109" s="119">
        <v>33</v>
      </c>
      <c r="H109" s="150">
        <f t="shared" si="11"/>
        <v>99</v>
      </c>
      <c r="I109" s="347">
        <v>3.5</v>
      </c>
      <c r="J109" s="326">
        <v>7.84</v>
      </c>
      <c r="K109" s="341">
        <v>2.4</v>
      </c>
      <c r="L109" s="328">
        <v>0.36</v>
      </c>
      <c r="M109" s="340">
        <f t="shared" si="12"/>
        <v>10.24</v>
      </c>
      <c r="N109" s="337">
        <v>0.33</v>
      </c>
      <c r="O109" s="231">
        <v>0.1</v>
      </c>
      <c r="P109" s="338">
        <v>0.1</v>
      </c>
      <c r="Q109" s="325">
        <f t="shared" si="13"/>
        <v>10.5</v>
      </c>
      <c r="R109" s="222">
        <f t="shared" si="14"/>
        <v>23.52</v>
      </c>
      <c r="S109" s="230">
        <f t="shared" si="15"/>
        <v>7.1999999999999993</v>
      </c>
      <c r="T109" s="339">
        <f t="shared" si="16"/>
        <v>1.08</v>
      </c>
      <c r="U109" s="340">
        <f t="shared" si="17"/>
        <v>30.72</v>
      </c>
      <c r="V109" s="337">
        <f t="shared" si="18"/>
        <v>0.99</v>
      </c>
      <c r="W109" s="231">
        <f t="shared" si="19"/>
        <v>0.30000000000000004</v>
      </c>
      <c r="X109" s="338">
        <f t="shared" si="20"/>
        <v>0.30000000000000004</v>
      </c>
      <c r="Y109" s="14"/>
    </row>
    <row r="110" spans="1:25" ht="13.5">
      <c r="A110" s="233"/>
      <c r="B110" s="28"/>
      <c r="C110" s="20" t="s">
        <v>734</v>
      </c>
      <c r="D110" s="20" t="s">
        <v>735</v>
      </c>
      <c r="E110" s="28">
        <v>7</v>
      </c>
      <c r="F110" s="28" t="s">
        <v>1633</v>
      </c>
      <c r="G110" s="119">
        <v>33</v>
      </c>
      <c r="H110" s="150">
        <f t="shared" si="11"/>
        <v>231</v>
      </c>
      <c r="I110" s="347">
        <v>3.5</v>
      </c>
      <c r="J110" s="326">
        <v>7.84</v>
      </c>
      <c r="K110" s="341">
        <v>2.4</v>
      </c>
      <c r="L110" s="328">
        <v>0.36</v>
      </c>
      <c r="M110" s="340">
        <f t="shared" si="12"/>
        <v>10.24</v>
      </c>
      <c r="N110" s="337">
        <v>0.33</v>
      </c>
      <c r="O110" s="231">
        <v>0.1</v>
      </c>
      <c r="P110" s="338">
        <v>0.1</v>
      </c>
      <c r="Q110" s="325">
        <f t="shared" si="13"/>
        <v>24.5</v>
      </c>
      <c r="R110" s="222">
        <f t="shared" si="14"/>
        <v>54.879999999999995</v>
      </c>
      <c r="S110" s="230">
        <f t="shared" si="15"/>
        <v>16.8</v>
      </c>
      <c r="T110" s="339">
        <f t="shared" si="16"/>
        <v>2.52</v>
      </c>
      <c r="U110" s="340">
        <f t="shared" si="17"/>
        <v>71.680000000000007</v>
      </c>
      <c r="V110" s="337">
        <f t="shared" si="18"/>
        <v>2.31</v>
      </c>
      <c r="W110" s="231">
        <f t="shared" si="19"/>
        <v>0.70000000000000007</v>
      </c>
      <c r="X110" s="338">
        <f t="shared" si="20"/>
        <v>0.70000000000000007</v>
      </c>
      <c r="Y110" s="14"/>
    </row>
    <row r="111" spans="1:25" ht="13.5">
      <c r="A111" s="237" t="s">
        <v>1046</v>
      </c>
      <c r="B111" s="198">
        <v>785</v>
      </c>
      <c r="C111" s="199" t="s">
        <v>678</v>
      </c>
      <c r="D111" s="199" t="s">
        <v>679</v>
      </c>
      <c r="E111" s="198">
        <v>39</v>
      </c>
      <c r="F111" s="198" t="s">
        <v>1634</v>
      </c>
      <c r="G111" s="241">
        <v>49.5</v>
      </c>
      <c r="H111" s="150">
        <f t="shared" si="11"/>
        <v>1930.5</v>
      </c>
      <c r="I111" s="347">
        <v>5</v>
      </c>
      <c r="J111" s="326">
        <v>6.65</v>
      </c>
      <c r="K111" s="341">
        <v>0</v>
      </c>
      <c r="L111" s="328">
        <v>0</v>
      </c>
      <c r="M111" s="340">
        <f t="shared" si="12"/>
        <v>6.65</v>
      </c>
      <c r="N111" s="337">
        <v>0.57999999999999996</v>
      </c>
      <c r="O111" s="231">
        <v>0.1</v>
      </c>
      <c r="P111" s="338">
        <v>0.1</v>
      </c>
      <c r="Q111" s="325">
        <f t="shared" si="13"/>
        <v>195</v>
      </c>
      <c r="R111" s="222">
        <f t="shared" si="14"/>
        <v>259.35000000000002</v>
      </c>
      <c r="S111" s="230">
        <f t="shared" si="15"/>
        <v>0</v>
      </c>
      <c r="T111" s="339">
        <f t="shared" si="16"/>
        <v>0</v>
      </c>
      <c r="U111" s="340">
        <f t="shared" si="17"/>
        <v>259.35000000000002</v>
      </c>
      <c r="V111" s="337">
        <f t="shared" si="18"/>
        <v>22.619999999999997</v>
      </c>
      <c r="W111" s="231">
        <f t="shared" si="19"/>
        <v>3.9000000000000004</v>
      </c>
      <c r="X111" s="338">
        <f t="shared" si="20"/>
        <v>3.9000000000000004</v>
      </c>
      <c r="Y111" s="14"/>
    </row>
    <row r="112" spans="1:25" ht="13.5">
      <c r="A112" s="233">
        <v>40506</v>
      </c>
      <c r="B112" s="28">
        <v>786</v>
      </c>
      <c r="C112" s="20" t="s">
        <v>1635</v>
      </c>
      <c r="D112" s="20" t="s">
        <v>1636</v>
      </c>
      <c r="E112" s="28">
        <v>14</v>
      </c>
      <c r="F112" s="28" t="s">
        <v>1637</v>
      </c>
      <c r="G112" s="119">
        <f>98-3</f>
        <v>95</v>
      </c>
      <c r="H112" s="150">
        <f t="shared" si="11"/>
        <v>1330</v>
      </c>
      <c r="I112" s="347">
        <v>8</v>
      </c>
      <c r="J112" s="326">
        <v>19.940000000000001</v>
      </c>
      <c r="K112" s="341">
        <v>6</v>
      </c>
      <c r="L112" s="328">
        <v>0.9</v>
      </c>
      <c r="M112" s="340">
        <f t="shared" si="12"/>
        <v>25.94</v>
      </c>
      <c r="N112" s="337">
        <v>1</v>
      </c>
      <c r="O112" s="231">
        <v>0.1</v>
      </c>
      <c r="P112" s="338">
        <v>0.1</v>
      </c>
      <c r="Q112" s="325">
        <f t="shared" si="13"/>
        <v>112</v>
      </c>
      <c r="R112" s="222">
        <f t="shared" si="14"/>
        <v>279.16000000000003</v>
      </c>
      <c r="S112" s="230">
        <f t="shared" si="15"/>
        <v>84</v>
      </c>
      <c r="T112" s="339">
        <f t="shared" si="16"/>
        <v>12.6</v>
      </c>
      <c r="U112" s="340">
        <f t="shared" si="17"/>
        <v>363.16</v>
      </c>
      <c r="V112" s="337">
        <f t="shared" si="18"/>
        <v>14</v>
      </c>
      <c r="W112" s="231">
        <f t="shared" si="19"/>
        <v>1.4000000000000001</v>
      </c>
      <c r="X112" s="338">
        <f t="shared" si="20"/>
        <v>1.4000000000000001</v>
      </c>
      <c r="Y112" s="14"/>
    </row>
    <row r="113" spans="1:25" ht="13.5">
      <c r="A113" s="233"/>
      <c r="B113" s="28"/>
      <c r="C113" s="20" t="s">
        <v>1635</v>
      </c>
      <c r="D113" s="20" t="s">
        <v>1636</v>
      </c>
      <c r="E113" s="28">
        <v>20</v>
      </c>
      <c r="F113" s="28" t="s">
        <v>1638</v>
      </c>
      <c r="G113" s="119">
        <v>14.5</v>
      </c>
      <c r="H113" s="150">
        <f t="shared" si="11"/>
        <v>290</v>
      </c>
      <c r="I113" s="347">
        <v>1</v>
      </c>
      <c r="J113" s="326">
        <v>3.55</v>
      </c>
      <c r="K113" s="341">
        <v>1.4</v>
      </c>
      <c r="L113" s="328">
        <v>0.21</v>
      </c>
      <c r="M113" s="340">
        <f t="shared" si="12"/>
        <v>4.9499999999999993</v>
      </c>
      <c r="N113" s="337">
        <v>0.28999999999999998</v>
      </c>
      <c r="O113" s="231">
        <v>0.1</v>
      </c>
      <c r="P113" s="338">
        <v>0.1</v>
      </c>
      <c r="Q113" s="325">
        <f t="shared" si="13"/>
        <v>20</v>
      </c>
      <c r="R113" s="222">
        <f t="shared" si="14"/>
        <v>71</v>
      </c>
      <c r="S113" s="230">
        <f t="shared" si="15"/>
        <v>28</v>
      </c>
      <c r="T113" s="339">
        <f t="shared" si="16"/>
        <v>4.2</v>
      </c>
      <c r="U113" s="340">
        <f t="shared" si="17"/>
        <v>98.999999999999986</v>
      </c>
      <c r="V113" s="337">
        <f t="shared" si="18"/>
        <v>5.8</v>
      </c>
      <c r="W113" s="231">
        <f t="shared" si="19"/>
        <v>2</v>
      </c>
      <c r="X113" s="338">
        <f t="shared" si="20"/>
        <v>2</v>
      </c>
      <c r="Y113" s="14"/>
    </row>
    <row r="114" spans="1:25" ht="13.5">
      <c r="A114" s="233">
        <v>40506</v>
      </c>
      <c r="B114" s="28">
        <v>787</v>
      </c>
      <c r="C114" s="20" t="s">
        <v>794</v>
      </c>
      <c r="D114" s="20" t="s">
        <v>305</v>
      </c>
      <c r="E114" s="28">
        <f>90+10</f>
        <v>100</v>
      </c>
      <c r="F114" s="28" t="s">
        <v>1639</v>
      </c>
      <c r="G114" s="119">
        <v>47.5</v>
      </c>
      <c r="H114" s="150">
        <f t="shared" si="11"/>
        <v>4750</v>
      </c>
      <c r="I114" s="347">
        <v>5.5</v>
      </c>
      <c r="J114" s="326">
        <v>11.04</v>
      </c>
      <c r="K114" s="341">
        <v>0.7</v>
      </c>
      <c r="L114" s="328">
        <v>0.11</v>
      </c>
      <c r="M114" s="340">
        <f t="shared" si="12"/>
        <v>11.739999999999998</v>
      </c>
      <c r="N114" s="337">
        <v>0.63</v>
      </c>
      <c r="O114" s="231">
        <v>0.1</v>
      </c>
      <c r="P114" s="338">
        <v>0.1</v>
      </c>
      <c r="Q114" s="325">
        <f t="shared" si="13"/>
        <v>550</v>
      </c>
      <c r="R114" s="222">
        <f t="shared" si="14"/>
        <v>1104</v>
      </c>
      <c r="S114" s="230">
        <f t="shared" si="15"/>
        <v>70</v>
      </c>
      <c r="T114" s="339">
        <f t="shared" si="16"/>
        <v>11</v>
      </c>
      <c r="U114" s="340">
        <f t="shared" si="17"/>
        <v>1173.9999999999998</v>
      </c>
      <c r="V114" s="337">
        <f t="shared" si="18"/>
        <v>63</v>
      </c>
      <c r="W114" s="231">
        <f t="shared" si="19"/>
        <v>10</v>
      </c>
      <c r="X114" s="338">
        <f t="shared" si="20"/>
        <v>10</v>
      </c>
      <c r="Y114" s="14"/>
    </row>
    <row r="115" spans="1:25" ht="13.5">
      <c r="A115" s="233">
        <v>40506</v>
      </c>
      <c r="B115" s="28">
        <v>788</v>
      </c>
      <c r="C115" s="20" t="s">
        <v>27</v>
      </c>
      <c r="D115" s="20" t="s">
        <v>24</v>
      </c>
      <c r="E115" s="28">
        <v>6</v>
      </c>
      <c r="F115" s="28" t="s">
        <v>1640</v>
      </c>
      <c r="G115" s="119">
        <v>71.5</v>
      </c>
      <c r="H115" s="150">
        <f t="shared" si="11"/>
        <v>429</v>
      </c>
      <c r="I115" s="347">
        <v>3.5</v>
      </c>
      <c r="J115" s="326">
        <v>36.28</v>
      </c>
      <c r="K115" s="341">
        <v>0</v>
      </c>
      <c r="L115" s="328">
        <v>0</v>
      </c>
      <c r="M115" s="340">
        <f t="shared" si="12"/>
        <v>36.28</v>
      </c>
      <c r="N115" s="337">
        <v>0.33</v>
      </c>
      <c r="O115" s="231">
        <v>0.1</v>
      </c>
      <c r="P115" s="338">
        <v>0.1</v>
      </c>
      <c r="Q115" s="325">
        <f t="shared" si="13"/>
        <v>21</v>
      </c>
      <c r="R115" s="222">
        <f t="shared" si="14"/>
        <v>217.68</v>
      </c>
      <c r="S115" s="230">
        <f t="shared" si="15"/>
        <v>0</v>
      </c>
      <c r="T115" s="339">
        <f t="shared" si="16"/>
        <v>0</v>
      </c>
      <c r="U115" s="340">
        <f t="shared" si="17"/>
        <v>217.68</v>
      </c>
      <c r="V115" s="337">
        <f t="shared" si="18"/>
        <v>1.98</v>
      </c>
      <c r="W115" s="231">
        <f t="shared" si="19"/>
        <v>0.60000000000000009</v>
      </c>
      <c r="X115" s="338">
        <f t="shared" si="20"/>
        <v>0.60000000000000009</v>
      </c>
      <c r="Y115" s="14"/>
    </row>
    <row r="116" spans="1:25" ht="13.5">
      <c r="A116" s="233"/>
      <c r="B116" s="28"/>
      <c r="C116" s="20" t="s">
        <v>27</v>
      </c>
      <c r="D116" s="20" t="s">
        <v>24</v>
      </c>
      <c r="E116" s="28">
        <v>6</v>
      </c>
      <c r="F116" s="28" t="s">
        <v>1641</v>
      </c>
      <c r="G116" s="119">
        <v>71.5</v>
      </c>
      <c r="H116" s="150">
        <f t="shared" si="11"/>
        <v>429</v>
      </c>
      <c r="I116" s="347">
        <v>3.5</v>
      </c>
      <c r="J116" s="326">
        <v>37.380000000000003</v>
      </c>
      <c r="K116" s="341">
        <v>0</v>
      </c>
      <c r="L116" s="328">
        <v>0</v>
      </c>
      <c r="M116" s="340">
        <f t="shared" si="12"/>
        <v>37.380000000000003</v>
      </c>
      <c r="N116" s="337">
        <v>0.33</v>
      </c>
      <c r="O116" s="231">
        <v>0.1</v>
      </c>
      <c r="P116" s="338">
        <v>0.1</v>
      </c>
      <c r="Q116" s="325">
        <f t="shared" si="13"/>
        <v>21</v>
      </c>
      <c r="R116" s="222">
        <f t="shared" si="14"/>
        <v>224.28000000000003</v>
      </c>
      <c r="S116" s="230">
        <f t="shared" si="15"/>
        <v>0</v>
      </c>
      <c r="T116" s="339">
        <f t="shared" si="16"/>
        <v>0</v>
      </c>
      <c r="U116" s="340">
        <f t="shared" si="17"/>
        <v>224.28000000000003</v>
      </c>
      <c r="V116" s="337">
        <f t="shared" si="18"/>
        <v>1.98</v>
      </c>
      <c r="W116" s="231">
        <f t="shared" si="19"/>
        <v>0.60000000000000009</v>
      </c>
      <c r="X116" s="338">
        <f t="shared" si="20"/>
        <v>0.60000000000000009</v>
      </c>
      <c r="Y116" s="14"/>
    </row>
    <row r="117" spans="1:25" ht="13.5">
      <c r="A117" s="233">
        <v>40507</v>
      </c>
      <c r="B117" s="28">
        <v>789</v>
      </c>
      <c r="C117" s="20" t="s">
        <v>678</v>
      </c>
      <c r="D117" s="20" t="s">
        <v>679</v>
      </c>
      <c r="E117" s="28">
        <v>5</v>
      </c>
      <c r="F117" s="28" t="s">
        <v>1642</v>
      </c>
      <c r="G117" s="119">
        <v>49.5</v>
      </c>
      <c r="H117" s="150">
        <f t="shared" si="11"/>
        <v>247.5</v>
      </c>
      <c r="I117" s="347">
        <v>5.5</v>
      </c>
      <c r="J117" s="326">
        <v>13.49</v>
      </c>
      <c r="K117" s="341">
        <v>1.5</v>
      </c>
      <c r="L117" s="328">
        <v>0.23</v>
      </c>
      <c r="M117" s="340">
        <f>J117+K117</f>
        <v>14.99</v>
      </c>
      <c r="N117" s="337">
        <v>0.67</v>
      </c>
      <c r="O117" s="231">
        <v>0.1</v>
      </c>
      <c r="P117" s="338">
        <v>0.1</v>
      </c>
      <c r="Q117" s="325">
        <f t="shared" si="13"/>
        <v>27.5</v>
      </c>
      <c r="R117" s="222">
        <f t="shared" si="14"/>
        <v>67.45</v>
      </c>
      <c r="S117" s="230">
        <f t="shared" si="15"/>
        <v>7.5</v>
      </c>
      <c r="T117" s="339">
        <f t="shared" si="16"/>
        <v>1.1500000000000001</v>
      </c>
      <c r="U117" s="340">
        <f t="shared" si="17"/>
        <v>74.95</v>
      </c>
      <c r="V117" s="337">
        <f t="shared" si="18"/>
        <v>3.35</v>
      </c>
      <c r="W117" s="231">
        <f t="shared" si="19"/>
        <v>0.5</v>
      </c>
      <c r="X117" s="338">
        <f t="shared" si="20"/>
        <v>0.5</v>
      </c>
      <c r="Y117" s="14"/>
    </row>
    <row r="118" spans="1:25" ht="13.5">
      <c r="A118" s="233">
        <v>40507</v>
      </c>
      <c r="B118" s="28">
        <v>790</v>
      </c>
      <c r="C118" s="20" t="s">
        <v>308</v>
      </c>
      <c r="D118" s="20" t="s">
        <v>309</v>
      </c>
      <c r="E118" s="28">
        <v>2</v>
      </c>
      <c r="F118" s="28" t="s">
        <v>1643</v>
      </c>
      <c r="G118" s="119">
        <v>75</v>
      </c>
      <c r="H118" s="150">
        <f t="shared" si="11"/>
        <v>150</v>
      </c>
      <c r="I118" s="347">
        <v>5.5</v>
      </c>
      <c r="J118" s="326">
        <v>11.4</v>
      </c>
      <c r="K118" s="341">
        <v>1.8</v>
      </c>
      <c r="L118" s="328">
        <v>0.27</v>
      </c>
      <c r="M118" s="340">
        <f t="shared" si="12"/>
        <v>13.200000000000001</v>
      </c>
      <c r="N118" s="337">
        <v>1.67</v>
      </c>
      <c r="O118" s="231">
        <v>0.1</v>
      </c>
      <c r="P118" s="338">
        <v>0.1</v>
      </c>
      <c r="Q118" s="325">
        <f t="shared" si="13"/>
        <v>11</v>
      </c>
      <c r="R118" s="222">
        <f t="shared" si="14"/>
        <v>22.8</v>
      </c>
      <c r="S118" s="230">
        <f t="shared" si="15"/>
        <v>3.6</v>
      </c>
      <c r="T118" s="339">
        <f t="shared" si="16"/>
        <v>0.54</v>
      </c>
      <c r="U118" s="340">
        <f t="shared" si="17"/>
        <v>26.400000000000002</v>
      </c>
      <c r="V118" s="337">
        <f t="shared" si="18"/>
        <v>3.34</v>
      </c>
      <c r="W118" s="231">
        <f t="shared" si="19"/>
        <v>0.2</v>
      </c>
      <c r="X118" s="338">
        <f t="shared" si="20"/>
        <v>0.2</v>
      </c>
      <c r="Y118" s="14"/>
    </row>
    <row r="119" spans="1:25" ht="13.5">
      <c r="A119" s="233"/>
      <c r="B119" s="28"/>
      <c r="C119" s="20" t="s">
        <v>308</v>
      </c>
      <c r="D119" s="20" t="s">
        <v>309</v>
      </c>
      <c r="E119" s="28">
        <v>1</v>
      </c>
      <c r="F119" s="28" t="s">
        <v>1644</v>
      </c>
      <c r="G119" s="119">
        <v>71</v>
      </c>
      <c r="H119" s="150">
        <f t="shared" si="11"/>
        <v>71</v>
      </c>
      <c r="I119" s="347">
        <v>3.5</v>
      </c>
      <c r="J119" s="326">
        <v>13</v>
      </c>
      <c r="K119" s="341">
        <v>4.3</v>
      </c>
      <c r="L119" s="328">
        <v>0.65</v>
      </c>
      <c r="M119" s="340">
        <f t="shared" si="12"/>
        <v>17.3</v>
      </c>
      <c r="N119" s="337">
        <v>0</v>
      </c>
      <c r="O119" s="231">
        <v>0.1</v>
      </c>
      <c r="P119" s="338">
        <v>0.1</v>
      </c>
      <c r="Q119" s="325">
        <f t="shared" si="13"/>
        <v>3.5</v>
      </c>
      <c r="R119" s="222">
        <f t="shared" si="14"/>
        <v>13</v>
      </c>
      <c r="S119" s="230">
        <f t="shared" si="15"/>
        <v>4.3</v>
      </c>
      <c r="T119" s="339">
        <f t="shared" si="16"/>
        <v>0.65</v>
      </c>
      <c r="U119" s="340">
        <f t="shared" si="17"/>
        <v>17.3</v>
      </c>
      <c r="V119" s="337">
        <f t="shared" si="18"/>
        <v>0</v>
      </c>
      <c r="W119" s="231">
        <f t="shared" si="19"/>
        <v>0.1</v>
      </c>
      <c r="X119" s="338">
        <f t="shared" si="20"/>
        <v>0.1</v>
      </c>
      <c r="Y119" s="14"/>
    </row>
    <row r="120" spans="1:25" ht="13.5">
      <c r="A120" s="233"/>
      <c r="B120" s="28"/>
      <c r="C120" s="20" t="s">
        <v>308</v>
      </c>
      <c r="D120" s="20" t="s">
        <v>309</v>
      </c>
      <c r="E120" s="28">
        <v>1</v>
      </c>
      <c r="F120" s="28" t="s">
        <v>1645</v>
      </c>
      <c r="G120" s="119">
        <v>58.5</v>
      </c>
      <c r="H120" s="150">
        <f t="shared" si="11"/>
        <v>58.5</v>
      </c>
      <c r="I120" s="347">
        <v>0</v>
      </c>
      <c r="J120" s="326">
        <v>0</v>
      </c>
      <c r="K120" s="341">
        <v>0</v>
      </c>
      <c r="L120" s="328">
        <v>0</v>
      </c>
      <c r="M120" s="340">
        <f t="shared" si="12"/>
        <v>0</v>
      </c>
      <c r="N120" s="337">
        <v>0</v>
      </c>
      <c r="O120" s="231">
        <v>0</v>
      </c>
      <c r="P120" s="338">
        <v>0</v>
      </c>
      <c r="Q120" s="325">
        <f t="shared" si="13"/>
        <v>0</v>
      </c>
      <c r="R120" s="222">
        <f t="shared" si="14"/>
        <v>0</v>
      </c>
      <c r="S120" s="230">
        <f t="shared" si="15"/>
        <v>0</v>
      </c>
      <c r="T120" s="339">
        <f t="shared" si="16"/>
        <v>0</v>
      </c>
      <c r="U120" s="340">
        <f t="shared" si="17"/>
        <v>0</v>
      </c>
      <c r="V120" s="337">
        <f t="shared" si="18"/>
        <v>0</v>
      </c>
      <c r="W120" s="231">
        <f t="shared" si="19"/>
        <v>0</v>
      </c>
      <c r="X120" s="338">
        <f t="shared" si="20"/>
        <v>0</v>
      </c>
      <c r="Y120" s="14"/>
    </row>
    <row r="121" spans="1:25" ht="13.5">
      <c r="A121" s="233">
        <v>40507</v>
      </c>
      <c r="B121" s="28">
        <v>791</v>
      </c>
      <c r="C121" s="20" t="s">
        <v>23</v>
      </c>
      <c r="D121" s="20" t="s">
        <v>23</v>
      </c>
      <c r="E121" s="28">
        <v>4</v>
      </c>
      <c r="F121" s="28" t="s">
        <v>1646</v>
      </c>
      <c r="G121" s="119">
        <v>79.5</v>
      </c>
      <c r="H121" s="150">
        <f t="shared" si="11"/>
        <v>318</v>
      </c>
      <c r="I121" s="347">
        <v>5</v>
      </c>
      <c r="J121" s="326">
        <v>14.45</v>
      </c>
      <c r="K121" s="341">
        <v>0</v>
      </c>
      <c r="L121" s="328">
        <v>0</v>
      </c>
      <c r="M121" s="340">
        <f t="shared" si="12"/>
        <v>14.45</v>
      </c>
      <c r="N121" s="337">
        <v>1.25</v>
      </c>
      <c r="O121" s="231">
        <v>0.2</v>
      </c>
      <c r="P121" s="338">
        <v>5</v>
      </c>
      <c r="Q121" s="325">
        <f t="shared" si="13"/>
        <v>20</v>
      </c>
      <c r="R121" s="222">
        <f t="shared" si="14"/>
        <v>57.8</v>
      </c>
      <c r="S121" s="230">
        <f t="shared" si="15"/>
        <v>0</v>
      </c>
      <c r="T121" s="339">
        <f t="shared" si="16"/>
        <v>0</v>
      </c>
      <c r="U121" s="340">
        <f t="shared" si="17"/>
        <v>57.8</v>
      </c>
      <c r="V121" s="337">
        <f t="shared" si="18"/>
        <v>5</v>
      </c>
      <c r="W121" s="231">
        <f t="shared" si="19"/>
        <v>0.8</v>
      </c>
      <c r="X121" s="338">
        <f t="shared" si="20"/>
        <v>20</v>
      </c>
      <c r="Y121" s="14"/>
    </row>
    <row r="122" spans="1:25" ht="13.5">
      <c r="A122" s="233">
        <v>40509</v>
      </c>
      <c r="B122" s="28">
        <v>792</v>
      </c>
      <c r="C122" s="20" t="s">
        <v>1647</v>
      </c>
      <c r="D122" s="20" t="s">
        <v>42</v>
      </c>
      <c r="E122" s="28">
        <v>200</v>
      </c>
      <c r="F122" s="28" t="s">
        <v>1648</v>
      </c>
      <c r="G122" s="119">
        <v>46.5</v>
      </c>
      <c r="H122" s="150">
        <f t="shared" si="11"/>
        <v>9300</v>
      </c>
      <c r="I122" s="347">
        <v>3.5</v>
      </c>
      <c r="J122" s="326">
        <v>3.23</v>
      </c>
      <c r="K122" s="341">
        <v>6.5</v>
      </c>
      <c r="L122" s="328">
        <v>0.98</v>
      </c>
      <c r="M122" s="340">
        <f t="shared" si="12"/>
        <v>9.73</v>
      </c>
      <c r="N122" s="337">
        <v>0.33</v>
      </c>
      <c r="O122" s="231">
        <v>0.1</v>
      </c>
      <c r="P122" s="338">
        <v>0.2</v>
      </c>
      <c r="Q122" s="325">
        <f t="shared" si="13"/>
        <v>700</v>
      </c>
      <c r="R122" s="222">
        <f t="shared" si="14"/>
        <v>646</v>
      </c>
      <c r="S122" s="230">
        <f t="shared" si="15"/>
        <v>1300</v>
      </c>
      <c r="T122" s="339">
        <f t="shared" si="16"/>
        <v>196</v>
      </c>
      <c r="U122" s="340">
        <f t="shared" si="17"/>
        <v>1946</v>
      </c>
      <c r="V122" s="337">
        <f t="shared" si="18"/>
        <v>66</v>
      </c>
      <c r="W122" s="231">
        <f t="shared" si="19"/>
        <v>20</v>
      </c>
      <c r="X122" s="338">
        <f t="shared" si="20"/>
        <v>40</v>
      </c>
      <c r="Y122" s="14"/>
    </row>
    <row r="123" spans="1:25" ht="13.5">
      <c r="A123" s="233">
        <v>40508</v>
      </c>
      <c r="B123" s="28">
        <v>793</v>
      </c>
      <c r="C123" s="20" t="s">
        <v>30</v>
      </c>
      <c r="D123" s="20" t="s">
        <v>42</v>
      </c>
      <c r="E123" s="28">
        <f>4000-95</f>
        <v>3905</v>
      </c>
      <c r="F123" s="28" t="s">
        <v>1649</v>
      </c>
      <c r="G123" s="119">
        <v>15</v>
      </c>
      <c r="H123" s="150">
        <f t="shared" si="11"/>
        <v>58575</v>
      </c>
      <c r="I123" s="347">
        <v>2</v>
      </c>
      <c r="J123" s="326">
        <v>1.75</v>
      </c>
      <c r="K123" s="341">
        <v>0</v>
      </c>
      <c r="L123" s="328">
        <v>0</v>
      </c>
      <c r="M123" s="340">
        <f t="shared" si="12"/>
        <v>1.75</v>
      </c>
      <c r="N123" s="337">
        <v>0</v>
      </c>
      <c r="O123" s="231">
        <v>0.1</v>
      </c>
      <c r="P123" s="338">
        <v>0.5</v>
      </c>
      <c r="Q123" s="325">
        <f t="shared" si="13"/>
        <v>7810</v>
      </c>
      <c r="R123" s="222">
        <f t="shared" si="14"/>
        <v>6833.75</v>
      </c>
      <c r="S123" s="230">
        <f t="shared" si="15"/>
        <v>0</v>
      </c>
      <c r="T123" s="339">
        <f t="shared" si="16"/>
        <v>0</v>
      </c>
      <c r="U123" s="340">
        <f t="shared" si="17"/>
        <v>6833.75</v>
      </c>
      <c r="V123" s="337">
        <f t="shared" si="18"/>
        <v>0</v>
      </c>
      <c r="W123" s="231">
        <f t="shared" si="19"/>
        <v>390.5</v>
      </c>
      <c r="X123" s="338">
        <f t="shared" si="20"/>
        <v>1952.5</v>
      </c>
      <c r="Y123" s="14"/>
    </row>
    <row r="124" spans="1:25" ht="13.5">
      <c r="A124" s="237">
        <v>40511</v>
      </c>
      <c r="B124" s="198">
        <v>794</v>
      </c>
      <c r="C124" s="199" t="s">
        <v>678</v>
      </c>
      <c r="D124" s="199" t="s">
        <v>679</v>
      </c>
      <c r="E124" s="198">
        <v>18</v>
      </c>
      <c r="F124" s="198" t="s">
        <v>1650</v>
      </c>
      <c r="G124" s="241">
        <v>49.5</v>
      </c>
      <c r="H124" s="150">
        <f t="shared" si="11"/>
        <v>891</v>
      </c>
      <c r="I124" s="347">
        <v>5</v>
      </c>
      <c r="J124" s="326">
        <v>3.34</v>
      </c>
      <c r="K124" s="341">
        <v>0</v>
      </c>
      <c r="L124" s="328">
        <v>0</v>
      </c>
      <c r="M124" s="340">
        <f t="shared" si="12"/>
        <v>3.34</v>
      </c>
      <c r="N124" s="337">
        <v>0.57999999999999996</v>
      </c>
      <c r="O124" s="231">
        <v>0.1</v>
      </c>
      <c r="P124" s="338">
        <v>0.2</v>
      </c>
      <c r="Q124" s="325">
        <f t="shared" si="13"/>
        <v>90</v>
      </c>
      <c r="R124" s="222">
        <f t="shared" si="14"/>
        <v>60.12</v>
      </c>
      <c r="S124" s="230">
        <f t="shared" si="15"/>
        <v>0</v>
      </c>
      <c r="T124" s="339">
        <f t="shared" si="16"/>
        <v>0</v>
      </c>
      <c r="U124" s="340">
        <f t="shared" si="17"/>
        <v>60.12</v>
      </c>
      <c r="V124" s="337">
        <f t="shared" si="18"/>
        <v>10.44</v>
      </c>
      <c r="W124" s="231">
        <f t="shared" si="19"/>
        <v>1.8</v>
      </c>
      <c r="X124" s="338">
        <f t="shared" si="20"/>
        <v>3.6</v>
      </c>
      <c r="Y124" s="14"/>
    </row>
    <row r="125" spans="1:25" ht="13.5">
      <c r="A125" s="233"/>
      <c r="B125" s="28"/>
      <c r="C125" s="20" t="s">
        <v>678</v>
      </c>
      <c r="D125" s="20" t="s">
        <v>679</v>
      </c>
      <c r="E125" s="28">
        <v>2</v>
      </c>
      <c r="F125" s="28" t="s">
        <v>1651</v>
      </c>
      <c r="G125" s="119">
        <v>49.5</v>
      </c>
      <c r="H125" s="150">
        <f t="shared" si="11"/>
        <v>99</v>
      </c>
      <c r="I125" s="347">
        <v>5</v>
      </c>
      <c r="J125" s="326">
        <v>8.85</v>
      </c>
      <c r="K125" s="341">
        <v>0</v>
      </c>
      <c r="L125" s="328">
        <v>0</v>
      </c>
      <c r="M125" s="340">
        <f t="shared" si="12"/>
        <v>8.85</v>
      </c>
      <c r="N125" s="337">
        <v>0.57999999999999996</v>
      </c>
      <c r="O125" s="231">
        <v>0.1</v>
      </c>
      <c r="P125" s="338">
        <v>0.2</v>
      </c>
      <c r="Q125" s="325">
        <f t="shared" si="13"/>
        <v>10</v>
      </c>
      <c r="R125" s="222">
        <f t="shared" si="14"/>
        <v>17.7</v>
      </c>
      <c r="S125" s="230">
        <f t="shared" si="15"/>
        <v>0</v>
      </c>
      <c r="T125" s="339">
        <f t="shared" si="16"/>
        <v>0</v>
      </c>
      <c r="U125" s="340">
        <f t="shared" si="17"/>
        <v>17.7</v>
      </c>
      <c r="V125" s="337">
        <f t="shared" si="18"/>
        <v>1.1599999999999999</v>
      </c>
      <c r="W125" s="231">
        <f t="shared" si="19"/>
        <v>0.2</v>
      </c>
      <c r="X125" s="338">
        <f t="shared" si="20"/>
        <v>0.4</v>
      </c>
      <c r="Y125" s="14"/>
    </row>
    <row r="126" spans="1:25" ht="13.5">
      <c r="A126" s="237"/>
      <c r="B126" s="198"/>
      <c r="C126" s="199" t="s">
        <v>678</v>
      </c>
      <c r="D126" s="199" t="s">
        <v>679</v>
      </c>
      <c r="E126" s="198">
        <v>2</v>
      </c>
      <c r="F126" s="198" t="s">
        <v>1652</v>
      </c>
      <c r="G126" s="241">
        <v>49.5</v>
      </c>
      <c r="H126" s="150">
        <f t="shared" si="11"/>
        <v>99</v>
      </c>
      <c r="I126" s="347">
        <v>5</v>
      </c>
      <c r="J126" s="326">
        <v>3.34</v>
      </c>
      <c r="K126" s="341">
        <v>0</v>
      </c>
      <c r="L126" s="328">
        <v>0</v>
      </c>
      <c r="M126" s="340">
        <f t="shared" si="12"/>
        <v>3.34</v>
      </c>
      <c r="N126" s="337">
        <v>0.57999999999999996</v>
      </c>
      <c r="O126" s="231">
        <v>0.1</v>
      </c>
      <c r="P126" s="338">
        <v>0.2</v>
      </c>
      <c r="Q126" s="325">
        <f t="shared" si="13"/>
        <v>10</v>
      </c>
      <c r="R126" s="222">
        <f t="shared" si="14"/>
        <v>6.68</v>
      </c>
      <c r="S126" s="230">
        <f t="shared" si="15"/>
        <v>0</v>
      </c>
      <c r="T126" s="339">
        <f t="shared" si="16"/>
        <v>0</v>
      </c>
      <c r="U126" s="340">
        <f t="shared" si="17"/>
        <v>6.68</v>
      </c>
      <c r="V126" s="337">
        <f t="shared" si="18"/>
        <v>1.1599999999999999</v>
      </c>
      <c r="W126" s="231">
        <f t="shared" si="19"/>
        <v>0.2</v>
      </c>
      <c r="X126" s="338">
        <f t="shared" si="20"/>
        <v>0.4</v>
      </c>
      <c r="Y126" s="14"/>
    </row>
    <row r="127" spans="1:25" ht="13.5">
      <c r="A127" s="233"/>
      <c r="B127" s="28"/>
      <c r="C127" s="20" t="s">
        <v>678</v>
      </c>
      <c r="D127" s="20" t="s">
        <v>679</v>
      </c>
      <c r="E127" s="28">
        <v>2</v>
      </c>
      <c r="F127" s="28" t="s">
        <v>1653</v>
      </c>
      <c r="G127" s="119">
        <v>49.5</v>
      </c>
      <c r="H127" s="150">
        <f t="shared" si="11"/>
        <v>99</v>
      </c>
      <c r="I127" s="347">
        <v>5</v>
      </c>
      <c r="J127" s="326">
        <v>3.34</v>
      </c>
      <c r="K127" s="341">
        <v>0</v>
      </c>
      <c r="L127" s="328">
        <v>0</v>
      </c>
      <c r="M127" s="340">
        <f t="shared" si="12"/>
        <v>3.34</v>
      </c>
      <c r="N127" s="337">
        <v>0.57999999999999996</v>
      </c>
      <c r="O127" s="231">
        <v>0.1</v>
      </c>
      <c r="P127" s="338">
        <v>0.2</v>
      </c>
      <c r="Q127" s="325">
        <f t="shared" si="13"/>
        <v>10</v>
      </c>
      <c r="R127" s="222">
        <f t="shared" si="14"/>
        <v>6.68</v>
      </c>
      <c r="S127" s="230">
        <f t="shared" si="15"/>
        <v>0</v>
      </c>
      <c r="T127" s="339">
        <f t="shared" si="16"/>
        <v>0</v>
      </c>
      <c r="U127" s="340">
        <f t="shared" si="17"/>
        <v>6.68</v>
      </c>
      <c r="V127" s="337">
        <f t="shared" si="18"/>
        <v>1.1599999999999999</v>
      </c>
      <c r="W127" s="231">
        <f t="shared" si="19"/>
        <v>0.2</v>
      </c>
      <c r="X127" s="338">
        <f t="shared" si="20"/>
        <v>0.4</v>
      </c>
      <c r="Y127" s="14"/>
    </row>
    <row r="128" spans="1:25" ht="13.5">
      <c r="A128" s="237"/>
      <c r="B128" s="198"/>
      <c r="C128" s="199" t="s">
        <v>678</v>
      </c>
      <c r="D128" s="199" t="s">
        <v>679</v>
      </c>
      <c r="E128" s="198">
        <v>1</v>
      </c>
      <c r="F128" s="198" t="s">
        <v>1654</v>
      </c>
      <c r="G128" s="241">
        <v>44.5</v>
      </c>
      <c r="H128" s="150">
        <f t="shared" si="11"/>
        <v>44.5</v>
      </c>
      <c r="I128" s="347">
        <v>5.5</v>
      </c>
      <c r="J128" s="326">
        <v>8.36</v>
      </c>
      <c r="K128" s="341">
        <v>1.5</v>
      </c>
      <c r="L128" s="328">
        <v>0.23</v>
      </c>
      <c r="M128" s="340">
        <f t="shared" si="12"/>
        <v>9.86</v>
      </c>
      <c r="N128" s="337">
        <v>0.57999999999999996</v>
      </c>
      <c r="O128" s="231">
        <v>0.1</v>
      </c>
      <c r="P128" s="338">
        <v>0.2</v>
      </c>
      <c r="Q128" s="325">
        <f t="shared" si="13"/>
        <v>5.5</v>
      </c>
      <c r="R128" s="222">
        <f t="shared" si="14"/>
        <v>8.36</v>
      </c>
      <c r="S128" s="230">
        <f t="shared" si="15"/>
        <v>1.5</v>
      </c>
      <c r="T128" s="339">
        <f t="shared" si="16"/>
        <v>0.23</v>
      </c>
      <c r="U128" s="340">
        <f t="shared" si="17"/>
        <v>9.86</v>
      </c>
      <c r="V128" s="337">
        <f t="shared" si="18"/>
        <v>0.57999999999999996</v>
      </c>
      <c r="W128" s="231">
        <f t="shared" si="19"/>
        <v>0.1</v>
      </c>
      <c r="X128" s="338">
        <f t="shared" si="20"/>
        <v>0.2</v>
      </c>
      <c r="Y128" s="14"/>
    </row>
    <row r="129" spans="1:25" ht="13.5">
      <c r="A129" s="237"/>
      <c r="B129" s="198"/>
      <c r="C129" s="199" t="s">
        <v>678</v>
      </c>
      <c r="D129" s="199" t="s">
        <v>679</v>
      </c>
      <c r="E129" s="198">
        <v>2</v>
      </c>
      <c r="F129" s="198" t="s">
        <v>1655</v>
      </c>
      <c r="G129" s="241">
        <v>45</v>
      </c>
      <c r="H129" s="150">
        <f t="shared" si="11"/>
        <v>90</v>
      </c>
      <c r="I129" s="347">
        <v>5</v>
      </c>
      <c r="J129" s="326">
        <v>10.56</v>
      </c>
      <c r="K129" s="341">
        <v>1.5</v>
      </c>
      <c r="L129" s="328">
        <v>0.23</v>
      </c>
      <c r="M129" s="340">
        <f t="shared" si="12"/>
        <v>12.06</v>
      </c>
      <c r="N129" s="337">
        <v>0.57999999999999996</v>
      </c>
      <c r="O129" s="231">
        <v>0.1</v>
      </c>
      <c r="P129" s="338">
        <v>0.2</v>
      </c>
      <c r="Q129" s="325">
        <f t="shared" si="13"/>
        <v>10</v>
      </c>
      <c r="R129" s="222">
        <f t="shared" si="14"/>
        <v>21.12</v>
      </c>
      <c r="S129" s="230">
        <f t="shared" si="15"/>
        <v>3</v>
      </c>
      <c r="T129" s="339">
        <f t="shared" si="16"/>
        <v>0.46</v>
      </c>
      <c r="U129" s="340">
        <f t="shared" si="17"/>
        <v>24.12</v>
      </c>
      <c r="V129" s="337">
        <f t="shared" si="18"/>
        <v>1.1599999999999999</v>
      </c>
      <c r="W129" s="231">
        <f t="shared" si="19"/>
        <v>0.2</v>
      </c>
      <c r="X129" s="338">
        <f t="shared" si="20"/>
        <v>0.4</v>
      </c>
      <c r="Y129" s="14"/>
    </row>
    <row r="130" spans="1:25" ht="13.5">
      <c r="A130" s="233"/>
      <c r="B130" s="28"/>
      <c r="C130" s="20" t="s">
        <v>678</v>
      </c>
      <c r="D130" s="20" t="s">
        <v>679</v>
      </c>
      <c r="E130" s="28">
        <v>1</v>
      </c>
      <c r="F130" s="28" t="s">
        <v>1656</v>
      </c>
      <c r="G130" s="119">
        <v>45</v>
      </c>
      <c r="H130" s="150">
        <f t="shared" si="11"/>
        <v>45</v>
      </c>
      <c r="I130" s="347">
        <v>5</v>
      </c>
      <c r="J130" s="326">
        <v>10.56</v>
      </c>
      <c r="K130" s="341">
        <v>1.5</v>
      </c>
      <c r="L130" s="328">
        <v>0.23</v>
      </c>
      <c r="M130" s="340">
        <f t="shared" si="12"/>
        <v>12.06</v>
      </c>
      <c r="N130" s="337">
        <v>0.57999999999999996</v>
      </c>
      <c r="O130" s="231">
        <v>0.1</v>
      </c>
      <c r="P130" s="338">
        <v>0.2</v>
      </c>
      <c r="Q130" s="325">
        <f t="shared" si="13"/>
        <v>5</v>
      </c>
      <c r="R130" s="222">
        <f t="shared" si="14"/>
        <v>10.56</v>
      </c>
      <c r="S130" s="230">
        <f t="shared" si="15"/>
        <v>1.5</v>
      </c>
      <c r="T130" s="339">
        <f t="shared" si="16"/>
        <v>0.23</v>
      </c>
      <c r="U130" s="340">
        <f t="shared" si="17"/>
        <v>12.06</v>
      </c>
      <c r="V130" s="337">
        <f t="shared" si="18"/>
        <v>0.57999999999999996</v>
      </c>
      <c r="W130" s="231">
        <f t="shared" si="19"/>
        <v>0.1</v>
      </c>
      <c r="X130" s="338">
        <f t="shared" si="20"/>
        <v>0.2</v>
      </c>
      <c r="Y130" s="14"/>
    </row>
    <row r="131" spans="1:25" ht="13.5">
      <c r="A131" s="237"/>
      <c r="B131" s="198"/>
      <c r="C131" s="199" t="s">
        <v>678</v>
      </c>
      <c r="D131" s="199" t="s">
        <v>679</v>
      </c>
      <c r="E131" s="198">
        <v>2</v>
      </c>
      <c r="F131" s="198" t="s">
        <v>1657</v>
      </c>
      <c r="G131" s="241">
        <v>45</v>
      </c>
      <c r="H131" s="150">
        <f t="shared" si="11"/>
        <v>90</v>
      </c>
      <c r="I131" s="348">
        <v>5</v>
      </c>
      <c r="J131" s="326">
        <v>10.56</v>
      </c>
      <c r="K131" s="341">
        <v>1.5</v>
      </c>
      <c r="L131" s="328">
        <v>0.23</v>
      </c>
      <c r="M131" s="340">
        <f t="shared" si="12"/>
        <v>12.06</v>
      </c>
      <c r="N131" s="337">
        <v>0.57999999999999996</v>
      </c>
      <c r="O131" s="231">
        <v>0.1</v>
      </c>
      <c r="P131" s="338">
        <v>0.2</v>
      </c>
      <c r="Q131" s="325">
        <f t="shared" si="13"/>
        <v>10</v>
      </c>
      <c r="R131" s="222">
        <f t="shared" si="14"/>
        <v>21.12</v>
      </c>
      <c r="S131" s="230">
        <f t="shared" si="15"/>
        <v>3</v>
      </c>
      <c r="T131" s="339">
        <f t="shared" si="16"/>
        <v>0.46</v>
      </c>
      <c r="U131" s="340">
        <f t="shared" si="17"/>
        <v>24.12</v>
      </c>
      <c r="V131" s="337">
        <f t="shared" si="18"/>
        <v>1.1599999999999999</v>
      </c>
      <c r="W131" s="231">
        <f t="shared" si="19"/>
        <v>0.2</v>
      </c>
      <c r="X131" s="338">
        <f t="shared" si="20"/>
        <v>0.4</v>
      </c>
      <c r="Y131" s="14"/>
    </row>
    <row r="132" spans="1:25" ht="13.5">
      <c r="A132" s="233"/>
      <c r="B132" s="28"/>
      <c r="C132" s="20" t="s">
        <v>678</v>
      </c>
      <c r="D132" s="20" t="s">
        <v>679</v>
      </c>
      <c r="E132" s="28">
        <v>1</v>
      </c>
      <c r="F132" s="28" t="s">
        <v>1658</v>
      </c>
      <c r="G132" s="119">
        <v>43.5</v>
      </c>
      <c r="H132" s="150">
        <f t="shared" si="11"/>
        <v>43.5</v>
      </c>
      <c r="I132" s="347">
        <v>5.5</v>
      </c>
      <c r="J132" s="326">
        <v>8.36</v>
      </c>
      <c r="K132" s="341">
        <v>1.5</v>
      </c>
      <c r="L132" s="328">
        <v>0.23</v>
      </c>
      <c r="M132" s="340">
        <f>J132+K132</f>
        <v>9.86</v>
      </c>
      <c r="N132" s="337">
        <v>0.57999999999999996</v>
      </c>
      <c r="O132" s="231">
        <v>0.1</v>
      </c>
      <c r="P132" s="338">
        <v>0.2</v>
      </c>
      <c r="Q132" s="325">
        <f t="shared" si="13"/>
        <v>5.5</v>
      </c>
      <c r="R132" s="222">
        <f t="shared" si="14"/>
        <v>8.36</v>
      </c>
      <c r="S132" s="230">
        <f t="shared" si="15"/>
        <v>1.5</v>
      </c>
      <c r="T132" s="339">
        <f t="shared" si="16"/>
        <v>0.23</v>
      </c>
      <c r="U132" s="340">
        <f t="shared" si="17"/>
        <v>9.86</v>
      </c>
      <c r="V132" s="337">
        <f t="shared" si="18"/>
        <v>0.57999999999999996</v>
      </c>
      <c r="W132" s="231">
        <f t="shared" si="19"/>
        <v>0.1</v>
      </c>
      <c r="X132" s="338">
        <f t="shared" si="20"/>
        <v>0.2</v>
      </c>
      <c r="Y132" s="14"/>
    </row>
    <row r="133" spans="1:25" ht="14.25" thickBot="1">
      <c r="A133" s="233">
        <v>40512</v>
      </c>
      <c r="B133" s="28">
        <v>795</v>
      </c>
      <c r="C133" s="20" t="s">
        <v>1659</v>
      </c>
      <c r="D133" s="20" t="s">
        <v>1660</v>
      </c>
      <c r="E133" s="28">
        <v>500</v>
      </c>
      <c r="F133" s="28" t="s">
        <v>1661</v>
      </c>
      <c r="G133" s="119">
        <v>10.5</v>
      </c>
      <c r="H133" s="150">
        <f t="shared" si="11"/>
        <v>5250</v>
      </c>
      <c r="I133" s="348">
        <v>1</v>
      </c>
      <c r="J133" s="326">
        <v>0.52</v>
      </c>
      <c r="K133" s="341">
        <v>1.2</v>
      </c>
      <c r="L133" s="328">
        <v>0.18</v>
      </c>
      <c r="M133" s="340">
        <f t="shared" si="12"/>
        <v>1.72</v>
      </c>
      <c r="N133" s="337">
        <v>0.28999999999999998</v>
      </c>
      <c r="O133" s="231">
        <v>0.1</v>
      </c>
      <c r="P133" s="338">
        <v>0.1</v>
      </c>
      <c r="Q133" s="325">
        <f t="shared" si="13"/>
        <v>500</v>
      </c>
      <c r="R133" s="222">
        <f t="shared" si="14"/>
        <v>260</v>
      </c>
      <c r="S133" s="230">
        <f t="shared" si="15"/>
        <v>600</v>
      </c>
      <c r="T133" s="339">
        <f t="shared" si="16"/>
        <v>90</v>
      </c>
      <c r="U133" s="340">
        <f t="shared" si="17"/>
        <v>860</v>
      </c>
      <c r="V133" s="337">
        <f t="shared" si="18"/>
        <v>145</v>
      </c>
      <c r="W133" s="231">
        <f t="shared" si="19"/>
        <v>50</v>
      </c>
      <c r="X133" s="338">
        <f t="shared" si="20"/>
        <v>50</v>
      </c>
      <c r="Y133" s="14"/>
    </row>
    <row r="134" spans="1:25" ht="20.25" customHeight="1" thickBot="1">
      <c r="A134" s="188"/>
      <c r="B134" s="188"/>
      <c r="C134" s="188"/>
      <c r="D134" s="188"/>
      <c r="E134" s="188"/>
      <c r="F134" s="189" t="s">
        <v>1291</v>
      </c>
      <c r="G134" s="190"/>
      <c r="H134" s="362">
        <f>SUM(H8:H133)</f>
        <v>245422.75</v>
      </c>
      <c r="I134" s="363"/>
      <c r="J134" s="78" t="s">
        <v>36</v>
      </c>
      <c r="K134" s="79"/>
      <c r="L134" s="80"/>
      <c r="M134" s="81"/>
      <c r="N134" s="73"/>
      <c r="O134" s="74"/>
      <c r="P134" s="75"/>
      <c r="Q134" s="312">
        <f t="shared" ref="Q134:X134" si="21">SUM(Q8:Q133)</f>
        <v>25279</v>
      </c>
      <c r="R134" s="98">
        <f t="shared" si="21"/>
        <v>44881.47</v>
      </c>
      <c r="S134" s="99">
        <f t="shared" si="21"/>
        <v>9879.1000000000022</v>
      </c>
      <c r="T134" s="100">
        <f t="shared" si="21"/>
        <v>1490.0199999999998</v>
      </c>
      <c r="U134" s="101">
        <f t="shared" si="21"/>
        <v>54760.570000000007</v>
      </c>
      <c r="V134" s="73">
        <f t="shared" si="21"/>
        <v>2211.599999999999</v>
      </c>
      <c r="W134" s="88">
        <f t="shared" si="21"/>
        <v>1153.3</v>
      </c>
      <c r="X134" s="89">
        <f t="shared" si="21"/>
        <v>2830.5</v>
      </c>
      <c r="Y134" s="32" t="s">
        <v>36</v>
      </c>
    </row>
    <row r="135" spans="1:25" ht="20.25" customHeight="1" thickBot="1">
      <c r="A135" s="32"/>
      <c r="B135" s="32"/>
      <c r="C135" s="32"/>
      <c r="D135" s="32"/>
      <c r="E135" s="32"/>
      <c r="F135" s="189" t="s">
        <v>1291</v>
      </c>
      <c r="G135" s="72"/>
      <c r="H135" s="364">
        <f>H134/7.06</f>
        <v>34762.429178470258</v>
      </c>
      <c r="I135" s="365"/>
      <c r="J135" s="78" t="s">
        <v>407</v>
      </c>
      <c r="K135" s="79"/>
      <c r="L135" s="80"/>
      <c r="M135" s="81"/>
      <c r="N135" s="73"/>
      <c r="O135" s="74"/>
      <c r="P135" s="77"/>
      <c r="Q135" s="313">
        <f t="shared" ref="Q135:X135" si="22">Q134/7.06</f>
        <v>3580.5949008498587</v>
      </c>
      <c r="R135" s="82">
        <f t="shared" si="22"/>
        <v>6357.1487252124653</v>
      </c>
      <c r="S135" s="79">
        <f t="shared" si="22"/>
        <v>1399.3059490084991</v>
      </c>
      <c r="T135" s="80">
        <f t="shared" si="22"/>
        <v>211.05099150141641</v>
      </c>
      <c r="U135" s="81">
        <f t="shared" si="22"/>
        <v>7756.454674220965</v>
      </c>
      <c r="V135" s="73">
        <f t="shared" si="22"/>
        <v>313.25779036827186</v>
      </c>
      <c r="W135" s="88">
        <f t="shared" si="22"/>
        <v>163.35694050991501</v>
      </c>
      <c r="X135" s="89">
        <f t="shared" si="22"/>
        <v>400.92067988668555</v>
      </c>
      <c r="Y135" s="32" t="s">
        <v>407</v>
      </c>
    </row>
  </sheetData>
  <autoFilter ref="A7:S99">
    <filterColumn colId="7"/>
    <filterColumn colId="11"/>
    <filterColumn colId="16"/>
  </autoFilter>
  <mergeCells count="3">
    <mergeCell ref="H134:I134"/>
    <mergeCell ref="H135:I135"/>
    <mergeCell ref="G3:K4"/>
  </mergeCells>
  <pageMargins left="0.19685039370078741" right="0.19685039370078741" top="0.98425196850393704" bottom="0.78740157480314965" header="0" footer="0"/>
  <pageSetup paperSize="5" scale="75" orientation="landscape" horizontalDpi="4294967294" verticalDpi="300" r:id="rId1"/>
  <headerFooter alignWithMargins="0"/>
  <drawing r:id="rId2"/>
</worksheet>
</file>

<file path=xl/worksheets/sheet12.xml><?xml version="1.0" encoding="utf-8"?>
<worksheet xmlns="http://schemas.openxmlformats.org/spreadsheetml/2006/main" xmlns:r="http://schemas.openxmlformats.org/officeDocument/2006/relationships">
  <sheetPr>
    <tabColor rgb="FF0070C0"/>
  </sheetPr>
  <dimension ref="A1:Y74"/>
  <sheetViews>
    <sheetView tabSelected="1" workbookViewId="0">
      <pane ySplit="7" topLeftCell="A60" activePane="bottomLeft" state="frozen"/>
      <selection pane="bottomLeft" activeCell="X73" sqref="X73"/>
    </sheetView>
  </sheetViews>
  <sheetFormatPr baseColWidth="10" defaultRowHeight="12.75"/>
  <cols>
    <col min="1" max="1" width="7.28515625" customWidth="1"/>
    <col min="2" max="2" width="6" customWidth="1"/>
    <col min="3" max="3" width="16.28515625" customWidth="1"/>
    <col min="4" max="4" width="12" customWidth="1"/>
    <col min="5" max="5" width="4.85546875" customWidth="1"/>
    <col min="6" max="6" width="39.5703125" customWidth="1"/>
    <col min="7" max="7" width="6.5703125" customWidth="1"/>
    <col min="8" max="8" width="8.28515625" customWidth="1"/>
    <col min="9" max="9" width="5.85546875" customWidth="1"/>
    <col min="10" max="10" width="6.42578125" customWidth="1"/>
    <col min="11" max="11" width="5.85546875" customWidth="1"/>
    <col min="12" max="12" width="5.7109375" customWidth="1"/>
    <col min="13" max="13" width="7.140625" customWidth="1"/>
    <col min="14" max="16" width="5.28515625" customWidth="1"/>
    <col min="17" max="17" width="9" customWidth="1"/>
    <col min="18" max="18" width="9.42578125" customWidth="1"/>
    <col min="19" max="19" width="8.85546875" customWidth="1"/>
    <col min="20" max="20" width="8.42578125" customWidth="1"/>
    <col min="21" max="21" width="9.5703125" customWidth="1"/>
    <col min="22" max="22" width="8" customWidth="1"/>
    <col min="23" max="23" width="7.7109375" customWidth="1"/>
    <col min="24" max="25" width="8" customWidth="1"/>
    <col min="26" max="26" width="13.140625" customWidth="1"/>
  </cols>
  <sheetData>
    <row r="1" spans="1:25" ht="13.5">
      <c r="A1" s="261" t="s">
        <v>12</v>
      </c>
      <c r="B1" s="3"/>
      <c r="C1" s="3"/>
      <c r="N1" s="5"/>
    </row>
    <row r="2" spans="1:25" ht="13.5">
      <c r="A2" s="261" t="s">
        <v>13</v>
      </c>
      <c r="B2" s="3"/>
      <c r="C2" s="3"/>
      <c r="D2" s="2"/>
      <c r="N2" s="5"/>
      <c r="P2" s="4"/>
      <c r="Q2" s="4"/>
      <c r="R2" s="4"/>
      <c r="S2" s="4"/>
    </row>
    <row r="3" spans="1:25" ht="12.75" customHeight="1">
      <c r="A3" s="261" t="s">
        <v>14</v>
      </c>
      <c r="B3" s="3"/>
      <c r="C3" s="3"/>
      <c r="D3" s="2"/>
      <c r="E3" s="260"/>
      <c r="F3" s="260"/>
      <c r="G3" s="369" t="s">
        <v>146</v>
      </c>
      <c r="H3" s="369"/>
      <c r="I3" s="369"/>
      <c r="J3" s="369"/>
      <c r="K3" s="369"/>
      <c r="L3" s="260"/>
      <c r="M3" s="260"/>
      <c r="N3" s="5"/>
      <c r="P3" s="4"/>
      <c r="Q3" s="4"/>
      <c r="R3" s="4"/>
      <c r="S3" s="4"/>
    </row>
    <row r="4" spans="1:25" ht="12.75" customHeight="1">
      <c r="A4" s="261" t="s">
        <v>34</v>
      </c>
      <c r="B4" s="3"/>
      <c r="C4" s="3"/>
      <c r="D4" s="2" t="s">
        <v>16</v>
      </c>
      <c r="E4" s="260"/>
      <c r="F4" s="260"/>
      <c r="G4" s="369"/>
      <c r="H4" s="369"/>
      <c r="I4" s="369"/>
      <c r="J4" s="369"/>
      <c r="K4" s="369"/>
      <c r="L4" s="260"/>
      <c r="M4" s="260"/>
      <c r="N4" s="5"/>
      <c r="P4" s="4"/>
      <c r="Q4" s="4"/>
      <c r="R4" s="4"/>
      <c r="S4" s="4"/>
    </row>
    <row r="5" spans="1:25" ht="12.75" customHeight="1">
      <c r="A5" s="261" t="s">
        <v>15</v>
      </c>
      <c r="B5" s="3"/>
      <c r="C5" s="3"/>
      <c r="D5" s="2"/>
      <c r="E5" s="6"/>
      <c r="F5" s="6"/>
      <c r="G5" s="6"/>
      <c r="H5" s="6"/>
      <c r="I5" s="6"/>
      <c r="N5" s="5"/>
      <c r="P5" s="4"/>
      <c r="Q5" s="4"/>
      <c r="R5" s="4"/>
      <c r="S5" s="4"/>
    </row>
    <row r="6" spans="1:25" ht="25.5" customHeight="1" thickBot="1">
      <c r="A6" s="255" t="s">
        <v>1750</v>
      </c>
      <c r="D6" s="1"/>
      <c r="N6" s="5"/>
    </row>
    <row r="7" spans="1:25" s="13" customFormat="1" ht="26.25" customHeight="1" thickBot="1">
      <c r="A7" s="9" t="s">
        <v>0</v>
      </c>
      <c r="B7" s="10" t="s">
        <v>1</v>
      </c>
      <c r="C7" s="9" t="s">
        <v>19</v>
      </c>
      <c r="D7" s="33" t="s">
        <v>18</v>
      </c>
      <c r="E7" s="12" t="s">
        <v>9</v>
      </c>
      <c r="F7" s="9" t="s">
        <v>2</v>
      </c>
      <c r="G7" s="8" t="s">
        <v>20</v>
      </c>
      <c r="H7" s="8" t="s">
        <v>405</v>
      </c>
      <c r="I7" s="305" t="s">
        <v>3</v>
      </c>
      <c r="J7" s="31" t="s">
        <v>10</v>
      </c>
      <c r="K7" s="61" t="s">
        <v>11</v>
      </c>
      <c r="L7" s="62" t="s">
        <v>29</v>
      </c>
      <c r="M7" s="16" t="s">
        <v>6</v>
      </c>
      <c r="N7" s="63" t="s">
        <v>147</v>
      </c>
      <c r="O7" s="64" t="s">
        <v>148</v>
      </c>
      <c r="P7" s="65" t="s">
        <v>149</v>
      </c>
      <c r="Q7" s="311" t="s">
        <v>8</v>
      </c>
      <c r="R7" s="31" t="s">
        <v>4</v>
      </c>
      <c r="S7" s="61" t="s">
        <v>5</v>
      </c>
      <c r="T7" s="62" t="s">
        <v>31</v>
      </c>
      <c r="U7" s="9" t="s">
        <v>7</v>
      </c>
      <c r="V7" s="63" t="s">
        <v>150</v>
      </c>
      <c r="W7" s="64" t="s">
        <v>151</v>
      </c>
      <c r="X7" s="65" t="s">
        <v>152</v>
      </c>
      <c r="Y7" s="9" t="s">
        <v>22</v>
      </c>
    </row>
    <row r="8" spans="1:25" s="7" customFormat="1" ht="12.75" customHeight="1">
      <c r="A8" s="233">
        <v>40513</v>
      </c>
      <c r="B8" s="28">
        <v>796</v>
      </c>
      <c r="C8" s="20" t="s">
        <v>330</v>
      </c>
      <c r="D8" s="20" t="s">
        <v>24</v>
      </c>
      <c r="E8" s="28">
        <v>5400</v>
      </c>
      <c r="F8" s="28" t="s">
        <v>1662</v>
      </c>
      <c r="G8" s="119">
        <v>4.5999999999999996</v>
      </c>
      <c r="H8" s="194">
        <f>E8*G8</f>
        <v>24839.999999999996</v>
      </c>
      <c r="I8" s="306">
        <v>0.65</v>
      </c>
      <c r="J8" s="155">
        <v>1.07</v>
      </c>
      <c r="K8" s="177">
        <v>0</v>
      </c>
      <c r="L8" s="157">
        <v>0</v>
      </c>
      <c r="M8" s="158">
        <f>J8+K8</f>
        <v>1.07</v>
      </c>
      <c r="N8" s="159">
        <v>0.1</v>
      </c>
      <c r="O8" s="160">
        <v>0.05</v>
      </c>
      <c r="P8" s="161">
        <v>0.05</v>
      </c>
      <c r="Q8" s="308">
        <f t="shared" ref="Q8:Q56" si="0">E8*I8</f>
        <v>3510</v>
      </c>
      <c r="R8" s="162">
        <f t="shared" ref="R8:R56" si="1">E8*J8</f>
        <v>5778</v>
      </c>
      <c r="S8" s="163">
        <f t="shared" ref="S8:S56" si="2">E8*K8</f>
        <v>0</v>
      </c>
      <c r="T8" s="164">
        <f t="shared" ref="T8:T56" si="3">E8*L8</f>
        <v>0</v>
      </c>
      <c r="U8" s="158">
        <f t="shared" ref="U8:U56" si="4">E8*M8</f>
        <v>5778</v>
      </c>
      <c r="V8" s="159">
        <f t="shared" ref="V8:V56" si="5">N8*E8</f>
        <v>540</v>
      </c>
      <c r="W8" s="160">
        <f t="shared" ref="W8:W56" si="6">O8*E8</f>
        <v>270</v>
      </c>
      <c r="X8" s="161">
        <f t="shared" ref="X8:X56" si="7">P8*E8</f>
        <v>270</v>
      </c>
      <c r="Y8" s="14"/>
    </row>
    <row r="9" spans="1:25" s="7" customFormat="1" ht="12.75" customHeight="1">
      <c r="A9" s="233">
        <v>40513</v>
      </c>
      <c r="B9" s="28">
        <v>797</v>
      </c>
      <c r="C9" s="20" t="s">
        <v>1663</v>
      </c>
      <c r="D9" s="20" t="s">
        <v>1663</v>
      </c>
      <c r="E9" s="28">
        <v>50</v>
      </c>
      <c r="F9" s="28" t="s">
        <v>1664</v>
      </c>
      <c r="G9" s="119">
        <v>135</v>
      </c>
      <c r="H9" s="150">
        <f t="shared" ref="H9:H56" si="8">E9*G9</f>
        <v>6750</v>
      </c>
      <c r="I9" s="307">
        <v>20</v>
      </c>
      <c r="J9" s="155">
        <v>31.47</v>
      </c>
      <c r="K9" s="177">
        <v>3</v>
      </c>
      <c r="L9" s="157">
        <v>0.5</v>
      </c>
      <c r="M9" s="165">
        <f>J9+K9</f>
        <v>34.47</v>
      </c>
      <c r="N9" s="166">
        <v>2.5</v>
      </c>
      <c r="O9" s="167">
        <v>0.1</v>
      </c>
      <c r="P9" s="168">
        <v>0.1</v>
      </c>
      <c r="Q9" s="309">
        <f t="shared" si="0"/>
        <v>1000</v>
      </c>
      <c r="R9" s="152">
        <f t="shared" si="1"/>
        <v>1573.5</v>
      </c>
      <c r="S9" s="154">
        <f t="shared" si="2"/>
        <v>150</v>
      </c>
      <c r="T9" s="169">
        <f t="shared" si="3"/>
        <v>25</v>
      </c>
      <c r="U9" s="165">
        <f t="shared" si="4"/>
        <v>1723.5</v>
      </c>
      <c r="V9" s="166">
        <f t="shared" si="5"/>
        <v>125</v>
      </c>
      <c r="W9" s="167">
        <f t="shared" si="6"/>
        <v>5</v>
      </c>
      <c r="X9" s="168">
        <f t="shared" si="7"/>
        <v>5</v>
      </c>
      <c r="Y9" s="14"/>
    </row>
    <row r="10" spans="1:25" s="7" customFormat="1" ht="12.75" customHeight="1">
      <c r="A10" s="233">
        <v>40513</v>
      </c>
      <c r="B10" s="28">
        <v>798</v>
      </c>
      <c r="C10" s="20" t="s">
        <v>425</v>
      </c>
      <c r="D10" s="20" t="s">
        <v>213</v>
      </c>
      <c r="E10" s="28">
        <v>14</v>
      </c>
      <c r="F10" s="28" t="s">
        <v>1665</v>
      </c>
      <c r="G10" s="119">
        <v>85</v>
      </c>
      <c r="H10" s="150">
        <f t="shared" si="8"/>
        <v>1190</v>
      </c>
      <c r="I10" s="306">
        <v>8.5</v>
      </c>
      <c r="J10" s="155">
        <v>17.149999999999999</v>
      </c>
      <c r="K10" s="177">
        <v>3.5</v>
      </c>
      <c r="L10" s="157">
        <v>0.53</v>
      </c>
      <c r="M10" s="165">
        <f t="shared" ref="M10:M56" si="9">J10+K10</f>
        <v>20.65</v>
      </c>
      <c r="N10" s="166">
        <v>1.1299999999999999</v>
      </c>
      <c r="O10" s="167">
        <v>0.2</v>
      </c>
      <c r="P10" s="168">
        <v>0.2</v>
      </c>
      <c r="Q10" s="309">
        <f t="shared" si="0"/>
        <v>119</v>
      </c>
      <c r="R10" s="152">
        <f t="shared" si="1"/>
        <v>240.09999999999997</v>
      </c>
      <c r="S10" s="154">
        <f t="shared" si="2"/>
        <v>49</v>
      </c>
      <c r="T10" s="169">
        <f t="shared" si="3"/>
        <v>7.42</v>
      </c>
      <c r="U10" s="153">
        <f t="shared" si="4"/>
        <v>289.09999999999997</v>
      </c>
      <c r="V10" s="166">
        <f t="shared" si="5"/>
        <v>15.819999999999999</v>
      </c>
      <c r="W10" s="167">
        <f t="shared" si="6"/>
        <v>2.8000000000000003</v>
      </c>
      <c r="X10" s="168">
        <f t="shared" si="7"/>
        <v>2.8000000000000003</v>
      </c>
      <c r="Y10" s="14"/>
    </row>
    <row r="11" spans="1:25" s="7" customFormat="1" ht="12.75" customHeight="1">
      <c r="A11" s="233"/>
      <c r="B11" s="28"/>
      <c r="C11" s="20" t="s">
        <v>425</v>
      </c>
      <c r="D11" s="20" t="s">
        <v>213</v>
      </c>
      <c r="E11" s="28">
        <v>14</v>
      </c>
      <c r="F11" s="28" t="s">
        <v>1666</v>
      </c>
      <c r="G11" s="119">
        <v>80</v>
      </c>
      <c r="H11" s="150">
        <f t="shared" si="8"/>
        <v>1120</v>
      </c>
      <c r="I11" s="306">
        <v>8.5</v>
      </c>
      <c r="J11" s="155">
        <v>13.55</v>
      </c>
      <c r="K11" s="177">
        <v>3.5</v>
      </c>
      <c r="L11" s="157">
        <v>0.53</v>
      </c>
      <c r="M11" s="165">
        <f t="shared" si="9"/>
        <v>17.05</v>
      </c>
      <c r="N11" s="166">
        <v>1.1299999999999999</v>
      </c>
      <c r="O11" s="167">
        <v>0.2</v>
      </c>
      <c r="P11" s="168">
        <v>0.2</v>
      </c>
      <c r="Q11" s="309">
        <f t="shared" si="0"/>
        <v>119</v>
      </c>
      <c r="R11" s="152">
        <f t="shared" si="1"/>
        <v>189.70000000000002</v>
      </c>
      <c r="S11" s="154">
        <f t="shared" si="2"/>
        <v>49</v>
      </c>
      <c r="T11" s="169">
        <f t="shared" si="3"/>
        <v>7.42</v>
      </c>
      <c r="U11" s="153">
        <f t="shared" si="4"/>
        <v>238.70000000000002</v>
      </c>
      <c r="V11" s="166">
        <f t="shared" si="5"/>
        <v>15.819999999999999</v>
      </c>
      <c r="W11" s="167">
        <f t="shared" si="6"/>
        <v>2.8000000000000003</v>
      </c>
      <c r="X11" s="168">
        <f t="shared" si="7"/>
        <v>2.8000000000000003</v>
      </c>
      <c r="Y11" s="14"/>
    </row>
    <row r="12" spans="1:25" s="7" customFormat="1" ht="12.75" customHeight="1">
      <c r="A12" s="233">
        <v>40513</v>
      </c>
      <c r="B12" s="28">
        <v>799</v>
      </c>
      <c r="C12" s="20" t="s">
        <v>1667</v>
      </c>
      <c r="D12" s="20" t="s">
        <v>305</v>
      </c>
      <c r="E12" s="28">
        <v>116</v>
      </c>
      <c r="F12" s="28" t="s">
        <v>1668</v>
      </c>
      <c r="G12" s="119">
        <v>49.5</v>
      </c>
      <c r="H12" s="150">
        <f t="shared" si="8"/>
        <v>5742</v>
      </c>
      <c r="I12" s="306">
        <v>4</v>
      </c>
      <c r="J12" s="155">
        <v>8.25</v>
      </c>
      <c r="K12" s="177">
        <v>2</v>
      </c>
      <c r="L12" s="157">
        <v>0.3</v>
      </c>
      <c r="M12" s="165">
        <f t="shared" si="9"/>
        <v>10.25</v>
      </c>
      <c r="N12" s="166">
        <v>0.67</v>
      </c>
      <c r="O12" s="167">
        <v>0.1</v>
      </c>
      <c r="P12" s="168">
        <v>0.1</v>
      </c>
      <c r="Q12" s="309">
        <f t="shared" si="0"/>
        <v>464</v>
      </c>
      <c r="R12" s="152">
        <f t="shared" si="1"/>
        <v>957</v>
      </c>
      <c r="S12" s="154">
        <f t="shared" si="2"/>
        <v>232</v>
      </c>
      <c r="T12" s="169">
        <f t="shared" si="3"/>
        <v>34.799999999999997</v>
      </c>
      <c r="U12" s="153">
        <f t="shared" si="4"/>
        <v>1189</v>
      </c>
      <c r="V12" s="166">
        <f t="shared" si="5"/>
        <v>77.72</v>
      </c>
      <c r="W12" s="167">
        <f t="shared" si="6"/>
        <v>11.600000000000001</v>
      </c>
      <c r="X12" s="168">
        <f t="shared" si="7"/>
        <v>11.600000000000001</v>
      </c>
      <c r="Y12" s="14"/>
    </row>
    <row r="13" spans="1:25" s="7" customFormat="1" ht="12.75" customHeight="1">
      <c r="A13" s="233"/>
      <c r="B13" s="28"/>
      <c r="C13" s="20" t="s">
        <v>1667</v>
      </c>
      <c r="D13" s="20" t="s">
        <v>305</v>
      </c>
      <c r="E13" s="28">
        <v>66</v>
      </c>
      <c r="F13" s="28" t="s">
        <v>1669</v>
      </c>
      <c r="G13" s="119">
        <v>40</v>
      </c>
      <c r="H13" s="150">
        <f t="shared" si="8"/>
        <v>2640</v>
      </c>
      <c r="I13" s="306">
        <v>4</v>
      </c>
      <c r="J13" s="155">
        <v>9.3000000000000007</v>
      </c>
      <c r="K13" s="177">
        <v>2</v>
      </c>
      <c r="L13" s="157">
        <v>0.3</v>
      </c>
      <c r="M13" s="165">
        <f>J13+K13</f>
        <v>11.3</v>
      </c>
      <c r="N13" s="166">
        <v>0.33</v>
      </c>
      <c r="O13" s="167">
        <v>0.1</v>
      </c>
      <c r="P13" s="168">
        <v>0.25</v>
      </c>
      <c r="Q13" s="309">
        <f t="shared" si="0"/>
        <v>264</v>
      </c>
      <c r="R13" s="152">
        <f t="shared" si="1"/>
        <v>613.80000000000007</v>
      </c>
      <c r="S13" s="154">
        <f t="shared" si="2"/>
        <v>132</v>
      </c>
      <c r="T13" s="169">
        <f t="shared" si="3"/>
        <v>19.8</v>
      </c>
      <c r="U13" s="153">
        <f t="shared" si="4"/>
        <v>745.80000000000007</v>
      </c>
      <c r="V13" s="166">
        <f t="shared" si="5"/>
        <v>21.78</v>
      </c>
      <c r="W13" s="167">
        <f t="shared" si="6"/>
        <v>6.6000000000000005</v>
      </c>
      <c r="X13" s="168">
        <f t="shared" si="7"/>
        <v>16.5</v>
      </c>
      <c r="Y13" s="14"/>
    </row>
    <row r="14" spans="1:25" s="7" customFormat="1" ht="12.75" customHeight="1">
      <c r="A14" s="233">
        <v>40519</v>
      </c>
      <c r="B14" s="28">
        <v>800</v>
      </c>
      <c r="C14" s="20" t="s">
        <v>1356</v>
      </c>
      <c r="D14" s="20" t="s">
        <v>232</v>
      </c>
      <c r="E14" s="28">
        <v>2</v>
      </c>
      <c r="F14" s="28" t="s">
        <v>1670</v>
      </c>
      <c r="G14" s="119"/>
      <c r="H14" s="150">
        <f t="shared" si="8"/>
        <v>0</v>
      </c>
      <c r="I14" s="306">
        <v>0</v>
      </c>
      <c r="J14" s="155">
        <v>0</v>
      </c>
      <c r="K14" s="156">
        <v>0</v>
      </c>
      <c r="L14" s="157">
        <v>0</v>
      </c>
      <c r="M14" s="165">
        <f>J14+K14</f>
        <v>0</v>
      </c>
      <c r="N14" s="166">
        <v>0</v>
      </c>
      <c r="O14" s="167">
        <v>0</v>
      </c>
      <c r="P14" s="168">
        <v>0</v>
      </c>
      <c r="Q14" s="309">
        <f>E14*I14</f>
        <v>0</v>
      </c>
      <c r="R14" s="152">
        <f t="shared" si="1"/>
        <v>0</v>
      </c>
      <c r="S14" s="154">
        <f t="shared" si="2"/>
        <v>0</v>
      </c>
      <c r="T14" s="169">
        <f t="shared" si="3"/>
        <v>0</v>
      </c>
      <c r="U14" s="153">
        <f t="shared" si="4"/>
        <v>0</v>
      </c>
      <c r="V14" s="166">
        <f t="shared" si="5"/>
        <v>0</v>
      </c>
      <c r="W14" s="167">
        <f t="shared" si="6"/>
        <v>0</v>
      </c>
      <c r="X14" s="168">
        <f t="shared" si="7"/>
        <v>0</v>
      </c>
      <c r="Y14" s="14"/>
    </row>
    <row r="15" spans="1:25" s="7" customFormat="1" ht="12.75" customHeight="1">
      <c r="A15" s="233"/>
      <c r="B15" s="28"/>
      <c r="C15" s="20" t="s">
        <v>1356</v>
      </c>
      <c r="D15" s="20" t="s">
        <v>232</v>
      </c>
      <c r="E15" s="28">
        <v>2</v>
      </c>
      <c r="F15" s="28" t="s">
        <v>1671</v>
      </c>
      <c r="G15" s="119"/>
      <c r="H15" s="150">
        <f t="shared" si="8"/>
        <v>0</v>
      </c>
      <c r="I15" s="306">
        <v>0</v>
      </c>
      <c r="J15" s="155">
        <v>0</v>
      </c>
      <c r="K15" s="156">
        <v>0</v>
      </c>
      <c r="L15" s="157">
        <v>0</v>
      </c>
      <c r="M15" s="165">
        <f t="shared" si="9"/>
        <v>0</v>
      </c>
      <c r="N15" s="166">
        <v>0</v>
      </c>
      <c r="O15" s="167">
        <v>0</v>
      </c>
      <c r="P15" s="168">
        <v>0</v>
      </c>
      <c r="Q15" s="309">
        <f t="shared" si="0"/>
        <v>0</v>
      </c>
      <c r="R15" s="152">
        <f t="shared" si="1"/>
        <v>0</v>
      </c>
      <c r="S15" s="154">
        <f t="shared" si="2"/>
        <v>0</v>
      </c>
      <c r="T15" s="169">
        <f t="shared" si="3"/>
        <v>0</v>
      </c>
      <c r="U15" s="153">
        <f t="shared" si="4"/>
        <v>0</v>
      </c>
      <c r="V15" s="166">
        <f t="shared" si="5"/>
        <v>0</v>
      </c>
      <c r="W15" s="167">
        <f t="shared" si="6"/>
        <v>0</v>
      </c>
      <c r="X15" s="168">
        <f t="shared" si="7"/>
        <v>0</v>
      </c>
      <c r="Y15" s="14"/>
    </row>
    <row r="16" spans="1:25" s="7" customFormat="1" ht="12.75" customHeight="1">
      <c r="A16" s="233">
        <v>40520</v>
      </c>
      <c r="B16" s="28">
        <v>801</v>
      </c>
      <c r="C16" s="20" t="s">
        <v>425</v>
      </c>
      <c r="D16" s="20" t="s">
        <v>232</v>
      </c>
      <c r="E16" s="28">
        <v>102</v>
      </c>
      <c r="F16" s="28" t="s">
        <v>1672</v>
      </c>
      <c r="G16" s="119">
        <v>59.5</v>
      </c>
      <c r="H16" s="150">
        <f t="shared" si="8"/>
        <v>6069</v>
      </c>
      <c r="I16" s="306">
        <v>6</v>
      </c>
      <c r="J16" s="155">
        <v>9.52</v>
      </c>
      <c r="K16" s="156">
        <v>1.5</v>
      </c>
      <c r="L16" s="182">
        <v>0.23</v>
      </c>
      <c r="M16" s="165">
        <f t="shared" si="9"/>
        <v>11.02</v>
      </c>
      <c r="N16" s="166">
        <v>0.67</v>
      </c>
      <c r="O16" s="167">
        <v>0.1</v>
      </c>
      <c r="P16" s="168">
        <v>0.25</v>
      </c>
      <c r="Q16" s="309">
        <f t="shared" si="0"/>
        <v>612</v>
      </c>
      <c r="R16" s="152">
        <f t="shared" si="1"/>
        <v>971.04</v>
      </c>
      <c r="S16" s="154">
        <f t="shared" si="2"/>
        <v>153</v>
      </c>
      <c r="T16" s="183">
        <f t="shared" si="3"/>
        <v>23.46</v>
      </c>
      <c r="U16" s="153">
        <f t="shared" si="4"/>
        <v>1124.04</v>
      </c>
      <c r="V16" s="166">
        <f t="shared" si="5"/>
        <v>68.34</v>
      </c>
      <c r="W16" s="167">
        <f t="shared" si="6"/>
        <v>10.200000000000001</v>
      </c>
      <c r="X16" s="168">
        <f t="shared" si="7"/>
        <v>25.5</v>
      </c>
      <c r="Y16" s="14"/>
    </row>
    <row r="17" spans="1:25" s="7" customFormat="1" ht="12.75" customHeight="1">
      <c r="A17" s="233">
        <v>40520</v>
      </c>
      <c r="B17" s="28">
        <v>802</v>
      </c>
      <c r="C17" s="20" t="s">
        <v>209</v>
      </c>
      <c r="D17" s="20" t="s">
        <v>210</v>
      </c>
      <c r="E17" s="28">
        <v>19</v>
      </c>
      <c r="F17" s="28" t="s">
        <v>1673</v>
      </c>
      <c r="G17" s="119">
        <v>58</v>
      </c>
      <c r="H17" s="150">
        <f t="shared" si="8"/>
        <v>1102</v>
      </c>
      <c r="I17" s="306">
        <v>6.5</v>
      </c>
      <c r="J17" s="155">
        <v>18.559999999999999</v>
      </c>
      <c r="K17" s="156">
        <v>5.25</v>
      </c>
      <c r="L17" s="157">
        <v>0.79</v>
      </c>
      <c r="M17" s="165">
        <f t="shared" si="9"/>
        <v>23.81</v>
      </c>
      <c r="N17" s="166">
        <v>0.75</v>
      </c>
      <c r="O17" s="167">
        <v>0.1</v>
      </c>
      <c r="P17" s="168">
        <v>0.1</v>
      </c>
      <c r="Q17" s="309">
        <f t="shared" si="0"/>
        <v>123.5</v>
      </c>
      <c r="R17" s="152">
        <f t="shared" si="1"/>
        <v>352.64</v>
      </c>
      <c r="S17" s="154">
        <f t="shared" si="2"/>
        <v>99.75</v>
      </c>
      <c r="T17" s="169">
        <f t="shared" si="3"/>
        <v>15.010000000000002</v>
      </c>
      <c r="U17" s="153">
        <f t="shared" si="4"/>
        <v>452.39</v>
      </c>
      <c r="V17" s="166">
        <f t="shared" si="5"/>
        <v>14.25</v>
      </c>
      <c r="W17" s="167">
        <f t="shared" si="6"/>
        <v>1.9000000000000001</v>
      </c>
      <c r="X17" s="168">
        <f t="shared" si="7"/>
        <v>1.9000000000000001</v>
      </c>
      <c r="Y17" s="14"/>
    </row>
    <row r="18" spans="1:25" s="7" customFormat="1" ht="12.75" customHeight="1">
      <c r="A18" s="233">
        <v>40521</v>
      </c>
      <c r="B18" s="28">
        <v>803</v>
      </c>
      <c r="C18" s="20" t="s">
        <v>425</v>
      </c>
      <c r="D18" s="20" t="s">
        <v>232</v>
      </c>
      <c r="E18" s="28">
        <v>30</v>
      </c>
      <c r="F18" s="28" t="s">
        <v>1674</v>
      </c>
      <c r="G18" s="119">
        <v>48.5</v>
      </c>
      <c r="H18" s="150">
        <f t="shared" si="8"/>
        <v>1455</v>
      </c>
      <c r="I18" s="306">
        <v>4</v>
      </c>
      <c r="J18" s="155">
        <v>8.1</v>
      </c>
      <c r="K18" s="156">
        <v>1</v>
      </c>
      <c r="L18" s="157">
        <v>0.15</v>
      </c>
      <c r="M18" s="153">
        <f t="shared" si="9"/>
        <v>9.1</v>
      </c>
      <c r="N18" s="166">
        <v>0.5</v>
      </c>
      <c r="O18" s="167">
        <v>0.1</v>
      </c>
      <c r="P18" s="168">
        <v>0.1</v>
      </c>
      <c r="Q18" s="309">
        <f t="shared" si="0"/>
        <v>120</v>
      </c>
      <c r="R18" s="152">
        <f t="shared" si="1"/>
        <v>243</v>
      </c>
      <c r="S18" s="154">
        <f t="shared" si="2"/>
        <v>30</v>
      </c>
      <c r="T18" s="169">
        <f t="shared" si="3"/>
        <v>4.5</v>
      </c>
      <c r="U18" s="153">
        <f t="shared" si="4"/>
        <v>273</v>
      </c>
      <c r="V18" s="166">
        <f t="shared" si="5"/>
        <v>15</v>
      </c>
      <c r="W18" s="167">
        <f t="shared" si="6"/>
        <v>3</v>
      </c>
      <c r="X18" s="168">
        <f t="shared" si="7"/>
        <v>3</v>
      </c>
      <c r="Y18" s="14"/>
    </row>
    <row r="19" spans="1:25" s="7" customFormat="1" ht="12.75" customHeight="1">
      <c r="A19" s="233"/>
      <c r="B19" s="28"/>
      <c r="C19" s="20" t="s">
        <v>425</v>
      </c>
      <c r="D19" s="20" t="s">
        <v>232</v>
      </c>
      <c r="E19" s="28">
        <v>30</v>
      </c>
      <c r="F19" s="28" t="s">
        <v>1675</v>
      </c>
      <c r="G19" s="119">
        <v>48.5</v>
      </c>
      <c r="H19" s="150">
        <f t="shared" si="8"/>
        <v>1455</v>
      </c>
      <c r="I19" s="306">
        <v>4</v>
      </c>
      <c r="J19" s="155">
        <v>8.1</v>
      </c>
      <c r="K19" s="156">
        <v>1</v>
      </c>
      <c r="L19" s="157">
        <v>0.15</v>
      </c>
      <c r="M19" s="165">
        <f t="shared" si="9"/>
        <v>9.1</v>
      </c>
      <c r="N19" s="166">
        <v>0.5</v>
      </c>
      <c r="O19" s="167">
        <v>0.1</v>
      </c>
      <c r="P19" s="168">
        <v>0.1</v>
      </c>
      <c r="Q19" s="309">
        <f t="shared" si="0"/>
        <v>120</v>
      </c>
      <c r="R19" s="152">
        <f t="shared" si="1"/>
        <v>243</v>
      </c>
      <c r="S19" s="154">
        <f t="shared" si="2"/>
        <v>30</v>
      </c>
      <c r="T19" s="169">
        <f t="shared" si="3"/>
        <v>4.5</v>
      </c>
      <c r="U19" s="153">
        <f t="shared" si="4"/>
        <v>273</v>
      </c>
      <c r="V19" s="166">
        <f t="shared" si="5"/>
        <v>15</v>
      </c>
      <c r="W19" s="167">
        <f t="shared" si="6"/>
        <v>3</v>
      </c>
      <c r="X19" s="168">
        <f t="shared" si="7"/>
        <v>3</v>
      </c>
      <c r="Y19" s="14"/>
    </row>
    <row r="20" spans="1:25" s="7" customFormat="1" ht="12.75" customHeight="1">
      <c r="A20" s="233">
        <v>40521</v>
      </c>
      <c r="B20" s="28">
        <v>804</v>
      </c>
      <c r="C20" s="20" t="s">
        <v>1676</v>
      </c>
      <c r="D20" s="20" t="s">
        <v>42</v>
      </c>
      <c r="E20" s="28">
        <v>4</v>
      </c>
      <c r="F20" s="28" t="s">
        <v>1677</v>
      </c>
      <c r="G20" s="119"/>
      <c r="H20" s="150">
        <f t="shared" si="8"/>
        <v>0</v>
      </c>
      <c r="I20" s="306">
        <v>0.5</v>
      </c>
      <c r="J20" s="155">
        <v>-3.81</v>
      </c>
      <c r="K20" s="156">
        <v>2.7</v>
      </c>
      <c r="L20" s="157">
        <v>0.41</v>
      </c>
      <c r="M20" s="165">
        <f t="shared" si="9"/>
        <v>-1.1099999999999999</v>
      </c>
      <c r="N20" s="166">
        <v>0</v>
      </c>
      <c r="O20" s="167">
        <v>0.1</v>
      </c>
      <c r="P20" s="168">
        <v>0.01</v>
      </c>
      <c r="Q20" s="309">
        <f t="shared" si="0"/>
        <v>2</v>
      </c>
      <c r="R20" s="152">
        <f t="shared" si="1"/>
        <v>-15.24</v>
      </c>
      <c r="S20" s="154">
        <f t="shared" si="2"/>
        <v>10.8</v>
      </c>
      <c r="T20" s="169">
        <f t="shared" si="3"/>
        <v>1.64</v>
      </c>
      <c r="U20" s="153">
        <f t="shared" si="4"/>
        <v>-4.4399999999999995</v>
      </c>
      <c r="V20" s="166">
        <f t="shared" si="5"/>
        <v>0</v>
      </c>
      <c r="W20" s="167">
        <f t="shared" si="6"/>
        <v>0.4</v>
      </c>
      <c r="X20" s="168">
        <f t="shared" si="7"/>
        <v>0.04</v>
      </c>
      <c r="Y20" s="14"/>
    </row>
    <row r="21" spans="1:25" s="7" customFormat="1" ht="12.75" customHeight="1">
      <c r="A21" s="237">
        <v>40522</v>
      </c>
      <c r="B21" s="198">
        <v>805</v>
      </c>
      <c r="C21" s="199" t="s">
        <v>1520</v>
      </c>
      <c r="D21" s="199" t="s">
        <v>1520</v>
      </c>
      <c r="E21" s="198">
        <v>50</v>
      </c>
      <c r="F21" s="198" t="s">
        <v>1678</v>
      </c>
      <c r="G21" s="241">
        <v>18</v>
      </c>
      <c r="H21" s="150">
        <f t="shared" si="8"/>
        <v>900</v>
      </c>
      <c r="I21" s="307">
        <v>1</v>
      </c>
      <c r="J21" s="155">
        <v>5</v>
      </c>
      <c r="K21" s="177">
        <v>3.5</v>
      </c>
      <c r="L21" s="157">
        <v>0.53</v>
      </c>
      <c r="M21" s="165">
        <f t="shared" si="9"/>
        <v>8.5</v>
      </c>
      <c r="N21" s="166">
        <v>0.28999999999999998</v>
      </c>
      <c r="O21" s="167">
        <v>0.1</v>
      </c>
      <c r="P21" s="168">
        <v>0.1</v>
      </c>
      <c r="Q21" s="309">
        <f t="shared" si="0"/>
        <v>50</v>
      </c>
      <c r="R21" s="152">
        <f t="shared" si="1"/>
        <v>250</v>
      </c>
      <c r="S21" s="154">
        <f t="shared" si="2"/>
        <v>175</v>
      </c>
      <c r="T21" s="169">
        <f t="shared" si="3"/>
        <v>26.5</v>
      </c>
      <c r="U21" s="153">
        <f t="shared" si="4"/>
        <v>425</v>
      </c>
      <c r="V21" s="166">
        <f t="shared" si="5"/>
        <v>14.499999999999998</v>
      </c>
      <c r="W21" s="167">
        <f t="shared" si="6"/>
        <v>5</v>
      </c>
      <c r="X21" s="168">
        <f t="shared" si="7"/>
        <v>5</v>
      </c>
      <c r="Y21" s="14"/>
    </row>
    <row r="22" spans="1:25" s="7" customFormat="1" ht="12.75" customHeight="1">
      <c r="A22" s="237"/>
      <c r="B22" s="198"/>
      <c r="C22" s="199" t="s">
        <v>1520</v>
      </c>
      <c r="D22" s="199" t="s">
        <v>1520</v>
      </c>
      <c r="E22" s="198">
        <v>50</v>
      </c>
      <c r="F22" s="198" t="s">
        <v>1679</v>
      </c>
      <c r="G22" s="241">
        <v>18</v>
      </c>
      <c r="H22" s="150">
        <f t="shared" si="8"/>
        <v>900</v>
      </c>
      <c r="I22" s="307">
        <v>1</v>
      </c>
      <c r="J22" s="155">
        <v>6.61</v>
      </c>
      <c r="K22" s="177">
        <v>2.1</v>
      </c>
      <c r="L22" s="157">
        <v>0.32</v>
      </c>
      <c r="M22" s="165">
        <f t="shared" si="9"/>
        <v>8.7100000000000009</v>
      </c>
      <c r="N22" s="166">
        <v>0.28999999999999998</v>
      </c>
      <c r="O22" s="167">
        <v>0.1</v>
      </c>
      <c r="P22" s="168">
        <v>0.1</v>
      </c>
      <c r="Q22" s="309">
        <f t="shared" si="0"/>
        <v>50</v>
      </c>
      <c r="R22" s="152">
        <f t="shared" si="1"/>
        <v>330.5</v>
      </c>
      <c r="S22" s="154">
        <f t="shared" si="2"/>
        <v>105</v>
      </c>
      <c r="T22" s="169">
        <f t="shared" si="3"/>
        <v>16</v>
      </c>
      <c r="U22" s="153">
        <f t="shared" si="4"/>
        <v>435.50000000000006</v>
      </c>
      <c r="V22" s="166">
        <f t="shared" si="5"/>
        <v>14.499999999999998</v>
      </c>
      <c r="W22" s="167">
        <f t="shared" si="6"/>
        <v>5</v>
      </c>
      <c r="X22" s="168">
        <f t="shared" si="7"/>
        <v>5</v>
      </c>
      <c r="Y22" s="14"/>
    </row>
    <row r="23" spans="1:25" s="7" customFormat="1" ht="12.75" customHeight="1">
      <c r="A23" s="233">
        <v>40522</v>
      </c>
      <c r="B23" s="28">
        <v>806</v>
      </c>
      <c r="C23" s="20" t="s">
        <v>531</v>
      </c>
      <c r="D23" s="20" t="s">
        <v>232</v>
      </c>
      <c r="E23" s="28">
        <v>16</v>
      </c>
      <c r="F23" s="28" t="s">
        <v>1680</v>
      </c>
      <c r="G23" s="119">
        <v>42.5</v>
      </c>
      <c r="H23" s="150">
        <f t="shared" si="8"/>
        <v>680</v>
      </c>
      <c r="I23" s="307">
        <v>5.5</v>
      </c>
      <c r="J23" s="155">
        <v>7.17</v>
      </c>
      <c r="K23" s="177">
        <v>0.7</v>
      </c>
      <c r="L23" s="157">
        <v>0.11</v>
      </c>
      <c r="M23" s="165">
        <f t="shared" si="9"/>
        <v>7.87</v>
      </c>
      <c r="N23" s="166">
        <v>0.63</v>
      </c>
      <c r="O23" s="167">
        <v>0.1</v>
      </c>
      <c r="P23" s="168">
        <v>0.1</v>
      </c>
      <c r="Q23" s="309">
        <f t="shared" si="0"/>
        <v>88</v>
      </c>
      <c r="R23" s="152">
        <f t="shared" si="1"/>
        <v>114.72</v>
      </c>
      <c r="S23" s="154">
        <f t="shared" si="2"/>
        <v>11.2</v>
      </c>
      <c r="T23" s="169">
        <f t="shared" si="3"/>
        <v>1.76</v>
      </c>
      <c r="U23" s="153">
        <f t="shared" si="4"/>
        <v>125.92</v>
      </c>
      <c r="V23" s="166">
        <f t="shared" si="5"/>
        <v>10.08</v>
      </c>
      <c r="W23" s="167">
        <f t="shared" si="6"/>
        <v>1.6</v>
      </c>
      <c r="X23" s="168">
        <f t="shared" si="7"/>
        <v>1.6</v>
      </c>
      <c r="Y23" s="14"/>
    </row>
    <row r="24" spans="1:25" s="7" customFormat="1" ht="12.75" customHeight="1">
      <c r="A24" s="233"/>
      <c r="B24" s="28"/>
      <c r="C24" s="20" t="s">
        <v>531</v>
      </c>
      <c r="D24" s="20" t="s">
        <v>232</v>
      </c>
      <c r="E24" s="28">
        <v>10</v>
      </c>
      <c r="F24" s="28" t="s">
        <v>1681</v>
      </c>
      <c r="G24" s="119">
        <v>42.5</v>
      </c>
      <c r="H24" s="150">
        <f t="shared" si="8"/>
        <v>425</v>
      </c>
      <c r="I24" s="307">
        <v>5.5</v>
      </c>
      <c r="J24" s="155">
        <v>8.07</v>
      </c>
      <c r="K24" s="177">
        <v>0.7</v>
      </c>
      <c r="L24" s="157">
        <v>0.11</v>
      </c>
      <c r="M24" s="165">
        <f t="shared" si="9"/>
        <v>8.77</v>
      </c>
      <c r="N24" s="166">
        <v>0.63</v>
      </c>
      <c r="O24" s="167">
        <v>0.1</v>
      </c>
      <c r="P24" s="168">
        <v>0.1</v>
      </c>
      <c r="Q24" s="309">
        <f t="shared" si="0"/>
        <v>55</v>
      </c>
      <c r="R24" s="152">
        <f t="shared" si="1"/>
        <v>80.7</v>
      </c>
      <c r="S24" s="154">
        <f t="shared" si="2"/>
        <v>7</v>
      </c>
      <c r="T24" s="169">
        <f t="shared" si="3"/>
        <v>1.1000000000000001</v>
      </c>
      <c r="U24" s="153">
        <f t="shared" si="4"/>
        <v>87.699999999999989</v>
      </c>
      <c r="V24" s="166">
        <f t="shared" si="5"/>
        <v>6.3</v>
      </c>
      <c r="W24" s="167">
        <f t="shared" si="6"/>
        <v>1</v>
      </c>
      <c r="X24" s="168">
        <f t="shared" si="7"/>
        <v>1</v>
      </c>
      <c r="Y24" s="14"/>
    </row>
    <row r="25" spans="1:25" s="7" customFormat="1" ht="12.75" customHeight="1">
      <c r="A25" s="233"/>
      <c r="B25" s="28"/>
      <c r="C25" s="20" t="s">
        <v>531</v>
      </c>
      <c r="D25" s="20" t="s">
        <v>232</v>
      </c>
      <c r="E25" s="28">
        <v>4</v>
      </c>
      <c r="F25" s="28" t="s">
        <v>1682</v>
      </c>
      <c r="G25" s="119">
        <v>47.5</v>
      </c>
      <c r="H25" s="150">
        <f t="shared" si="8"/>
        <v>190</v>
      </c>
      <c r="I25" s="306">
        <v>5.5</v>
      </c>
      <c r="J25" s="155">
        <v>7.47</v>
      </c>
      <c r="K25" s="156">
        <v>0.7</v>
      </c>
      <c r="L25" s="157">
        <v>0.11</v>
      </c>
      <c r="M25" s="165">
        <f t="shared" si="9"/>
        <v>8.17</v>
      </c>
      <c r="N25" s="166">
        <v>0.63</v>
      </c>
      <c r="O25" s="167">
        <v>0.1</v>
      </c>
      <c r="P25" s="168">
        <v>0.1</v>
      </c>
      <c r="Q25" s="309">
        <f t="shared" si="0"/>
        <v>22</v>
      </c>
      <c r="R25" s="152">
        <f t="shared" si="1"/>
        <v>29.88</v>
      </c>
      <c r="S25" s="154">
        <f t="shared" si="2"/>
        <v>2.8</v>
      </c>
      <c r="T25" s="169">
        <f t="shared" si="3"/>
        <v>0.44</v>
      </c>
      <c r="U25" s="153">
        <f t="shared" si="4"/>
        <v>32.68</v>
      </c>
      <c r="V25" s="166">
        <f t="shared" si="5"/>
        <v>2.52</v>
      </c>
      <c r="W25" s="167">
        <f t="shared" si="6"/>
        <v>0.4</v>
      </c>
      <c r="X25" s="168">
        <f t="shared" si="7"/>
        <v>0.4</v>
      </c>
      <c r="Y25" s="14"/>
    </row>
    <row r="26" spans="1:25" s="7" customFormat="1" ht="12.75" customHeight="1">
      <c r="A26" s="233">
        <v>40522</v>
      </c>
      <c r="B26" s="28">
        <v>807</v>
      </c>
      <c r="C26" s="20" t="s">
        <v>1334</v>
      </c>
      <c r="D26" s="20" t="s">
        <v>952</v>
      </c>
      <c r="E26" s="28">
        <v>50</v>
      </c>
      <c r="F26" s="28" t="s">
        <v>1683</v>
      </c>
      <c r="G26" s="119">
        <v>15.5</v>
      </c>
      <c r="H26" s="150">
        <f t="shared" si="8"/>
        <v>775</v>
      </c>
      <c r="I26" s="306">
        <v>1</v>
      </c>
      <c r="J26" s="155">
        <v>4.68</v>
      </c>
      <c r="K26" s="177">
        <v>1.1000000000000001</v>
      </c>
      <c r="L26" s="157">
        <v>0.17</v>
      </c>
      <c r="M26" s="165">
        <v>0.28999999999999998</v>
      </c>
      <c r="N26" s="166">
        <v>0.28999999999999998</v>
      </c>
      <c r="O26" s="167">
        <v>0.1</v>
      </c>
      <c r="P26" s="168">
        <v>0.1</v>
      </c>
      <c r="Q26" s="309">
        <f t="shared" si="0"/>
        <v>50</v>
      </c>
      <c r="R26" s="152">
        <f t="shared" si="1"/>
        <v>234</v>
      </c>
      <c r="S26" s="154">
        <f t="shared" si="2"/>
        <v>55.000000000000007</v>
      </c>
      <c r="T26" s="169">
        <f t="shared" si="3"/>
        <v>8.5</v>
      </c>
      <c r="U26" s="153">
        <f t="shared" si="4"/>
        <v>14.499999999999998</v>
      </c>
      <c r="V26" s="166">
        <f t="shared" si="5"/>
        <v>14.499999999999998</v>
      </c>
      <c r="W26" s="167">
        <f t="shared" si="6"/>
        <v>5</v>
      </c>
      <c r="X26" s="168">
        <f t="shared" si="7"/>
        <v>5</v>
      </c>
      <c r="Y26" s="14"/>
    </row>
    <row r="27" spans="1:25" s="7" customFormat="1" ht="12.75" customHeight="1">
      <c r="A27" s="237">
        <v>40522</v>
      </c>
      <c r="B27" s="198">
        <v>808</v>
      </c>
      <c r="C27" s="199" t="s">
        <v>112</v>
      </c>
      <c r="D27" s="199" t="s">
        <v>113</v>
      </c>
      <c r="E27" s="198">
        <f>500-172</f>
        <v>328</v>
      </c>
      <c r="F27" s="198" t="s">
        <v>1684</v>
      </c>
      <c r="G27" s="241">
        <v>13.5</v>
      </c>
      <c r="H27" s="150">
        <f t="shared" si="8"/>
        <v>4428</v>
      </c>
      <c r="I27" s="306">
        <v>1</v>
      </c>
      <c r="J27" s="155">
        <v>3.07</v>
      </c>
      <c r="K27" s="177">
        <v>1</v>
      </c>
      <c r="L27" s="157">
        <v>0.15</v>
      </c>
      <c r="M27" s="165">
        <f t="shared" si="9"/>
        <v>4.07</v>
      </c>
      <c r="N27" s="166">
        <v>0.28999999999999998</v>
      </c>
      <c r="O27" s="167">
        <v>0.1</v>
      </c>
      <c r="P27" s="168">
        <v>0.1</v>
      </c>
      <c r="Q27" s="309">
        <f t="shared" si="0"/>
        <v>328</v>
      </c>
      <c r="R27" s="152">
        <f t="shared" si="1"/>
        <v>1006.9599999999999</v>
      </c>
      <c r="S27" s="154">
        <f t="shared" si="2"/>
        <v>328</v>
      </c>
      <c r="T27" s="169">
        <f t="shared" si="3"/>
        <v>49.199999999999996</v>
      </c>
      <c r="U27" s="153">
        <f t="shared" si="4"/>
        <v>1334.96</v>
      </c>
      <c r="V27" s="166">
        <f t="shared" si="5"/>
        <v>95.11999999999999</v>
      </c>
      <c r="W27" s="167">
        <f t="shared" si="6"/>
        <v>32.800000000000004</v>
      </c>
      <c r="X27" s="168">
        <f t="shared" si="7"/>
        <v>32.800000000000004</v>
      </c>
      <c r="Y27" s="14"/>
    </row>
    <row r="28" spans="1:25" s="7" customFormat="1" ht="12.75" customHeight="1">
      <c r="A28" s="233"/>
      <c r="B28" s="28"/>
      <c r="C28" s="20" t="s">
        <v>112</v>
      </c>
      <c r="D28" s="20" t="s">
        <v>113</v>
      </c>
      <c r="E28" s="28">
        <f>78+172</f>
        <v>250</v>
      </c>
      <c r="F28" s="28" t="s">
        <v>1684</v>
      </c>
      <c r="G28" s="119">
        <v>13.5</v>
      </c>
      <c r="H28" s="150">
        <f t="shared" si="8"/>
        <v>3375</v>
      </c>
      <c r="I28" s="306">
        <v>1</v>
      </c>
      <c r="J28" s="155">
        <v>2.61</v>
      </c>
      <c r="K28" s="156">
        <v>1.4</v>
      </c>
      <c r="L28" s="157">
        <v>0.21</v>
      </c>
      <c r="M28" s="165">
        <f t="shared" si="9"/>
        <v>4.01</v>
      </c>
      <c r="N28" s="166">
        <v>0.28999999999999998</v>
      </c>
      <c r="O28" s="167">
        <v>0.1</v>
      </c>
      <c r="P28" s="168">
        <v>0.1</v>
      </c>
      <c r="Q28" s="309">
        <f t="shared" si="0"/>
        <v>250</v>
      </c>
      <c r="R28" s="152">
        <f t="shared" si="1"/>
        <v>652.5</v>
      </c>
      <c r="S28" s="154">
        <f t="shared" si="2"/>
        <v>350</v>
      </c>
      <c r="T28" s="169">
        <f t="shared" si="3"/>
        <v>52.5</v>
      </c>
      <c r="U28" s="153">
        <f t="shared" si="4"/>
        <v>1002.5</v>
      </c>
      <c r="V28" s="166">
        <f t="shared" si="5"/>
        <v>72.5</v>
      </c>
      <c r="W28" s="167">
        <f t="shared" si="6"/>
        <v>25</v>
      </c>
      <c r="X28" s="168">
        <f t="shared" si="7"/>
        <v>25</v>
      </c>
      <c r="Y28" s="14"/>
    </row>
    <row r="29" spans="1:25" s="7" customFormat="1" ht="12.75" customHeight="1">
      <c r="A29" s="233">
        <v>40521</v>
      </c>
      <c r="B29" s="28">
        <v>809</v>
      </c>
      <c r="C29" s="20" t="s">
        <v>30</v>
      </c>
      <c r="D29" s="20" t="s">
        <v>42</v>
      </c>
      <c r="E29" s="28">
        <v>100</v>
      </c>
      <c r="F29" s="28" t="s">
        <v>1685</v>
      </c>
      <c r="G29" s="119">
        <v>19.8</v>
      </c>
      <c r="H29" s="150">
        <f t="shared" si="8"/>
        <v>1980</v>
      </c>
      <c r="I29" s="306">
        <v>0.5</v>
      </c>
      <c r="J29" s="155">
        <v>3.32</v>
      </c>
      <c r="K29" s="156">
        <v>1.3</v>
      </c>
      <c r="L29" s="157">
        <v>0.2</v>
      </c>
      <c r="M29" s="153">
        <f t="shared" si="9"/>
        <v>4.62</v>
      </c>
      <c r="N29" s="166">
        <v>0</v>
      </c>
      <c r="O29" s="167">
        <v>0.1</v>
      </c>
      <c r="P29" s="168">
        <v>0.1</v>
      </c>
      <c r="Q29" s="309">
        <f t="shared" si="0"/>
        <v>50</v>
      </c>
      <c r="R29" s="152">
        <f t="shared" si="1"/>
        <v>332</v>
      </c>
      <c r="S29" s="154">
        <f t="shared" si="2"/>
        <v>130</v>
      </c>
      <c r="T29" s="169">
        <f t="shared" si="3"/>
        <v>20</v>
      </c>
      <c r="U29" s="153">
        <f t="shared" si="4"/>
        <v>462</v>
      </c>
      <c r="V29" s="166">
        <f t="shared" si="5"/>
        <v>0</v>
      </c>
      <c r="W29" s="167">
        <f t="shared" si="6"/>
        <v>10</v>
      </c>
      <c r="X29" s="168">
        <f t="shared" si="7"/>
        <v>10</v>
      </c>
      <c r="Y29" s="14"/>
    </row>
    <row r="30" spans="1:25" s="7" customFormat="1" ht="12.75" customHeight="1">
      <c r="A30" s="233"/>
      <c r="B30" s="28"/>
      <c r="C30" s="20" t="s">
        <v>30</v>
      </c>
      <c r="D30" s="20" t="s">
        <v>42</v>
      </c>
      <c r="E30" s="28">
        <v>60</v>
      </c>
      <c r="F30" s="28" t="s">
        <v>1686</v>
      </c>
      <c r="G30" s="119">
        <v>48.5</v>
      </c>
      <c r="H30" s="150">
        <f t="shared" si="8"/>
        <v>2910</v>
      </c>
      <c r="I30" s="306">
        <v>5.5</v>
      </c>
      <c r="J30" s="155">
        <v>9.44</v>
      </c>
      <c r="K30" s="156">
        <v>1.5</v>
      </c>
      <c r="L30" s="157">
        <v>0.23</v>
      </c>
      <c r="M30" s="165">
        <f t="shared" si="9"/>
        <v>10.94</v>
      </c>
      <c r="N30" s="166">
        <v>0.63</v>
      </c>
      <c r="O30" s="167">
        <v>0.1</v>
      </c>
      <c r="P30" s="168">
        <v>0.1</v>
      </c>
      <c r="Q30" s="309">
        <f t="shared" si="0"/>
        <v>330</v>
      </c>
      <c r="R30" s="152">
        <f t="shared" si="1"/>
        <v>566.4</v>
      </c>
      <c r="S30" s="154">
        <f t="shared" si="2"/>
        <v>90</v>
      </c>
      <c r="T30" s="169">
        <f t="shared" si="3"/>
        <v>13.8</v>
      </c>
      <c r="U30" s="153">
        <f t="shared" si="4"/>
        <v>656.4</v>
      </c>
      <c r="V30" s="166">
        <f t="shared" si="5"/>
        <v>37.799999999999997</v>
      </c>
      <c r="W30" s="167">
        <f t="shared" si="6"/>
        <v>6</v>
      </c>
      <c r="X30" s="168">
        <f t="shared" si="7"/>
        <v>6</v>
      </c>
      <c r="Y30" s="14"/>
    </row>
    <row r="31" spans="1:25" s="7" customFormat="1" ht="12.75" customHeight="1">
      <c r="A31" s="233"/>
      <c r="B31" s="28"/>
      <c r="C31" s="20" t="s">
        <v>30</v>
      </c>
      <c r="D31" s="20" t="s">
        <v>42</v>
      </c>
      <c r="E31" s="28">
        <v>240</v>
      </c>
      <c r="F31" s="28" t="s">
        <v>1687</v>
      </c>
      <c r="G31" s="119">
        <v>13.5</v>
      </c>
      <c r="H31" s="150">
        <f t="shared" si="8"/>
        <v>3240</v>
      </c>
      <c r="I31" s="306">
        <v>1</v>
      </c>
      <c r="J31" s="155">
        <v>2.61</v>
      </c>
      <c r="K31" s="156">
        <v>1.4</v>
      </c>
      <c r="L31" s="157">
        <v>0.21</v>
      </c>
      <c r="M31" s="165">
        <f t="shared" si="9"/>
        <v>4.01</v>
      </c>
      <c r="N31" s="166">
        <v>0.28999999999999998</v>
      </c>
      <c r="O31" s="167">
        <v>0.1</v>
      </c>
      <c r="P31" s="168">
        <v>0.1</v>
      </c>
      <c r="Q31" s="309">
        <f t="shared" si="0"/>
        <v>240</v>
      </c>
      <c r="R31" s="152">
        <f t="shared" si="1"/>
        <v>626.4</v>
      </c>
      <c r="S31" s="154">
        <f t="shared" si="2"/>
        <v>336</v>
      </c>
      <c r="T31" s="169">
        <f t="shared" si="3"/>
        <v>50.4</v>
      </c>
      <c r="U31" s="153">
        <f t="shared" si="4"/>
        <v>962.4</v>
      </c>
      <c r="V31" s="166">
        <f t="shared" si="5"/>
        <v>69.599999999999994</v>
      </c>
      <c r="W31" s="167">
        <f t="shared" si="6"/>
        <v>24</v>
      </c>
      <c r="X31" s="168">
        <f t="shared" si="7"/>
        <v>24</v>
      </c>
      <c r="Y31" s="14"/>
    </row>
    <row r="32" spans="1:25" s="7" customFormat="1" ht="12.75" customHeight="1">
      <c r="A32" s="233">
        <v>40521</v>
      </c>
      <c r="B32" s="28">
        <v>810</v>
      </c>
      <c r="C32" s="20" t="s">
        <v>660</v>
      </c>
      <c r="D32" s="20" t="s">
        <v>1688</v>
      </c>
      <c r="E32" s="28">
        <v>100</v>
      </c>
      <c r="F32" s="28" t="s">
        <v>1689</v>
      </c>
      <c r="G32" s="119">
        <v>42.5</v>
      </c>
      <c r="H32" s="150">
        <f t="shared" si="8"/>
        <v>4250</v>
      </c>
      <c r="I32" s="306">
        <v>3.5</v>
      </c>
      <c r="J32" s="155">
        <v>4.25</v>
      </c>
      <c r="K32" s="156">
        <v>2.1</v>
      </c>
      <c r="L32" s="157">
        <v>0.32</v>
      </c>
      <c r="M32" s="165">
        <f t="shared" si="9"/>
        <v>6.35</v>
      </c>
      <c r="N32" s="166">
        <v>0.33</v>
      </c>
      <c r="O32" s="167">
        <v>0.1</v>
      </c>
      <c r="P32" s="168">
        <v>0.1</v>
      </c>
      <c r="Q32" s="309">
        <f t="shared" si="0"/>
        <v>350</v>
      </c>
      <c r="R32" s="152">
        <f t="shared" si="1"/>
        <v>425</v>
      </c>
      <c r="S32" s="154">
        <f t="shared" si="2"/>
        <v>210</v>
      </c>
      <c r="T32" s="169">
        <f t="shared" si="3"/>
        <v>32</v>
      </c>
      <c r="U32" s="153">
        <f t="shared" si="4"/>
        <v>635</v>
      </c>
      <c r="V32" s="166">
        <f t="shared" si="5"/>
        <v>33</v>
      </c>
      <c r="W32" s="167">
        <f t="shared" si="6"/>
        <v>10</v>
      </c>
      <c r="X32" s="168">
        <f t="shared" si="7"/>
        <v>10</v>
      </c>
      <c r="Y32" s="14"/>
    </row>
    <row r="33" spans="1:25" s="7" customFormat="1" ht="12.75" customHeight="1">
      <c r="A33" s="233">
        <v>40525</v>
      </c>
      <c r="B33" s="28">
        <v>811</v>
      </c>
      <c r="C33" s="20" t="s">
        <v>1690</v>
      </c>
      <c r="D33" s="20" t="s">
        <v>1691</v>
      </c>
      <c r="E33" s="28">
        <v>36</v>
      </c>
      <c r="F33" s="28" t="s">
        <v>1692</v>
      </c>
      <c r="G33" s="119">
        <v>28.5</v>
      </c>
      <c r="H33" s="150">
        <f t="shared" si="8"/>
        <v>1026</v>
      </c>
      <c r="I33" s="306">
        <v>3.5</v>
      </c>
      <c r="J33" s="155">
        <v>4.13</v>
      </c>
      <c r="K33" s="156">
        <v>0</v>
      </c>
      <c r="L33" s="157">
        <v>0</v>
      </c>
      <c r="M33" s="165">
        <f t="shared" si="9"/>
        <v>4.13</v>
      </c>
      <c r="N33" s="166">
        <v>0.33</v>
      </c>
      <c r="O33" s="167">
        <v>0.1</v>
      </c>
      <c r="P33" s="168">
        <v>0.1</v>
      </c>
      <c r="Q33" s="309">
        <f t="shared" si="0"/>
        <v>126</v>
      </c>
      <c r="R33" s="152">
        <f t="shared" si="1"/>
        <v>148.68</v>
      </c>
      <c r="S33" s="154">
        <f t="shared" si="2"/>
        <v>0</v>
      </c>
      <c r="T33" s="169">
        <f t="shared" si="3"/>
        <v>0</v>
      </c>
      <c r="U33" s="153">
        <f t="shared" si="4"/>
        <v>148.68</v>
      </c>
      <c r="V33" s="166">
        <f t="shared" si="5"/>
        <v>11.88</v>
      </c>
      <c r="W33" s="167">
        <f t="shared" si="6"/>
        <v>3.6</v>
      </c>
      <c r="X33" s="168">
        <f t="shared" si="7"/>
        <v>3.6</v>
      </c>
      <c r="Y33" s="14"/>
    </row>
    <row r="34" spans="1:25" s="7" customFormat="1" ht="12.75" customHeight="1">
      <c r="A34" s="233"/>
      <c r="B34" s="28"/>
      <c r="C34" s="20" t="s">
        <v>1690</v>
      </c>
      <c r="D34" s="20" t="s">
        <v>1691</v>
      </c>
      <c r="E34" s="28">
        <v>60</v>
      </c>
      <c r="F34" s="28" t="s">
        <v>1693</v>
      </c>
      <c r="G34" s="119">
        <v>30.5</v>
      </c>
      <c r="H34" s="150">
        <f t="shared" si="8"/>
        <v>1830</v>
      </c>
      <c r="I34" s="306">
        <v>3.5</v>
      </c>
      <c r="J34" s="155">
        <v>4.13</v>
      </c>
      <c r="K34" s="156">
        <v>0</v>
      </c>
      <c r="L34" s="157">
        <v>0</v>
      </c>
      <c r="M34" s="165">
        <f t="shared" si="9"/>
        <v>4.13</v>
      </c>
      <c r="N34" s="166">
        <v>0.33</v>
      </c>
      <c r="O34" s="167">
        <v>0.1</v>
      </c>
      <c r="P34" s="168">
        <v>0.1</v>
      </c>
      <c r="Q34" s="309">
        <f t="shared" si="0"/>
        <v>210</v>
      </c>
      <c r="R34" s="152">
        <f t="shared" si="1"/>
        <v>247.79999999999998</v>
      </c>
      <c r="S34" s="154">
        <f t="shared" si="2"/>
        <v>0</v>
      </c>
      <c r="T34" s="169">
        <f t="shared" si="3"/>
        <v>0</v>
      </c>
      <c r="U34" s="153">
        <f t="shared" si="4"/>
        <v>247.79999999999998</v>
      </c>
      <c r="V34" s="166">
        <f t="shared" si="5"/>
        <v>19.8</v>
      </c>
      <c r="W34" s="167">
        <f t="shared" si="6"/>
        <v>6</v>
      </c>
      <c r="X34" s="168">
        <f t="shared" si="7"/>
        <v>6</v>
      </c>
      <c r="Y34" s="14"/>
    </row>
    <row r="35" spans="1:25" s="7" customFormat="1" ht="12.75" customHeight="1">
      <c r="A35" s="233"/>
      <c r="B35" s="28"/>
      <c r="C35" s="20" t="s">
        <v>1690</v>
      </c>
      <c r="D35" s="20" t="s">
        <v>1691</v>
      </c>
      <c r="E35" s="28">
        <v>12</v>
      </c>
      <c r="F35" s="28" t="s">
        <v>1694</v>
      </c>
      <c r="G35" s="119">
        <v>44.5</v>
      </c>
      <c r="H35" s="150">
        <f t="shared" si="8"/>
        <v>534</v>
      </c>
      <c r="I35" s="307">
        <v>3.5</v>
      </c>
      <c r="J35" s="155">
        <v>12.9</v>
      </c>
      <c r="K35" s="156">
        <v>0</v>
      </c>
      <c r="L35" s="157">
        <v>0</v>
      </c>
      <c r="M35" s="165">
        <f t="shared" si="9"/>
        <v>12.9</v>
      </c>
      <c r="N35" s="166">
        <v>0.33</v>
      </c>
      <c r="O35" s="167">
        <v>0.1</v>
      </c>
      <c r="P35" s="168">
        <v>0.1</v>
      </c>
      <c r="Q35" s="309">
        <f t="shared" si="0"/>
        <v>42</v>
      </c>
      <c r="R35" s="152">
        <f t="shared" si="1"/>
        <v>154.80000000000001</v>
      </c>
      <c r="S35" s="154">
        <f t="shared" si="2"/>
        <v>0</v>
      </c>
      <c r="T35" s="169">
        <f t="shared" si="3"/>
        <v>0</v>
      </c>
      <c r="U35" s="153">
        <f t="shared" si="4"/>
        <v>154.80000000000001</v>
      </c>
      <c r="V35" s="166">
        <f t="shared" si="5"/>
        <v>3.96</v>
      </c>
      <c r="W35" s="167">
        <f t="shared" si="6"/>
        <v>1.2000000000000002</v>
      </c>
      <c r="X35" s="168">
        <f t="shared" si="7"/>
        <v>1.2000000000000002</v>
      </c>
      <c r="Y35" s="14"/>
    </row>
    <row r="36" spans="1:25" s="7" customFormat="1" ht="12.75" customHeight="1">
      <c r="A36" s="233">
        <v>40525</v>
      </c>
      <c r="B36" s="28">
        <v>812</v>
      </c>
      <c r="C36" s="20" t="s">
        <v>1695</v>
      </c>
      <c r="D36" s="20" t="s">
        <v>1696</v>
      </c>
      <c r="E36" s="28">
        <v>41</v>
      </c>
      <c r="F36" s="28" t="s">
        <v>1697</v>
      </c>
      <c r="G36" s="119">
        <v>44</v>
      </c>
      <c r="H36" s="150">
        <f t="shared" si="8"/>
        <v>1804</v>
      </c>
      <c r="I36" s="306">
        <v>3.5</v>
      </c>
      <c r="J36" s="155">
        <v>6.35</v>
      </c>
      <c r="K36" s="156">
        <v>1.4</v>
      </c>
      <c r="L36" s="157">
        <v>0.21</v>
      </c>
      <c r="M36" s="153">
        <f t="shared" si="9"/>
        <v>7.75</v>
      </c>
      <c r="N36" s="166">
        <v>0.33</v>
      </c>
      <c r="O36" s="167">
        <v>0.1</v>
      </c>
      <c r="P36" s="168">
        <v>0.1</v>
      </c>
      <c r="Q36" s="309">
        <f t="shared" si="0"/>
        <v>143.5</v>
      </c>
      <c r="R36" s="152">
        <f t="shared" si="1"/>
        <v>260.34999999999997</v>
      </c>
      <c r="S36" s="154">
        <f t="shared" si="2"/>
        <v>57.4</v>
      </c>
      <c r="T36" s="169">
        <f t="shared" si="3"/>
        <v>8.61</v>
      </c>
      <c r="U36" s="153">
        <f t="shared" si="4"/>
        <v>317.75</v>
      </c>
      <c r="V36" s="166">
        <f t="shared" si="5"/>
        <v>13.530000000000001</v>
      </c>
      <c r="W36" s="167">
        <f t="shared" si="6"/>
        <v>4.1000000000000005</v>
      </c>
      <c r="X36" s="168">
        <f t="shared" si="7"/>
        <v>4.1000000000000005</v>
      </c>
      <c r="Y36" s="14"/>
    </row>
    <row r="37" spans="1:25" s="7" customFormat="1" ht="12.75" customHeight="1">
      <c r="A37" s="233"/>
      <c r="B37" s="28"/>
      <c r="C37" s="20" t="s">
        <v>1695</v>
      </c>
      <c r="D37" s="20" t="s">
        <v>1696</v>
      </c>
      <c r="E37" s="28">
        <v>25</v>
      </c>
      <c r="F37" s="28" t="s">
        <v>1698</v>
      </c>
      <c r="G37" s="119">
        <v>41.5</v>
      </c>
      <c r="H37" s="150">
        <f t="shared" si="8"/>
        <v>1037.5</v>
      </c>
      <c r="I37" s="306">
        <v>3.5</v>
      </c>
      <c r="J37" s="155">
        <v>10.72</v>
      </c>
      <c r="K37" s="156">
        <v>1.4</v>
      </c>
      <c r="L37" s="157">
        <v>0.21</v>
      </c>
      <c r="M37" s="153">
        <f t="shared" si="9"/>
        <v>12.120000000000001</v>
      </c>
      <c r="N37" s="166">
        <v>0.33</v>
      </c>
      <c r="O37" s="167">
        <v>0.1</v>
      </c>
      <c r="P37" s="168">
        <v>0.1</v>
      </c>
      <c r="Q37" s="309">
        <f t="shared" si="0"/>
        <v>87.5</v>
      </c>
      <c r="R37" s="152">
        <f t="shared" si="1"/>
        <v>268</v>
      </c>
      <c r="S37" s="154">
        <f t="shared" si="2"/>
        <v>35</v>
      </c>
      <c r="T37" s="169">
        <f t="shared" si="3"/>
        <v>5.25</v>
      </c>
      <c r="U37" s="153">
        <f t="shared" si="4"/>
        <v>303</v>
      </c>
      <c r="V37" s="166">
        <f t="shared" si="5"/>
        <v>8.25</v>
      </c>
      <c r="W37" s="167">
        <f t="shared" si="6"/>
        <v>2.5</v>
      </c>
      <c r="X37" s="168">
        <f t="shared" si="7"/>
        <v>2.5</v>
      </c>
      <c r="Y37" s="14"/>
    </row>
    <row r="38" spans="1:25" s="7" customFormat="1" ht="12.75" customHeight="1">
      <c r="A38" s="238">
        <v>40526</v>
      </c>
      <c r="B38" s="45">
        <v>813</v>
      </c>
      <c r="C38" s="96" t="s">
        <v>1699</v>
      </c>
      <c r="D38" s="96" t="s">
        <v>158</v>
      </c>
      <c r="E38" s="45">
        <v>25</v>
      </c>
      <c r="F38" s="45" t="s">
        <v>84</v>
      </c>
      <c r="G38" s="242">
        <v>0</v>
      </c>
      <c r="H38" s="150">
        <f t="shared" si="8"/>
        <v>0</v>
      </c>
      <c r="I38" s="306">
        <v>0</v>
      </c>
      <c r="J38" s="155">
        <v>0</v>
      </c>
      <c r="K38" s="156">
        <v>0</v>
      </c>
      <c r="L38" s="157">
        <v>0</v>
      </c>
      <c r="M38" s="153">
        <f t="shared" si="9"/>
        <v>0</v>
      </c>
      <c r="N38" s="166">
        <v>0</v>
      </c>
      <c r="O38" s="167">
        <v>0</v>
      </c>
      <c r="P38" s="168">
        <v>0</v>
      </c>
      <c r="Q38" s="309">
        <f t="shared" si="0"/>
        <v>0</v>
      </c>
      <c r="R38" s="152">
        <f t="shared" si="1"/>
        <v>0</v>
      </c>
      <c r="S38" s="154">
        <f t="shared" si="2"/>
        <v>0</v>
      </c>
      <c r="T38" s="169">
        <f t="shared" si="3"/>
        <v>0</v>
      </c>
      <c r="U38" s="153">
        <f t="shared" si="4"/>
        <v>0</v>
      </c>
      <c r="V38" s="166">
        <f t="shared" si="5"/>
        <v>0</v>
      </c>
      <c r="W38" s="167">
        <f t="shared" si="6"/>
        <v>0</v>
      </c>
      <c r="X38" s="168">
        <f t="shared" si="7"/>
        <v>0</v>
      </c>
      <c r="Y38" s="14"/>
    </row>
    <row r="39" spans="1:25" s="7" customFormat="1" ht="12.75" customHeight="1">
      <c r="A39" s="233">
        <v>40526</v>
      </c>
      <c r="B39" s="28">
        <v>814</v>
      </c>
      <c r="C39" s="20" t="s">
        <v>1699</v>
      </c>
      <c r="D39" s="20" t="s">
        <v>158</v>
      </c>
      <c r="E39" s="28">
        <v>10</v>
      </c>
      <c r="F39" s="28" t="s">
        <v>1700</v>
      </c>
      <c r="G39" s="119">
        <v>35.5</v>
      </c>
      <c r="H39" s="150">
        <f t="shared" si="8"/>
        <v>355</v>
      </c>
      <c r="I39" s="306">
        <v>3.5</v>
      </c>
      <c r="J39" s="155">
        <v>7.13</v>
      </c>
      <c r="K39" s="156">
        <v>0.7</v>
      </c>
      <c r="L39" s="157">
        <v>0.11</v>
      </c>
      <c r="M39" s="153">
        <f t="shared" si="9"/>
        <v>7.83</v>
      </c>
      <c r="N39" s="166">
        <v>0.33</v>
      </c>
      <c r="O39" s="167">
        <v>0.1</v>
      </c>
      <c r="P39" s="168">
        <v>0.1</v>
      </c>
      <c r="Q39" s="309">
        <f t="shared" si="0"/>
        <v>35</v>
      </c>
      <c r="R39" s="152">
        <f t="shared" si="1"/>
        <v>71.3</v>
      </c>
      <c r="S39" s="154">
        <f t="shared" si="2"/>
        <v>7</v>
      </c>
      <c r="T39" s="169">
        <f t="shared" si="3"/>
        <v>1.1000000000000001</v>
      </c>
      <c r="U39" s="153">
        <f t="shared" si="4"/>
        <v>78.3</v>
      </c>
      <c r="V39" s="166">
        <f t="shared" si="5"/>
        <v>3.3000000000000003</v>
      </c>
      <c r="W39" s="167">
        <f t="shared" si="6"/>
        <v>1</v>
      </c>
      <c r="X39" s="168">
        <f t="shared" si="7"/>
        <v>1</v>
      </c>
      <c r="Y39" s="14"/>
    </row>
    <row r="40" spans="1:25" s="7" customFormat="1" ht="12.75" customHeight="1">
      <c r="A40" s="233"/>
      <c r="B40" s="28"/>
      <c r="C40" s="20" t="s">
        <v>1699</v>
      </c>
      <c r="D40" s="20" t="s">
        <v>158</v>
      </c>
      <c r="E40" s="28">
        <v>15</v>
      </c>
      <c r="F40" s="28" t="s">
        <v>1701</v>
      </c>
      <c r="G40" s="119">
        <v>38.5</v>
      </c>
      <c r="H40" s="150">
        <f t="shared" si="8"/>
        <v>577.5</v>
      </c>
      <c r="I40" s="306">
        <v>3.5</v>
      </c>
      <c r="J40" s="155">
        <v>1.63</v>
      </c>
      <c r="K40" s="156">
        <v>0.7</v>
      </c>
      <c r="L40" s="157">
        <v>0.11</v>
      </c>
      <c r="M40" s="153">
        <f t="shared" si="9"/>
        <v>2.33</v>
      </c>
      <c r="N40" s="166">
        <v>0.33</v>
      </c>
      <c r="O40" s="167">
        <v>0.1</v>
      </c>
      <c r="P40" s="168">
        <v>0.1</v>
      </c>
      <c r="Q40" s="309">
        <f t="shared" si="0"/>
        <v>52.5</v>
      </c>
      <c r="R40" s="152">
        <f t="shared" si="1"/>
        <v>24.45</v>
      </c>
      <c r="S40" s="154">
        <f t="shared" si="2"/>
        <v>10.5</v>
      </c>
      <c r="T40" s="169">
        <f t="shared" si="3"/>
        <v>1.65</v>
      </c>
      <c r="U40" s="153">
        <f t="shared" si="4"/>
        <v>34.950000000000003</v>
      </c>
      <c r="V40" s="166">
        <f t="shared" si="5"/>
        <v>4.95</v>
      </c>
      <c r="W40" s="167">
        <f t="shared" si="6"/>
        <v>1.5</v>
      </c>
      <c r="X40" s="168">
        <f t="shared" si="7"/>
        <v>1.5</v>
      </c>
      <c r="Y40" s="14"/>
    </row>
    <row r="41" spans="1:25" s="7" customFormat="1" ht="12.75" customHeight="1">
      <c r="A41" s="233">
        <v>40526</v>
      </c>
      <c r="B41" s="28">
        <v>815</v>
      </c>
      <c r="C41" s="20" t="s">
        <v>425</v>
      </c>
      <c r="D41" s="20" t="s">
        <v>66</v>
      </c>
      <c r="E41" s="28">
        <v>1</v>
      </c>
      <c r="F41" s="28" t="s">
        <v>1702</v>
      </c>
      <c r="G41" s="119">
        <v>42</v>
      </c>
      <c r="H41" s="150">
        <f t="shared" si="8"/>
        <v>42</v>
      </c>
      <c r="I41" s="306">
        <v>4.5</v>
      </c>
      <c r="J41" s="155">
        <v>3.97</v>
      </c>
      <c r="K41" s="156">
        <v>2</v>
      </c>
      <c r="L41" s="157">
        <v>0.3</v>
      </c>
      <c r="M41" s="153">
        <f t="shared" si="9"/>
        <v>5.9700000000000006</v>
      </c>
      <c r="N41" s="166">
        <v>0.83</v>
      </c>
      <c r="O41" s="167">
        <v>0.1</v>
      </c>
      <c r="P41" s="168">
        <v>0</v>
      </c>
      <c r="Q41" s="309">
        <f t="shared" si="0"/>
        <v>4.5</v>
      </c>
      <c r="R41" s="152">
        <f t="shared" si="1"/>
        <v>3.97</v>
      </c>
      <c r="S41" s="154">
        <f t="shared" si="2"/>
        <v>2</v>
      </c>
      <c r="T41" s="169">
        <f t="shared" si="3"/>
        <v>0.3</v>
      </c>
      <c r="U41" s="153">
        <f t="shared" si="4"/>
        <v>5.9700000000000006</v>
      </c>
      <c r="V41" s="166">
        <f t="shared" si="5"/>
        <v>0.83</v>
      </c>
      <c r="W41" s="167">
        <f t="shared" si="6"/>
        <v>0.1</v>
      </c>
      <c r="X41" s="168">
        <f t="shared" si="7"/>
        <v>0</v>
      </c>
      <c r="Y41" s="14"/>
    </row>
    <row r="42" spans="1:25" s="7" customFormat="1" ht="12.75" customHeight="1">
      <c r="A42" s="233"/>
      <c r="B42" s="28"/>
      <c r="C42" s="20" t="s">
        <v>425</v>
      </c>
      <c r="D42" s="20" t="s">
        <v>66</v>
      </c>
      <c r="E42" s="28">
        <v>16</v>
      </c>
      <c r="F42" s="28" t="s">
        <v>1703</v>
      </c>
      <c r="G42" s="119">
        <v>45</v>
      </c>
      <c r="H42" s="150">
        <f t="shared" si="8"/>
        <v>720</v>
      </c>
      <c r="I42" s="306">
        <v>4.5</v>
      </c>
      <c r="J42" s="155">
        <v>2.27</v>
      </c>
      <c r="K42" s="156">
        <v>2</v>
      </c>
      <c r="L42" s="157">
        <v>0.3</v>
      </c>
      <c r="M42" s="153">
        <f t="shared" si="9"/>
        <v>4.2699999999999996</v>
      </c>
      <c r="N42" s="166">
        <v>0.83</v>
      </c>
      <c r="O42" s="167">
        <v>0.1</v>
      </c>
      <c r="P42" s="168">
        <v>0</v>
      </c>
      <c r="Q42" s="309">
        <f t="shared" si="0"/>
        <v>72</v>
      </c>
      <c r="R42" s="152">
        <f t="shared" si="1"/>
        <v>36.32</v>
      </c>
      <c r="S42" s="154">
        <f t="shared" si="2"/>
        <v>32</v>
      </c>
      <c r="T42" s="169">
        <f t="shared" si="3"/>
        <v>4.8</v>
      </c>
      <c r="U42" s="153">
        <f t="shared" si="4"/>
        <v>68.319999999999993</v>
      </c>
      <c r="V42" s="166">
        <f t="shared" si="5"/>
        <v>13.28</v>
      </c>
      <c r="W42" s="167">
        <f t="shared" si="6"/>
        <v>1.6</v>
      </c>
      <c r="X42" s="168">
        <f t="shared" si="7"/>
        <v>0</v>
      </c>
      <c r="Y42" s="14"/>
    </row>
    <row r="43" spans="1:25" s="7" customFormat="1" ht="12.75" customHeight="1">
      <c r="A43" s="233"/>
      <c r="B43" s="28"/>
      <c r="C43" s="20" t="s">
        <v>425</v>
      </c>
      <c r="D43" s="20" t="s">
        <v>66</v>
      </c>
      <c r="E43" s="28">
        <v>12</v>
      </c>
      <c r="F43" s="28" t="s">
        <v>1704</v>
      </c>
      <c r="G43" s="119">
        <v>59.5</v>
      </c>
      <c r="H43" s="150">
        <f t="shared" si="8"/>
        <v>714</v>
      </c>
      <c r="I43" s="306">
        <v>6.5</v>
      </c>
      <c r="J43" s="155">
        <v>17.75</v>
      </c>
      <c r="K43" s="156">
        <v>1.8</v>
      </c>
      <c r="L43" s="157">
        <v>0.27</v>
      </c>
      <c r="M43" s="153">
        <f t="shared" si="9"/>
        <v>19.55</v>
      </c>
      <c r="N43" s="166">
        <v>0.83</v>
      </c>
      <c r="O43" s="167">
        <v>0.1</v>
      </c>
      <c r="P43" s="168">
        <v>0.1</v>
      </c>
      <c r="Q43" s="309">
        <f t="shared" si="0"/>
        <v>78</v>
      </c>
      <c r="R43" s="152">
        <f t="shared" si="1"/>
        <v>213</v>
      </c>
      <c r="S43" s="154">
        <f t="shared" si="2"/>
        <v>21.6</v>
      </c>
      <c r="T43" s="169">
        <f t="shared" si="3"/>
        <v>3.24</v>
      </c>
      <c r="U43" s="153">
        <f t="shared" si="4"/>
        <v>234.60000000000002</v>
      </c>
      <c r="V43" s="166">
        <f t="shared" si="5"/>
        <v>9.9599999999999991</v>
      </c>
      <c r="W43" s="167">
        <f t="shared" si="6"/>
        <v>1.2000000000000002</v>
      </c>
      <c r="X43" s="168">
        <f t="shared" si="7"/>
        <v>1.2000000000000002</v>
      </c>
      <c r="Y43" s="14"/>
    </row>
    <row r="44" spans="1:25" s="7" customFormat="1" ht="12.75" customHeight="1">
      <c r="A44" s="233"/>
      <c r="B44" s="28"/>
      <c r="C44" s="20" t="s">
        <v>425</v>
      </c>
      <c r="D44" s="20" t="s">
        <v>66</v>
      </c>
      <c r="E44" s="28">
        <v>50</v>
      </c>
      <c r="F44" s="28" t="s">
        <v>1705</v>
      </c>
      <c r="G44" s="119">
        <v>11.5</v>
      </c>
      <c r="H44" s="150">
        <f t="shared" si="8"/>
        <v>575</v>
      </c>
      <c r="I44" s="306">
        <v>0</v>
      </c>
      <c r="J44" s="155">
        <v>0</v>
      </c>
      <c r="K44" s="156">
        <v>0</v>
      </c>
      <c r="L44" s="157">
        <v>0</v>
      </c>
      <c r="M44" s="153">
        <f t="shared" si="9"/>
        <v>0</v>
      </c>
      <c r="N44" s="166">
        <v>0</v>
      </c>
      <c r="O44" s="167">
        <v>0</v>
      </c>
      <c r="P44" s="168">
        <v>0</v>
      </c>
      <c r="Q44" s="309">
        <f t="shared" si="0"/>
        <v>0</v>
      </c>
      <c r="R44" s="152">
        <f t="shared" si="1"/>
        <v>0</v>
      </c>
      <c r="S44" s="154">
        <f t="shared" si="2"/>
        <v>0</v>
      </c>
      <c r="T44" s="169">
        <f t="shared" si="3"/>
        <v>0</v>
      </c>
      <c r="U44" s="153">
        <f t="shared" si="4"/>
        <v>0</v>
      </c>
      <c r="V44" s="166">
        <f t="shared" si="5"/>
        <v>0</v>
      </c>
      <c r="W44" s="167">
        <f t="shared" si="6"/>
        <v>0</v>
      </c>
      <c r="X44" s="168">
        <f t="shared" si="7"/>
        <v>0</v>
      </c>
      <c r="Y44" s="14"/>
    </row>
    <row r="45" spans="1:25" s="7" customFormat="1" ht="12.75" customHeight="1">
      <c r="A45" s="233">
        <v>40527</v>
      </c>
      <c r="B45" s="28">
        <v>816</v>
      </c>
      <c r="C45" s="20" t="s">
        <v>1603</v>
      </c>
      <c r="D45" s="20" t="s">
        <v>590</v>
      </c>
      <c r="E45" s="28">
        <v>51</v>
      </c>
      <c r="F45" s="28" t="s">
        <v>1706</v>
      </c>
      <c r="G45" s="119">
        <v>74</v>
      </c>
      <c r="H45" s="150">
        <f t="shared" si="8"/>
        <v>3774</v>
      </c>
      <c r="I45" s="306">
        <v>6.5</v>
      </c>
      <c r="J45" s="155">
        <v>7.08</v>
      </c>
      <c r="K45" s="156">
        <v>3</v>
      </c>
      <c r="L45" s="157">
        <v>0.45</v>
      </c>
      <c r="M45" s="153">
        <f t="shared" si="9"/>
        <v>10.08</v>
      </c>
      <c r="N45" s="166">
        <v>1</v>
      </c>
      <c r="O45" s="167">
        <v>0.1</v>
      </c>
      <c r="P45" s="168">
        <v>0.1</v>
      </c>
      <c r="Q45" s="309">
        <f t="shared" si="0"/>
        <v>331.5</v>
      </c>
      <c r="R45" s="152">
        <f t="shared" si="1"/>
        <v>361.08</v>
      </c>
      <c r="S45" s="154">
        <f t="shared" si="2"/>
        <v>153</v>
      </c>
      <c r="T45" s="169">
        <f t="shared" si="3"/>
        <v>22.95</v>
      </c>
      <c r="U45" s="153">
        <f t="shared" si="4"/>
        <v>514.08000000000004</v>
      </c>
      <c r="V45" s="166">
        <f t="shared" si="5"/>
        <v>51</v>
      </c>
      <c r="W45" s="167">
        <f t="shared" si="6"/>
        <v>5.1000000000000005</v>
      </c>
      <c r="X45" s="168">
        <f t="shared" si="7"/>
        <v>5.1000000000000005</v>
      </c>
      <c r="Y45" s="14"/>
    </row>
    <row r="46" spans="1:25" s="7" customFormat="1" ht="12.75" customHeight="1">
      <c r="A46" s="233"/>
      <c r="B46" s="28"/>
      <c r="C46" s="20" t="s">
        <v>1603</v>
      </c>
      <c r="D46" s="20" t="s">
        <v>590</v>
      </c>
      <c r="E46" s="28">
        <v>5</v>
      </c>
      <c r="F46" s="28" t="s">
        <v>1604</v>
      </c>
      <c r="G46" s="119">
        <v>74</v>
      </c>
      <c r="H46" s="150">
        <f t="shared" si="8"/>
        <v>370</v>
      </c>
      <c r="I46" s="306">
        <v>6.5</v>
      </c>
      <c r="J46" s="155">
        <v>12.4</v>
      </c>
      <c r="K46" s="156">
        <v>3</v>
      </c>
      <c r="L46" s="157">
        <v>0.45</v>
      </c>
      <c r="M46" s="153">
        <f t="shared" si="9"/>
        <v>15.4</v>
      </c>
      <c r="N46" s="166">
        <v>1</v>
      </c>
      <c r="O46" s="167">
        <v>0.1</v>
      </c>
      <c r="P46" s="168">
        <v>0.1</v>
      </c>
      <c r="Q46" s="309">
        <f t="shared" si="0"/>
        <v>32.5</v>
      </c>
      <c r="R46" s="152">
        <f t="shared" si="1"/>
        <v>62</v>
      </c>
      <c r="S46" s="154">
        <f t="shared" si="2"/>
        <v>15</v>
      </c>
      <c r="T46" s="169">
        <f t="shared" si="3"/>
        <v>2.25</v>
      </c>
      <c r="U46" s="153">
        <f t="shared" si="4"/>
        <v>77</v>
      </c>
      <c r="V46" s="166">
        <f>N46*E46</f>
        <v>5</v>
      </c>
      <c r="W46" s="167">
        <f>O46*E46</f>
        <v>0.5</v>
      </c>
      <c r="X46" s="168">
        <f>P46*E46</f>
        <v>0.5</v>
      </c>
      <c r="Y46" s="14"/>
    </row>
    <row r="47" spans="1:25" s="7" customFormat="1" ht="12.75" customHeight="1">
      <c r="A47" s="233">
        <v>40527</v>
      </c>
      <c r="B47" s="28">
        <v>817</v>
      </c>
      <c r="C47" s="20" t="s">
        <v>1103</v>
      </c>
      <c r="D47" s="20" t="s">
        <v>42</v>
      </c>
      <c r="E47" s="28">
        <v>80</v>
      </c>
      <c r="F47" s="28" t="s">
        <v>1707</v>
      </c>
      <c r="G47" s="119">
        <v>42.5</v>
      </c>
      <c r="H47" s="150">
        <f t="shared" si="8"/>
        <v>3400</v>
      </c>
      <c r="I47" s="306">
        <v>3.5</v>
      </c>
      <c r="J47" s="155">
        <v>8.19</v>
      </c>
      <c r="K47" s="156">
        <v>1.1000000000000001</v>
      </c>
      <c r="L47" s="157">
        <v>0.17</v>
      </c>
      <c r="M47" s="153">
        <f t="shared" si="9"/>
        <v>9.2899999999999991</v>
      </c>
      <c r="N47" s="166">
        <v>0.33</v>
      </c>
      <c r="O47" s="167">
        <v>0.1</v>
      </c>
      <c r="P47" s="168">
        <v>0.1</v>
      </c>
      <c r="Q47" s="309">
        <f t="shared" si="0"/>
        <v>280</v>
      </c>
      <c r="R47" s="152">
        <f t="shared" si="1"/>
        <v>655.19999999999993</v>
      </c>
      <c r="S47" s="154">
        <f t="shared" si="2"/>
        <v>88</v>
      </c>
      <c r="T47" s="169">
        <f t="shared" si="3"/>
        <v>13.600000000000001</v>
      </c>
      <c r="U47" s="153">
        <f t="shared" si="4"/>
        <v>743.19999999999993</v>
      </c>
      <c r="V47" s="166">
        <f t="shared" si="5"/>
        <v>26.400000000000002</v>
      </c>
      <c r="W47" s="167">
        <f t="shared" si="6"/>
        <v>8</v>
      </c>
      <c r="X47" s="168">
        <f t="shared" si="7"/>
        <v>8</v>
      </c>
      <c r="Y47" s="14"/>
    </row>
    <row r="48" spans="1:25" s="7" customFormat="1" ht="12.75" customHeight="1">
      <c r="A48" s="233"/>
      <c r="B48" s="28"/>
      <c r="C48" s="20" t="s">
        <v>1103</v>
      </c>
      <c r="D48" s="20" t="s">
        <v>42</v>
      </c>
      <c r="E48" s="28">
        <v>68</v>
      </c>
      <c r="F48" s="28" t="s">
        <v>1708</v>
      </c>
      <c r="G48" s="119">
        <v>37</v>
      </c>
      <c r="H48" s="150">
        <f t="shared" si="8"/>
        <v>2516</v>
      </c>
      <c r="I48" s="306">
        <v>3.5</v>
      </c>
      <c r="J48" s="155">
        <v>8.19</v>
      </c>
      <c r="K48" s="156">
        <v>1.1000000000000001</v>
      </c>
      <c r="L48" s="157">
        <v>0.17</v>
      </c>
      <c r="M48" s="153">
        <f t="shared" si="9"/>
        <v>9.2899999999999991</v>
      </c>
      <c r="N48" s="166">
        <v>0.33</v>
      </c>
      <c r="O48" s="167">
        <v>0.1</v>
      </c>
      <c r="P48" s="168">
        <v>0.1</v>
      </c>
      <c r="Q48" s="309">
        <f t="shared" si="0"/>
        <v>238</v>
      </c>
      <c r="R48" s="152">
        <f t="shared" si="1"/>
        <v>556.91999999999996</v>
      </c>
      <c r="S48" s="154">
        <f t="shared" si="2"/>
        <v>74.800000000000011</v>
      </c>
      <c r="T48" s="169">
        <f t="shared" si="3"/>
        <v>11.56</v>
      </c>
      <c r="U48" s="153">
        <f t="shared" si="4"/>
        <v>631.71999999999991</v>
      </c>
      <c r="V48" s="166">
        <f>N48*E48</f>
        <v>22.44</v>
      </c>
      <c r="W48" s="167">
        <f>O48*E48</f>
        <v>6.8000000000000007</v>
      </c>
      <c r="X48" s="168">
        <f>P48*E48</f>
        <v>6.8000000000000007</v>
      </c>
      <c r="Y48" s="14"/>
    </row>
    <row r="49" spans="1:25" s="7" customFormat="1" ht="12.75" customHeight="1">
      <c r="A49" s="233">
        <v>40528</v>
      </c>
      <c r="B49" s="28">
        <v>818</v>
      </c>
      <c r="C49" s="20" t="s">
        <v>1699</v>
      </c>
      <c r="D49" s="20" t="s">
        <v>158</v>
      </c>
      <c r="E49" s="28">
        <v>5</v>
      </c>
      <c r="F49" s="28" t="s">
        <v>1709</v>
      </c>
      <c r="G49" s="119">
        <v>38.5</v>
      </c>
      <c r="H49" s="150">
        <f t="shared" si="8"/>
        <v>192.5</v>
      </c>
      <c r="I49" s="306">
        <v>3.5</v>
      </c>
      <c r="J49" s="155">
        <v>1.03</v>
      </c>
      <c r="K49" s="156">
        <v>0.7</v>
      </c>
      <c r="L49" s="157">
        <v>0.11</v>
      </c>
      <c r="M49" s="153">
        <f t="shared" si="9"/>
        <v>1.73</v>
      </c>
      <c r="N49" s="166">
        <v>0.33</v>
      </c>
      <c r="O49" s="167">
        <v>0.1</v>
      </c>
      <c r="P49" s="168">
        <v>0.1</v>
      </c>
      <c r="Q49" s="309">
        <f t="shared" si="0"/>
        <v>17.5</v>
      </c>
      <c r="R49" s="152">
        <f t="shared" si="1"/>
        <v>5.15</v>
      </c>
      <c r="S49" s="154">
        <f t="shared" si="2"/>
        <v>3.5</v>
      </c>
      <c r="T49" s="169">
        <f t="shared" si="3"/>
        <v>0.55000000000000004</v>
      </c>
      <c r="U49" s="153">
        <f t="shared" si="4"/>
        <v>8.65</v>
      </c>
      <c r="V49" s="166">
        <f t="shared" si="5"/>
        <v>1.6500000000000001</v>
      </c>
      <c r="W49" s="167">
        <f t="shared" si="6"/>
        <v>0.5</v>
      </c>
      <c r="X49" s="168">
        <f t="shared" si="7"/>
        <v>0.5</v>
      </c>
      <c r="Y49" s="14"/>
    </row>
    <row r="50" spans="1:25" s="7" customFormat="1" ht="12.75" customHeight="1">
      <c r="A50" s="233">
        <v>40528</v>
      </c>
      <c r="B50" s="28">
        <v>819</v>
      </c>
      <c r="C50" s="20" t="s">
        <v>1710</v>
      </c>
      <c r="D50" s="20" t="s">
        <v>1711</v>
      </c>
      <c r="E50" s="28">
        <v>30</v>
      </c>
      <c r="F50" s="28" t="s">
        <v>1712</v>
      </c>
      <c r="G50" s="119">
        <v>58.5</v>
      </c>
      <c r="H50" s="150">
        <f t="shared" si="8"/>
        <v>1755</v>
      </c>
      <c r="I50" s="306">
        <v>5.5</v>
      </c>
      <c r="J50" s="155">
        <v>16.89</v>
      </c>
      <c r="K50" s="156">
        <v>4.5</v>
      </c>
      <c r="L50" s="157">
        <v>0.68</v>
      </c>
      <c r="M50" s="153">
        <f t="shared" si="9"/>
        <v>21.39</v>
      </c>
      <c r="N50" s="166">
        <v>0.63</v>
      </c>
      <c r="O50" s="167">
        <v>0.1</v>
      </c>
      <c r="P50" s="168">
        <v>0.1</v>
      </c>
      <c r="Q50" s="309">
        <f t="shared" si="0"/>
        <v>165</v>
      </c>
      <c r="R50" s="152">
        <f t="shared" si="1"/>
        <v>506.70000000000005</v>
      </c>
      <c r="S50" s="154">
        <f t="shared" si="2"/>
        <v>135</v>
      </c>
      <c r="T50" s="169">
        <f t="shared" si="3"/>
        <v>20.400000000000002</v>
      </c>
      <c r="U50" s="153">
        <f t="shared" si="4"/>
        <v>641.70000000000005</v>
      </c>
      <c r="V50" s="166">
        <f t="shared" si="5"/>
        <v>18.899999999999999</v>
      </c>
      <c r="W50" s="167">
        <f t="shared" si="6"/>
        <v>3</v>
      </c>
      <c r="X50" s="168">
        <f t="shared" si="7"/>
        <v>3</v>
      </c>
      <c r="Y50" s="14"/>
    </row>
    <row r="51" spans="1:25" s="7" customFormat="1" ht="12.75" customHeight="1">
      <c r="A51" s="233">
        <v>40527</v>
      </c>
      <c r="B51" s="28">
        <v>820</v>
      </c>
      <c r="C51" s="20" t="s">
        <v>580</v>
      </c>
      <c r="D51" s="20" t="s">
        <v>24</v>
      </c>
      <c r="E51" s="28">
        <v>1</v>
      </c>
      <c r="F51" s="28" t="s">
        <v>1713</v>
      </c>
      <c r="G51" s="119">
        <v>55</v>
      </c>
      <c r="H51" s="150">
        <f t="shared" si="8"/>
        <v>55</v>
      </c>
      <c r="I51" s="306">
        <v>5</v>
      </c>
      <c r="J51" s="155">
        <v>6.27</v>
      </c>
      <c r="K51" s="156">
        <v>0</v>
      </c>
      <c r="L51" s="157">
        <v>0</v>
      </c>
      <c r="M51" s="153">
        <f t="shared" si="9"/>
        <v>6.27</v>
      </c>
      <c r="N51" s="166">
        <v>0.83</v>
      </c>
      <c r="O51" s="167">
        <v>0.1</v>
      </c>
      <c r="P51" s="240">
        <v>10</v>
      </c>
      <c r="Q51" s="309">
        <f t="shared" si="0"/>
        <v>5</v>
      </c>
      <c r="R51" s="152">
        <f t="shared" si="1"/>
        <v>6.27</v>
      </c>
      <c r="S51" s="154">
        <f t="shared" si="2"/>
        <v>0</v>
      </c>
      <c r="T51" s="169">
        <f t="shared" si="3"/>
        <v>0</v>
      </c>
      <c r="U51" s="153">
        <f t="shared" si="4"/>
        <v>6.27</v>
      </c>
      <c r="V51" s="166">
        <f t="shared" si="5"/>
        <v>0.83</v>
      </c>
      <c r="W51" s="167">
        <f t="shared" si="6"/>
        <v>0.1</v>
      </c>
      <c r="X51" s="168">
        <f t="shared" si="7"/>
        <v>10</v>
      </c>
      <c r="Y51" s="14"/>
    </row>
    <row r="52" spans="1:25" s="7" customFormat="1" ht="12.75" customHeight="1">
      <c r="A52" s="233">
        <v>40529</v>
      </c>
      <c r="B52" s="28">
        <v>821</v>
      </c>
      <c r="C52" s="20" t="s">
        <v>1667</v>
      </c>
      <c r="D52" s="20" t="s">
        <v>305</v>
      </c>
      <c r="E52" s="28">
        <v>93</v>
      </c>
      <c r="F52" s="28" t="s">
        <v>1714</v>
      </c>
      <c r="G52" s="119">
        <v>40</v>
      </c>
      <c r="H52" s="150">
        <f t="shared" si="8"/>
        <v>3720</v>
      </c>
      <c r="I52" s="306">
        <v>4</v>
      </c>
      <c r="J52" s="155">
        <v>9.3000000000000007</v>
      </c>
      <c r="K52" s="177">
        <v>2</v>
      </c>
      <c r="L52" s="157">
        <v>0.3</v>
      </c>
      <c r="M52" s="165">
        <f>J52+K52</f>
        <v>11.3</v>
      </c>
      <c r="N52" s="166">
        <v>0.33</v>
      </c>
      <c r="O52" s="167">
        <v>0.1</v>
      </c>
      <c r="P52" s="168">
        <v>0.25</v>
      </c>
      <c r="Q52" s="309">
        <f t="shared" si="0"/>
        <v>372</v>
      </c>
      <c r="R52" s="152">
        <f t="shared" si="1"/>
        <v>864.90000000000009</v>
      </c>
      <c r="S52" s="154">
        <f t="shared" si="2"/>
        <v>186</v>
      </c>
      <c r="T52" s="169">
        <f t="shared" si="3"/>
        <v>27.9</v>
      </c>
      <c r="U52" s="153">
        <f t="shared" si="4"/>
        <v>1050.9000000000001</v>
      </c>
      <c r="V52" s="166">
        <f t="shared" si="5"/>
        <v>30.69</v>
      </c>
      <c r="W52" s="167">
        <f t="shared" si="6"/>
        <v>9.3000000000000007</v>
      </c>
      <c r="X52" s="168">
        <f t="shared" si="7"/>
        <v>23.25</v>
      </c>
      <c r="Y52" s="14"/>
    </row>
    <row r="53" spans="1:25" s="7" customFormat="1" ht="12.75" customHeight="1">
      <c r="A53" s="233"/>
      <c r="B53" s="28"/>
      <c r="C53" s="20" t="s">
        <v>1667</v>
      </c>
      <c r="D53" s="20" t="s">
        <v>305</v>
      </c>
      <c r="E53" s="28">
        <v>50</v>
      </c>
      <c r="F53" s="28" t="s">
        <v>1715</v>
      </c>
      <c r="G53" s="119">
        <v>59.5</v>
      </c>
      <c r="H53" s="150">
        <f t="shared" si="8"/>
        <v>2975</v>
      </c>
      <c r="I53" s="306">
        <v>6</v>
      </c>
      <c r="J53" s="155">
        <v>10.62</v>
      </c>
      <c r="K53" s="156">
        <v>1.2</v>
      </c>
      <c r="L53" s="157">
        <v>0.18</v>
      </c>
      <c r="M53" s="153">
        <f t="shared" si="9"/>
        <v>11.819999999999999</v>
      </c>
      <c r="N53" s="166">
        <v>0.67</v>
      </c>
      <c r="O53" s="167">
        <v>0.1</v>
      </c>
      <c r="P53" s="168">
        <v>0.25</v>
      </c>
      <c r="Q53" s="309">
        <f t="shared" si="0"/>
        <v>300</v>
      </c>
      <c r="R53" s="152">
        <f t="shared" si="1"/>
        <v>531</v>
      </c>
      <c r="S53" s="154">
        <f t="shared" si="2"/>
        <v>60</v>
      </c>
      <c r="T53" s="169">
        <f t="shared" si="3"/>
        <v>9</v>
      </c>
      <c r="U53" s="153">
        <f t="shared" si="4"/>
        <v>590.99999999999989</v>
      </c>
      <c r="V53" s="166">
        <f t="shared" si="5"/>
        <v>33.5</v>
      </c>
      <c r="W53" s="167">
        <f t="shared" si="6"/>
        <v>5</v>
      </c>
      <c r="X53" s="168">
        <f t="shared" si="7"/>
        <v>12.5</v>
      </c>
      <c r="Y53" s="14"/>
    </row>
    <row r="54" spans="1:25" s="7" customFormat="1" ht="12.75" customHeight="1">
      <c r="A54" s="233">
        <v>40529</v>
      </c>
      <c r="B54" s="28">
        <v>822</v>
      </c>
      <c r="C54" s="20" t="s">
        <v>330</v>
      </c>
      <c r="D54" s="20" t="s">
        <v>24</v>
      </c>
      <c r="E54" s="28">
        <v>53</v>
      </c>
      <c r="F54" s="28" t="s">
        <v>1716</v>
      </c>
      <c r="G54" s="119">
        <v>5</v>
      </c>
      <c r="H54" s="150">
        <f t="shared" si="8"/>
        <v>265</v>
      </c>
      <c r="I54" s="306">
        <v>0.5</v>
      </c>
      <c r="J54" s="155">
        <v>2.85</v>
      </c>
      <c r="K54" s="177">
        <v>1</v>
      </c>
      <c r="L54" s="157">
        <v>0.15</v>
      </c>
      <c r="M54" s="165">
        <f t="shared" si="9"/>
        <v>3.85</v>
      </c>
      <c r="N54" s="166">
        <v>0</v>
      </c>
      <c r="O54" s="167">
        <v>0.1</v>
      </c>
      <c r="P54" s="168">
        <v>0.1</v>
      </c>
      <c r="Q54" s="309">
        <f t="shared" si="0"/>
        <v>26.5</v>
      </c>
      <c r="R54" s="178">
        <f t="shared" si="1"/>
        <v>151.05000000000001</v>
      </c>
      <c r="S54" s="154">
        <f t="shared" si="2"/>
        <v>53</v>
      </c>
      <c r="T54" s="169">
        <f t="shared" si="3"/>
        <v>7.9499999999999993</v>
      </c>
      <c r="U54" s="179">
        <f t="shared" si="4"/>
        <v>204.05</v>
      </c>
      <c r="V54" s="166">
        <f t="shared" si="5"/>
        <v>0</v>
      </c>
      <c r="W54" s="167">
        <f t="shared" si="6"/>
        <v>5.3000000000000007</v>
      </c>
      <c r="X54" s="168">
        <f t="shared" si="7"/>
        <v>5.3000000000000007</v>
      </c>
      <c r="Y54" s="14"/>
    </row>
    <row r="55" spans="1:25" s="7" customFormat="1" ht="12.75" customHeight="1">
      <c r="A55" s="233">
        <v>40529</v>
      </c>
      <c r="B55" s="28">
        <v>823</v>
      </c>
      <c r="C55" s="20" t="s">
        <v>1717</v>
      </c>
      <c r="D55" s="20" t="s">
        <v>653</v>
      </c>
      <c r="E55" s="28">
        <v>13</v>
      </c>
      <c r="F55" s="28" t="s">
        <v>1718</v>
      </c>
      <c r="G55" s="119">
        <v>70</v>
      </c>
      <c r="H55" s="150">
        <f t="shared" si="8"/>
        <v>910</v>
      </c>
      <c r="I55" s="306">
        <v>4.5</v>
      </c>
      <c r="J55" s="155">
        <v>19.190000000000001</v>
      </c>
      <c r="K55" s="156">
        <v>5</v>
      </c>
      <c r="L55" s="157">
        <v>0.75</v>
      </c>
      <c r="M55" s="153">
        <f t="shared" si="9"/>
        <v>24.19</v>
      </c>
      <c r="N55" s="166">
        <v>1.08</v>
      </c>
      <c r="O55" s="167">
        <v>0.2</v>
      </c>
      <c r="P55" s="168">
        <v>0.2</v>
      </c>
      <c r="Q55" s="309">
        <f t="shared" si="0"/>
        <v>58.5</v>
      </c>
      <c r="R55" s="152">
        <f t="shared" si="1"/>
        <v>249.47000000000003</v>
      </c>
      <c r="S55" s="154">
        <f t="shared" si="2"/>
        <v>65</v>
      </c>
      <c r="T55" s="169">
        <f t="shared" si="3"/>
        <v>9.75</v>
      </c>
      <c r="U55" s="153">
        <f t="shared" si="4"/>
        <v>314.47000000000003</v>
      </c>
      <c r="V55" s="166">
        <f t="shared" si="5"/>
        <v>14.040000000000001</v>
      </c>
      <c r="W55" s="167">
        <f t="shared" si="6"/>
        <v>2.6</v>
      </c>
      <c r="X55" s="168">
        <f t="shared" si="7"/>
        <v>2.6</v>
      </c>
      <c r="Y55" s="14"/>
    </row>
    <row r="56" spans="1:25" s="7" customFormat="1" ht="12.75" customHeight="1">
      <c r="A56" s="233"/>
      <c r="B56" s="28"/>
      <c r="C56" s="20" t="s">
        <v>1717</v>
      </c>
      <c r="D56" s="20" t="s">
        <v>653</v>
      </c>
      <c r="E56" s="28">
        <v>27</v>
      </c>
      <c r="F56" s="28" t="s">
        <v>1719</v>
      </c>
      <c r="G56" s="119">
        <v>75</v>
      </c>
      <c r="H56" s="150">
        <f t="shared" si="8"/>
        <v>2025</v>
      </c>
      <c r="I56" s="306">
        <v>4.5</v>
      </c>
      <c r="J56" s="155">
        <v>19.190000000000001</v>
      </c>
      <c r="K56" s="156">
        <v>5</v>
      </c>
      <c r="L56" s="157">
        <v>0.75</v>
      </c>
      <c r="M56" s="153">
        <f t="shared" si="9"/>
        <v>24.19</v>
      </c>
      <c r="N56" s="166">
        <v>1.08</v>
      </c>
      <c r="O56" s="167">
        <v>0.2</v>
      </c>
      <c r="P56" s="168">
        <v>0.2</v>
      </c>
      <c r="Q56" s="309">
        <f t="shared" si="0"/>
        <v>121.5</v>
      </c>
      <c r="R56" s="152">
        <f t="shared" si="1"/>
        <v>518.13</v>
      </c>
      <c r="S56" s="154">
        <f t="shared" si="2"/>
        <v>135</v>
      </c>
      <c r="T56" s="169">
        <f t="shared" si="3"/>
        <v>20.25</v>
      </c>
      <c r="U56" s="153">
        <f t="shared" si="4"/>
        <v>653.13</v>
      </c>
      <c r="V56" s="166">
        <f t="shared" si="5"/>
        <v>29.160000000000004</v>
      </c>
      <c r="W56" s="167">
        <f t="shared" si="6"/>
        <v>5.4</v>
      </c>
      <c r="X56" s="168">
        <f t="shared" si="7"/>
        <v>5.4</v>
      </c>
      <c r="Y56" s="14"/>
    </row>
    <row r="57" spans="1:25" s="7" customFormat="1" ht="12.75" customHeight="1">
      <c r="A57" s="146">
        <v>40532</v>
      </c>
      <c r="B57" s="28">
        <v>824</v>
      </c>
      <c r="C57" s="20" t="s">
        <v>425</v>
      </c>
      <c r="D57" s="20" t="s">
        <v>213</v>
      </c>
      <c r="E57" s="28">
        <v>20</v>
      </c>
      <c r="F57" s="28" t="s">
        <v>1722</v>
      </c>
      <c r="G57" s="119">
        <v>40</v>
      </c>
      <c r="H57" s="150">
        <f>E57*G57</f>
        <v>800</v>
      </c>
      <c r="I57" s="306">
        <v>5</v>
      </c>
      <c r="J57" s="155">
        <v>7.02</v>
      </c>
      <c r="K57" s="156">
        <v>0</v>
      </c>
      <c r="L57" s="157">
        <v>0</v>
      </c>
      <c r="M57" s="153">
        <f>J57+K57</f>
        <v>7.02</v>
      </c>
      <c r="N57" s="166">
        <v>0.57999999999999996</v>
      </c>
      <c r="O57" s="167">
        <v>0.1</v>
      </c>
      <c r="P57" s="168">
        <v>0.1</v>
      </c>
      <c r="Q57" s="309">
        <f>E57*I57</f>
        <v>100</v>
      </c>
      <c r="R57" s="152">
        <f>E57*J57</f>
        <v>140.39999999999998</v>
      </c>
      <c r="S57" s="154">
        <f>E57*K57</f>
        <v>0</v>
      </c>
      <c r="T57" s="169">
        <f>E57*L57</f>
        <v>0</v>
      </c>
      <c r="U57" s="153">
        <f>E57*M57</f>
        <v>140.39999999999998</v>
      </c>
      <c r="V57" s="166">
        <f>N57*E57</f>
        <v>11.6</v>
      </c>
      <c r="W57" s="167">
        <f>O57*E57</f>
        <v>2</v>
      </c>
      <c r="X57" s="168">
        <f>P57*E57</f>
        <v>2</v>
      </c>
      <c r="Y57" s="14"/>
    </row>
    <row r="58" spans="1:25" s="7" customFormat="1" ht="12.75" customHeight="1">
      <c r="A58" s="243">
        <v>40532</v>
      </c>
      <c r="B58" s="244">
        <v>825</v>
      </c>
      <c r="C58" s="245" t="s">
        <v>1723</v>
      </c>
      <c r="D58" s="245" t="s">
        <v>42</v>
      </c>
      <c r="E58" s="244">
        <v>1</v>
      </c>
      <c r="F58" s="244" t="s">
        <v>1724</v>
      </c>
      <c r="G58" s="246"/>
      <c r="H58" s="150">
        <f t="shared" ref="H58:H67" si="10">E58*G58</f>
        <v>0</v>
      </c>
      <c r="I58" s="306">
        <v>5</v>
      </c>
      <c r="J58" s="155">
        <v>7.24</v>
      </c>
      <c r="K58" s="156">
        <v>0</v>
      </c>
      <c r="L58" s="157">
        <v>0</v>
      </c>
      <c r="M58" s="153">
        <f t="shared" ref="M58:M67" si="11">J58+K58</f>
        <v>7.24</v>
      </c>
      <c r="N58" s="166">
        <v>0.57999999999999996</v>
      </c>
      <c r="O58" s="167">
        <v>0.1</v>
      </c>
      <c r="P58" s="168">
        <v>0.1</v>
      </c>
      <c r="Q58" s="309">
        <f t="shared" ref="Q58:Q67" si="12">E58*I58</f>
        <v>5</v>
      </c>
      <c r="R58" s="152">
        <f t="shared" ref="R58:R67" si="13">E58*J58</f>
        <v>7.24</v>
      </c>
      <c r="S58" s="154">
        <f t="shared" ref="S58:S67" si="14">E58*K58</f>
        <v>0</v>
      </c>
      <c r="T58" s="169">
        <f t="shared" ref="T58:T67" si="15">E58*L58</f>
        <v>0</v>
      </c>
      <c r="U58" s="153">
        <f t="shared" ref="U58:U67" si="16">E58*M58</f>
        <v>7.24</v>
      </c>
      <c r="V58" s="166">
        <f t="shared" ref="V58:V67" si="17">N58*E58</f>
        <v>0.57999999999999996</v>
      </c>
      <c r="W58" s="167">
        <f t="shared" ref="W58:W67" si="18">O58*E58</f>
        <v>0.1</v>
      </c>
      <c r="X58" s="168">
        <f t="shared" ref="X58:X67" si="19">P58*E58</f>
        <v>0.1</v>
      </c>
      <c r="Y58" s="14"/>
    </row>
    <row r="59" spans="1:25" s="7" customFormat="1" ht="12.75" customHeight="1">
      <c r="A59" s="243">
        <v>40532</v>
      </c>
      <c r="B59" s="244">
        <v>826</v>
      </c>
      <c r="C59" s="245" t="s">
        <v>580</v>
      </c>
      <c r="D59" s="245" t="s">
        <v>24</v>
      </c>
      <c r="E59" s="244">
        <v>10</v>
      </c>
      <c r="F59" s="244" t="s">
        <v>1725</v>
      </c>
      <c r="G59" s="246">
        <v>59.5</v>
      </c>
      <c r="H59" s="150">
        <f t="shared" si="10"/>
        <v>595</v>
      </c>
      <c r="I59" s="306">
        <v>8.5</v>
      </c>
      <c r="J59" s="155">
        <v>19.43</v>
      </c>
      <c r="K59" s="156">
        <v>3</v>
      </c>
      <c r="L59" s="157">
        <v>0.45</v>
      </c>
      <c r="M59" s="153">
        <f t="shared" si="11"/>
        <v>22.43</v>
      </c>
      <c r="N59" s="166">
        <v>0.25</v>
      </c>
      <c r="O59" s="167">
        <v>0.1</v>
      </c>
      <c r="P59" s="168">
        <v>0.2</v>
      </c>
      <c r="Q59" s="309">
        <f t="shared" si="12"/>
        <v>85</v>
      </c>
      <c r="R59" s="152">
        <f t="shared" si="13"/>
        <v>194.3</v>
      </c>
      <c r="S59" s="154">
        <f t="shared" si="14"/>
        <v>30</v>
      </c>
      <c r="T59" s="169">
        <f t="shared" si="15"/>
        <v>4.5</v>
      </c>
      <c r="U59" s="153">
        <f t="shared" si="16"/>
        <v>224.3</v>
      </c>
      <c r="V59" s="166">
        <f t="shared" si="17"/>
        <v>2.5</v>
      </c>
      <c r="W59" s="167">
        <f t="shared" si="18"/>
        <v>1</v>
      </c>
      <c r="X59" s="168">
        <f t="shared" si="19"/>
        <v>2</v>
      </c>
      <c r="Y59" s="14"/>
    </row>
    <row r="60" spans="1:25" s="7" customFormat="1" ht="12.75" customHeight="1">
      <c r="A60" s="146">
        <v>40534</v>
      </c>
      <c r="B60" s="28">
        <v>827</v>
      </c>
      <c r="C60" s="20" t="s">
        <v>1667</v>
      </c>
      <c r="D60" s="20" t="s">
        <v>232</v>
      </c>
      <c r="E60" s="28">
        <v>100</v>
      </c>
      <c r="F60" s="28" t="s">
        <v>1726</v>
      </c>
      <c r="G60" s="119">
        <v>12.5</v>
      </c>
      <c r="H60" s="150">
        <f t="shared" si="10"/>
        <v>1250</v>
      </c>
      <c r="I60" s="306">
        <v>1.5</v>
      </c>
      <c r="J60" s="155">
        <v>2.78</v>
      </c>
      <c r="K60" s="156">
        <v>1</v>
      </c>
      <c r="L60" s="157">
        <v>0.15</v>
      </c>
      <c r="M60" s="153">
        <f t="shared" si="11"/>
        <v>3.78</v>
      </c>
      <c r="N60" s="166">
        <v>0.21</v>
      </c>
      <c r="O60" s="167">
        <v>0.1</v>
      </c>
      <c r="P60" s="168">
        <v>0.1</v>
      </c>
      <c r="Q60" s="309">
        <f t="shared" si="12"/>
        <v>150</v>
      </c>
      <c r="R60" s="152">
        <f t="shared" si="13"/>
        <v>278</v>
      </c>
      <c r="S60" s="154">
        <f t="shared" si="14"/>
        <v>100</v>
      </c>
      <c r="T60" s="169">
        <f t="shared" si="15"/>
        <v>15</v>
      </c>
      <c r="U60" s="153">
        <f t="shared" si="16"/>
        <v>378</v>
      </c>
      <c r="V60" s="166">
        <f t="shared" si="17"/>
        <v>21</v>
      </c>
      <c r="W60" s="167">
        <f t="shared" si="18"/>
        <v>10</v>
      </c>
      <c r="X60" s="168">
        <f t="shared" si="19"/>
        <v>10</v>
      </c>
      <c r="Y60" s="14"/>
    </row>
    <row r="61" spans="1:25" s="7" customFormat="1" ht="12.75" customHeight="1">
      <c r="A61" s="243">
        <v>40534</v>
      </c>
      <c r="B61" s="244">
        <v>828</v>
      </c>
      <c r="C61" s="245" t="s">
        <v>425</v>
      </c>
      <c r="D61" s="245" t="s">
        <v>42</v>
      </c>
      <c r="E61" s="244">
        <v>1</v>
      </c>
      <c r="F61" s="244" t="s">
        <v>1727</v>
      </c>
      <c r="G61" s="246">
        <v>59.5</v>
      </c>
      <c r="H61" s="150">
        <f t="shared" si="10"/>
        <v>59.5</v>
      </c>
      <c r="I61" s="306">
        <v>8.5</v>
      </c>
      <c r="J61" s="155">
        <v>9.6</v>
      </c>
      <c r="K61" s="156">
        <v>3</v>
      </c>
      <c r="L61" s="157">
        <v>0.45</v>
      </c>
      <c r="M61" s="153">
        <f t="shared" si="11"/>
        <v>12.6</v>
      </c>
      <c r="N61" s="166">
        <v>0.57999999999999996</v>
      </c>
      <c r="O61" s="167">
        <v>0.1</v>
      </c>
      <c r="P61" s="168">
        <v>0.2</v>
      </c>
      <c r="Q61" s="309">
        <f t="shared" si="12"/>
        <v>8.5</v>
      </c>
      <c r="R61" s="152">
        <f t="shared" si="13"/>
        <v>9.6</v>
      </c>
      <c r="S61" s="154">
        <f t="shared" si="14"/>
        <v>3</v>
      </c>
      <c r="T61" s="169">
        <f t="shared" si="15"/>
        <v>0.45</v>
      </c>
      <c r="U61" s="153">
        <f t="shared" si="16"/>
        <v>12.6</v>
      </c>
      <c r="V61" s="166">
        <f t="shared" si="17"/>
        <v>0.57999999999999996</v>
      </c>
      <c r="W61" s="167">
        <f t="shared" si="18"/>
        <v>0.1</v>
      </c>
      <c r="X61" s="168">
        <f t="shared" si="19"/>
        <v>0.2</v>
      </c>
      <c r="Y61" s="14"/>
    </row>
    <row r="62" spans="1:25" s="7" customFormat="1" ht="12.75" customHeight="1">
      <c r="A62" s="146">
        <v>40534</v>
      </c>
      <c r="B62" s="28">
        <v>829</v>
      </c>
      <c r="C62" s="20" t="s">
        <v>1723</v>
      </c>
      <c r="D62" s="20" t="s">
        <v>42</v>
      </c>
      <c r="E62" s="28">
        <v>23</v>
      </c>
      <c r="F62" s="28" t="s">
        <v>1728</v>
      </c>
      <c r="G62" s="119">
        <v>72.5</v>
      </c>
      <c r="H62" s="150">
        <f>E62*G62</f>
        <v>1667.5</v>
      </c>
      <c r="I62" s="306">
        <v>7.5</v>
      </c>
      <c r="J62" s="155">
        <v>11.78</v>
      </c>
      <c r="K62" s="156">
        <v>2</v>
      </c>
      <c r="L62" s="157">
        <v>0.3</v>
      </c>
      <c r="M62" s="153">
        <f>J62+K62</f>
        <v>13.78</v>
      </c>
      <c r="N62" s="166">
        <v>0.75</v>
      </c>
      <c r="O62" s="167">
        <v>0.15</v>
      </c>
      <c r="P62" s="168">
        <v>0.15</v>
      </c>
      <c r="Q62" s="309">
        <f>E62*I62</f>
        <v>172.5</v>
      </c>
      <c r="R62" s="152">
        <f>E62*J62</f>
        <v>270.94</v>
      </c>
      <c r="S62" s="154">
        <f>E62*K62</f>
        <v>46</v>
      </c>
      <c r="T62" s="169">
        <f>E62*L62</f>
        <v>6.8999999999999995</v>
      </c>
      <c r="U62" s="153">
        <f>E62*M62</f>
        <v>316.94</v>
      </c>
      <c r="V62" s="166">
        <f>N62*E62</f>
        <v>17.25</v>
      </c>
      <c r="W62" s="167">
        <f>O62*E62</f>
        <v>3.4499999999999997</v>
      </c>
      <c r="X62" s="168">
        <f>P62*E62</f>
        <v>3.4499999999999997</v>
      </c>
      <c r="Y62" s="14"/>
    </row>
    <row r="63" spans="1:25" s="7" customFormat="1" ht="12.75" customHeight="1">
      <c r="A63" s="146"/>
      <c r="B63" s="28"/>
      <c r="C63" s="20" t="s">
        <v>1723</v>
      </c>
      <c r="D63" s="20" t="s">
        <v>42</v>
      </c>
      <c r="E63" s="28">
        <v>2</v>
      </c>
      <c r="F63" s="28" t="s">
        <v>1729</v>
      </c>
      <c r="G63" s="119">
        <v>72.5</v>
      </c>
      <c r="H63" s="150">
        <f>E63*G63</f>
        <v>145</v>
      </c>
      <c r="I63" s="306">
        <v>7.5</v>
      </c>
      <c r="J63" s="155">
        <v>11.78</v>
      </c>
      <c r="K63" s="156">
        <v>2</v>
      </c>
      <c r="L63" s="157">
        <v>0.3</v>
      </c>
      <c r="M63" s="153">
        <f>J63+K63</f>
        <v>13.78</v>
      </c>
      <c r="N63" s="166">
        <v>0.75</v>
      </c>
      <c r="O63" s="167">
        <v>0.15</v>
      </c>
      <c r="P63" s="168">
        <v>0.15</v>
      </c>
      <c r="Q63" s="309">
        <f>E63*I63</f>
        <v>15</v>
      </c>
      <c r="R63" s="152">
        <f>E63*J63</f>
        <v>23.56</v>
      </c>
      <c r="S63" s="154">
        <f>E63*K63</f>
        <v>4</v>
      </c>
      <c r="T63" s="169">
        <f>E63*L63</f>
        <v>0.6</v>
      </c>
      <c r="U63" s="153">
        <f>E63*M63</f>
        <v>27.56</v>
      </c>
      <c r="V63" s="166">
        <f>N63*E63</f>
        <v>1.5</v>
      </c>
      <c r="W63" s="167">
        <f>O63*E63</f>
        <v>0.3</v>
      </c>
      <c r="X63" s="168">
        <f>P63*E63</f>
        <v>0.3</v>
      </c>
      <c r="Y63" s="14"/>
    </row>
    <row r="64" spans="1:25" s="7" customFormat="1" ht="12.75" customHeight="1">
      <c r="A64" s="146"/>
      <c r="B64" s="28"/>
      <c r="C64" s="20" t="s">
        <v>1723</v>
      </c>
      <c r="D64" s="20" t="s">
        <v>42</v>
      </c>
      <c r="E64" s="28">
        <v>8</v>
      </c>
      <c r="F64" s="28" t="s">
        <v>1730</v>
      </c>
      <c r="G64" s="119">
        <v>72.5</v>
      </c>
      <c r="H64" s="150">
        <f>E64*G64</f>
        <v>580</v>
      </c>
      <c r="I64" s="306">
        <v>7.5</v>
      </c>
      <c r="J64" s="155">
        <v>11.78</v>
      </c>
      <c r="K64" s="156">
        <v>2</v>
      </c>
      <c r="L64" s="157">
        <v>0.3</v>
      </c>
      <c r="M64" s="153">
        <f>J64+K64</f>
        <v>13.78</v>
      </c>
      <c r="N64" s="166">
        <v>0.75</v>
      </c>
      <c r="O64" s="167">
        <v>0.15</v>
      </c>
      <c r="P64" s="168">
        <v>0.15</v>
      </c>
      <c r="Q64" s="309">
        <f>E64*I64</f>
        <v>60</v>
      </c>
      <c r="R64" s="152">
        <f>E64*J64</f>
        <v>94.24</v>
      </c>
      <c r="S64" s="154">
        <f>E64*K64</f>
        <v>16</v>
      </c>
      <c r="T64" s="169">
        <f>E64*L64</f>
        <v>2.4</v>
      </c>
      <c r="U64" s="153">
        <f>E64*M64</f>
        <v>110.24</v>
      </c>
      <c r="V64" s="166">
        <f>N64*E64</f>
        <v>6</v>
      </c>
      <c r="W64" s="167">
        <f>O64*E64</f>
        <v>1.2</v>
      </c>
      <c r="X64" s="168">
        <f>P64*E64</f>
        <v>1.2</v>
      </c>
      <c r="Y64" s="14"/>
    </row>
    <row r="65" spans="1:25" s="7" customFormat="1" ht="12.75" customHeight="1">
      <c r="A65" s="146"/>
      <c r="B65" s="28"/>
      <c r="C65" s="20" t="s">
        <v>1723</v>
      </c>
      <c r="D65" s="20" t="s">
        <v>42</v>
      </c>
      <c r="E65" s="28">
        <v>1</v>
      </c>
      <c r="F65" s="28" t="s">
        <v>1731</v>
      </c>
      <c r="G65" s="119">
        <v>72.5</v>
      </c>
      <c r="H65" s="150">
        <f>E65*G65</f>
        <v>72.5</v>
      </c>
      <c r="I65" s="306">
        <v>7.5</v>
      </c>
      <c r="J65" s="155">
        <v>11.78</v>
      </c>
      <c r="K65" s="156">
        <v>2</v>
      </c>
      <c r="L65" s="157">
        <v>0.3</v>
      </c>
      <c r="M65" s="153">
        <f>J65+K65</f>
        <v>13.78</v>
      </c>
      <c r="N65" s="166">
        <v>0.75</v>
      </c>
      <c r="O65" s="167">
        <v>0.15</v>
      </c>
      <c r="P65" s="168">
        <v>0.15</v>
      </c>
      <c r="Q65" s="309">
        <f>E65*I65</f>
        <v>7.5</v>
      </c>
      <c r="R65" s="152">
        <f>E65*J65</f>
        <v>11.78</v>
      </c>
      <c r="S65" s="154">
        <f>E65*K65</f>
        <v>2</v>
      </c>
      <c r="T65" s="169">
        <f>E65*L65</f>
        <v>0.3</v>
      </c>
      <c r="U65" s="153">
        <f>E65*M65</f>
        <v>13.78</v>
      </c>
      <c r="V65" s="166">
        <f>N65*E65</f>
        <v>0.75</v>
      </c>
      <c r="W65" s="167">
        <f>O65*E65</f>
        <v>0.15</v>
      </c>
      <c r="X65" s="168">
        <f>P65*E65</f>
        <v>0.15</v>
      </c>
      <c r="Y65" s="14"/>
    </row>
    <row r="66" spans="1:25" s="7" customFormat="1" ht="12.75" customHeight="1">
      <c r="A66" s="243">
        <v>40534</v>
      </c>
      <c r="B66" s="244">
        <v>830</v>
      </c>
      <c r="C66" s="245" t="s">
        <v>678</v>
      </c>
      <c r="D66" s="245" t="s">
        <v>679</v>
      </c>
      <c r="E66" s="244">
        <v>2</v>
      </c>
      <c r="F66" s="244" t="s">
        <v>1732</v>
      </c>
      <c r="G66" s="246"/>
      <c r="H66" s="150">
        <f t="shared" si="10"/>
        <v>0</v>
      </c>
      <c r="I66" s="306">
        <v>0</v>
      </c>
      <c r="J66" s="155">
        <v>0</v>
      </c>
      <c r="K66" s="156">
        <v>0</v>
      </c>
      <c r="L66" s="157">
        <v>0</v>
      </c>
      <c r="M66" s="153">
        <f t="shared" si="11"/>
        <v>0</v>
      </c>
      <c r="N66" s="166">
        <v>0</v>
      </c>
      <c r="O66" s="167">
        <v>0</v>
      </c>
      <c r="P66" s="168">
        <v>0</v>
      </c>
      <c r="Q66" s="309">
        <f t="shared" si="12"/>
        <v>0</v>
      </c>
      <c r="R66" s="152">
        <f t="shared" si="13"/>
        <v>0</v>
      </c>
      <c r="S66" s="154">
        <f t="shared" si="14"/>
        <v>0</v>
      </c>
      <c r="T66" s="169">
        <f t="shared" si="15"/>
        <v>0</v>
      </c>
      <c r="U66" s="153">
        <f t="shared" si="16"/>
        <v>0</v>
      </c>
      <c r="V66" s="166">
        <f t="shared" si="17"/>
        <v>0</v>
      </c>
      <c r="W66" s="167">
        <f t="shared" si="18"/>
        <v>0</v>
      </c>
      <c r="X66" s="168">
        <f t="shared" si="19"/>
        <v>0</v>
      </c>
      <c r="Y66" s="14"/>
    </row>
    <row r="67" spans="1:25" s="7" customFormat="1" ht="12.75" customHeight="1">
      <c r="A67" s="243"/>
      <c r="B67" s="244"/>
      <c r="C67" s="245" t="s">
        <v>678</v>
      </c>
      <c r="D67" s="245" t="s">
        <v>679</v>
      </c>
      <c r="E67" s="244">
        <v>1</v>
      </c>
      <c r="F67" s="244" t="s">
        <v>1733</v>
      </c>
      <c r="G67" s="246"/>
      <c r="H67" s="150">
        <f t="shared" si="10"/>
        <v>0</v>
      </c>
      <c r="I67" s="306">
        <v>0</v>
      </c>
      <c r="J67" s="155">
        <v>0</v>
      </c>
      <c r="K67" s="156">
        <v>0</v>
      </c>
      <c r="L67" s="157">
        <v>0</v>
      </c>
      <c r="M67" s="153">
        <f t="shared" si="11"/>
        <v>0</v>
      </c>
      <c r="N67" s="166">
        <v>0</v>
      </c>
      <c r="O67" s="167">
        <v>0</v>
      </c>
      <c r="P67" s="168">
        <v>0</v>
      </c>
      <c r="Q67" s="309">
        <f t="shared" si="12"/>
        <v>0</v>
      </c>
      <c r="R67" s="152">
        <f t="shared" si="13"/>
        <v>0</v>
      </c>
      <c r="S67" s="154">
        <f t="shared" si="14"/>
        <v>0</v>
      </c>
      <c r="T67" s="169">
        <f t="shared" si="15"/>
        <v>0</v>
      </c>
      <c r="U67" s="153">
        <f t="shared" si="16"/>
        <v>0</v>
      </c>
      <c r="V67" s="166">
        <f t="shared" si="17"/>
        <v>0</v>
      </c>
      <c r="W67" s="167">
        <f t="shared" si="18"/>
        <v>0</v>
      </c>
      <c r="X67" s="168">
        <f t="shared" si="19"/>
        <v>0</v>
      </c>
      <c r="Y67" s="14"/>
    </row>
    <row r="68" spans="1:25" s="7" customFormat="1" ht="12.75" customHeight="1">
      <c r="A68" s="146">
        <v>40534</v>
      </c>
      <c r="B68" s="28">
        <v>831</v>
      </c>
      <c r="C68" s="20" t="s">
        <v>678</v>
      </c>
      <c r="D68" s="20" t="s">
        <v>679</v>
      </c>
      <c r="E68" s="28">
        <v>3</v>
      </c>
      <c r="F68" s="28" t="s">
        <v>1734</v>
      </c>
      <c r="G68" s="119">
        <v>49.5</v>
      </c>
      <c r="H68" s="150">
        <f>E68*G68</f>
        <v>148.5</v>
      </c>
      <c r="I68" s="306">
        <v>0</v>
      </c>
      <c r="J68" s="155">
        <v>0</v>
      </c>
      <c r="K68" s="156">
        <v>0</v>
      </c>
      <c r="L68" s="157">
        <v>0</v>
      </c>
      <c r="M68" s="153">
        <f>J68+K68</f>
        <v>0</v>
      </c>
      <c r="N68" s="166">
        <v>0</v>
      </c>
      <c r="O68" s="167">
        <v>0</v>
      </c>
      <c r="P68" s="168">
        <v>0</v>
      </c>
      <c r="Q68" s="309">
        <f>E68*I68</f>
        <v>0</v>
      </c>
      <c r="R68" s="152">
        <f>E68*J68</f>
        <v>0</v>
      </c>
      <c r="S68" s="154">
        <f>E68*K68</f>
        <v>0</v>
      </c>
      <c r="T68" s="169">
        <f>E68*L68</f>
        <v>0</v>
      </c>
      <c r="U68" s="153">
        <f>E68*M68</f>
        <v>0</v>
      </c>
      <c r="V68" s="166">
        <f>N68*E68</f>
        <v>0</v>
      </c>
      <c r="W68" s="167">
        <f>O68*E68</f>
        <v>0</v>
      </c>
      <c r="X68" s="168">
        <f>P68*E68</f>
        <v>0</v>
      </c>
      <c r="Y68" s="14"/>
    </row>
    <row r="69" spans="1:25" s="7" customFormat="1" ht="12.75" customHeight="1">
      <c r="A69" s="146"/>
      <c r="B69" s="28"/>
      <c r="C69" s="20" t="s">
        <v>678</v>
      </c>
      <c r="D69" s="20" t="s">
        <v>679</v>
      </c>
      <c r="E69" s="28">
        <v>2</v>
      </c>
      <c r="F69" s="28" t="s">
        <v>1735</v>
      </c>
      <c r="G69" s="119">
        <v>45</v>
      </c>
      <c r="H69" s="150">
        <f>E69*G69</f>
        <v>90</v>
      </c>
      <c r="I69" s="306">
        <v>0</v>
      </c>
      <c r="J69" s="155">
        <v>0</v>
      </c>
      <c r="K69" s="156">
        <v>0</v>
      </c>
      <c r="L69" s="157">
        <v>0</v>
      </c>
      <c r="M69" s="153">
        <f>J69+K69</f>
        <v>0</v>
      </c>
      <c r="N69" s="166">
        <v>0</v>
      </c>
      <c r="O69" s="167">
        <v>0</v>
      </c>
      <c r="P69" s="168">
        <v>0</v>
      </c>
      <c r="Q69" s="309">
        <f>E69*I69</f>
        <v>0</v>
      </c>
      <c r="R69" s="152">
        <f>E69*J69</f>
        <v>0</v>
      </c>
      <c r="S69" s="154">
        <f>E69*K69</f>
        <v>0</v>
      </c>
      <c r="T69" s="169">
        <f>E69*L69</f>
        <v>0</v>
      </c>
      <c r="U69" s="153">
        <f>E69*M69</f>
        <v>0</v>
      </c>
      <c r="V69" s="166">
        <f>N69*E69</f>
        <v>0</v>
      </c>
      <c r="W69" s="167">
        <f>O69*E69</f>
        <v>0</v>
      </c>
      <c r="X69" s="168">
        <f>P69*E69</f>
        <v>0</v>
      </c>
      <c r="Y69" s="14"/>
    </row>
    <row r="70" spans="1:25" s="7" customFormat="1" ht="12.75" customHeight="1">
      <c r="A70" s="146"/>
      <c r="B70" s="28"/>
      <c r="C70" s="20" t="s">
        <v>678</v>
      </c>
      <c r="D70" s="20" t="s">
        <v>679</v>
      </c>
      <c r="E70" s="28">
        <v>1</v>
      </c>
      <c r="F70" s="28" t="s">
        <v>1736</v>
      </c>
      <c r="G70" s="119">
        <v>44.5</v>
      </c>
      <c r="H70" s="150">
        <f>E70*G70</f>
        <v>44.5</v>
      </c>
      <c r="I70" s="306">
        <v>0</v>
      </c>
      <c r="J70" s="155">
        <v>0</v>
      </c>
      <c r="K70" s="156">
        <v>0</v>
      </c>
      <c r="L70" s="157">
        <v>0</v>
      </c>
      <c r="M70" s="153">
        <f>J70+K70</f>
        <v>0</v>
      </c>
      <c r="N70" s="166">
        <v>0</v>
      </c>
      <c r="O70" s="167">
        <v>0</v>
      </c>
      <c r="P70" s="168">
        <v>0</v>
      </c>
      <c r="Q70" s="309">
        <f>E70*I70</f>
        <v>0</v>
      </c>
      <c r="R70" s="152">
        <f>E70*J70</f>
        <v>0</v>
      </c>
      <c r="S70" s="154">
        <f>E70*K70</f>
        <v>0</v>
      </c>
      <c r="T70" s="169">
        <f>E70*L70</f>
        <v>0</v>
      </c>
      <c r="U70" s="153">
        <f>E70*M70</f>
        <v>0</v>
      </c>
      <c r="V70" s="166">
        <f>N70*E70</f>
        <v>0</v>
      </c>
      <c r="W70" s="167">
        <f>O70*E70</f>
        <v>0</v>
      </c>
      <c r="X70" s="168">
        <f>P70*E70</f>
        <v>0</v>
      </c>
      <c r="Y70" s="14"/>
    </row>
    <row r="71" spans="1:25" s="7" customFormat="1" ht="12.75" customHeight="1">
      <c r="A71" s="243"/>
      <c r="B71" s="244"/>
      <c r="C71" s="245" t="s">
        <v>678</v>
      </c>
      <c r="D71" s="245" t="s">
        <v>679</v>
      </c>
      <c r="E71" s="244">
        <v>1</v>
      </c>
      <c r="F71" s="244" t="s">
        <v>1737</v>
      </c>
      <c r="G71" s="246"/>
      <c r="H71" s="150">
        <f>E71*G71</f>
        <v>0</v>
      </c>
      <c r="I71" s="306">
        <v>0</v>
      </c>
      <c r="J71" s="155">
        <v>0</v>
      </c>
      <c r="K71" s="156">
        <v>0</v>
      </c>
      <c r="L71" s="157">
        <v>0</v>
      </c>
      <c r="M71" s="153">
        <f>J71+K71</f>
        <v>0</v>
      </c>
      <c r="N71" s="166">
        <v>0</v>
      </c>
      <c r="O71" s="167">
        <v>0</v>
      </c>
      <c r="P71" s="168">
        <v>0</v>
      </c>
      <c r="Q71" s="309">
        <f>E71*I71</f>
        <v>0</v>
      </c>
      <c r="R71" s="152">
        <f>E71*J71</f>
        <v>0</v>
      </c>
      <c r="S71" s="154">
        <f>E71*K71</f>
        <v>0</v>
      </c>
      <c r="T71" s="169">
        <f>E71*L71</f>
        <v>0</v>
      </c>
      <c r="U71" s="153">
        <f>E71*M71</f>
        <v>0</v>
      </c>
      <c r="V71" s="166">
        <f>N71*E71</f>
        <v>0</v>
      </c>
      <c r="W71" s="167">
        <f>O71*E71</f>
        <v>0</v>
      </c>
      <c r="X71" s="168">
        <f>P71*E71</f>
        <v>0</v>
      </c>
      <c r="Y71" s="14"/>
    </row>
    <row r="72" spans="1:25" s="7" customFormat="1" ht="12.75" customHeight="1" thickBot="1">
      <c r="A72" s="247">
        <v>40536</v>
      </c>
      <c r="B72" s="108">
        <v>832</v>
      </c>
      <c r="C72" s="107" t="s">
        <v>21</v>
      </c>
      <c r="D72" s="107" t="s">
        <v>42</v>
      </c>
      <c r="E72" s="108">
        <v>111</v>
      </c>
      <c r="F72" s="108" t="s">
        <v>1738</v>
      </c>
      <c r="G72" s="120">
        <v>59.5</v>
      </c>
      <c r="H72" s="150">
        <f>E72*G72</f>
        <v>6604.5</v>
      </c>
      <c r="I72" s="306">
        <v>8.5</v>
      </c>
      <c r="J72" s="155">
        <v>13.61</v>
      </c>
      <c r="K72" s="156">
        <v>2</v>
      </c>
      <c r="L72" s="157">
        <v>0.3</v>
      </c>
      <c r="M72" s="153">
        <f>J72+K72</f>
        <v>15.61</v>
      </c>
      <c r="N72" s="166">
        <v>0.57999999999999996</v>
      </c>
      <c r="O72" s="167">
        <v>0.1</v>
      </c>
      <c r="P72" s="168">
        <v>0.2</v>
      </c>
      <c r="Q72" s="309">
        <f>E72*I72</f>
        <v>943.5</v>
      </c>
      <c r="R72" s="152">
        <f>E72*J72</f>
        <v>1510.71</v>
      </c>
      <c r="S72" s="154">
        <f>E72*K72</f>
        <v>222</v>
      </c>
      <c r="T72" s="169">
        <f>E72*L72</f>
        <v>33.299999999999997</v>
      </c>
      <c r="U72" s="153">
        <f>E72*M72</f>
        <v>1732.71</v>
      </c>
      <c r="V72" s="166">
        <f>N72*E72</f>
        <v>64.38</v>
      </c>
      <c r="W72" s="167">
        <f>O72*E72</f>
        <v>11.100000000000001</v>
      </c>
      <c r="X72" s="168">
        <f>P72*E72</f>
        <v>22.200000000000003</v>
      </c>
      <c r="Y72" s="14"/>
    </row>
    <row r="73" spans="1:25" ht="20.25" customHeight="1" thickBot="1">
      <c r="A73" s="188"/>
      <c r="B73" s="188"/>
      <c r="C73" s="188"/>
      <c r="D73" s="188"/>
      <c r="E73" s="188"/>
      <c r="F73" s="189" t="s">
        <v>1292</v>
      </c>
      <c r="G73" s="190"/>
      <c r="H73" s="362">
        <f>SUM(H8:H56)</f>
        <v>107588.5</v>
      </c>
      <c r="I73" s="363"/>
      <c r="J73" s="78" t="s">
        <v>36</v>
      </c>
      <c r="K73" s="79"/>
      <c r="L73" s="80"/>
      <c r="M73" s="81"/>
      <c r="N73" s="73"/>
      <c r="O73" s="74"/>
      <c r="P73" s="75"/>
      <c r="Q73" s="312">
        <f t="shared" ref="Q73:X73" si="20">SUM(Q8:Q56)</f>
        <v>11115.5</v>
      </c>
      <c r="R73" s="98">
        <f t="shared" si="20"/>
        <v>21692.140000000003</v>
      </c>
      <c r="S73" s="99">
        <f t="shared" si="20"/>
        <v>3869.3500000000004</v>
      </c>
      <c r="T73" s="100">
        <f t="shared" si="20"/>
        <v>586.86</v>
      </c>
      <c r="U73" s="101">
        <f t="shared" si="20"/>
        <v>25286.990000000009</v>
      </c>
      <c r="V73" s="73">
        <f>SUM(V8:V72)</f>
        <v>1728.6399999999999</v>
      </c>
      <c r="W73" s="88">
        <f>SUM(W8:W72)</f>
        <v>546.9000000000002</v>
      </c>
      <c r="X73" s="89">
        <f>SUM(X8:X72)</f>
        <v>613.59000000000015</v>
      </c>
      <c r="Y73" s="32" t="s">
        <v>36</v>
      </c>
    </row>
    <row r="74" spans="1:25" ht="20.25" customHeight="1" thickBot="1">
      <c r="A74" s="32"/>
      <c r="B74" s="32"/>
      <c r="C74" s="32"/>
      <c r="D74" s="32"/>
      <c r="E74" s="32"/>
      <c r="F74" s="189" t="s">
        <v>1292</v>
      </c>
      <c r="G74" s="72"/>
      <c r="H74" s="364">
        <f>H73/7.06</f>
        <v>15239.164305949009</v>
      </c>
      <c r="I74" s="365"/>
      <c r="J74" s="78" t="s">
        <v>407</v>
      </c>
      <c r="K74" s="79"/>
      <c r="L74" s="80"/>
      <c r="M74" s="81"/>
      <c r="N74" s="73"/>
      <c r="O74" s="74"/>
      <c r="P74" s="77"/>
      <c r="Q74" s="313">
        <f t="shared" ref="Q74:X74" si="21">Q73/7.06</f>
        <v>1574.4334277620399</v>
      </c>
      <c r="R74" s="82">
        <f t="shared" si="21"/>
        <v>3072.5410764872527</v>
      </c>
      <c r="S74" s="79">
        <f t="shared" si="21"/>
        <v>548.06657223796037</v>
      </c>
      <c r="T74" s="80">
        <f t="shared" si="21"/>
        <v>83.124645892351282</v>
      </c>
      <c r="U74" s="81">
        <f t="shared" si="21"/>
        <v>3581.7266288951855</v>
      </c>
      <c r="V74" s="73">
        <f t="shared" si="21"/>
        <v>244.8498583569405</v>
      </c>
      <c r="W74" s="88">
        <f t="shared" si="21"/>
        <v>77.464589235127505</v>
      </c>
      <c r="X74" s="89">
        <f t="shared" si="21"/>
        <v>86.91076487252127</v>
      </c>
      <c r="Y74" s="32" t="s">
        <v>407</v>
      </c>
    </row>
  </sheetData>
  <autoFilter ref="A7:S56">
    <filterColumn colId="7"/>
    <filterColumn colId="11"/>
    <filterColumn colId="16"/>
  </autoFilter>
  <mergeCells count="3">
    <mergeCell ref="H73:I73"/>
    <mergeCell ref="H74:I74"/>
    <mergeCell ref="G3:K4"/>
  </mergeCells>
  <pageMargins left="0.19685039370078741" right="0.19685039370078741" top="0.98425196850393704" bottom="0.98425196850393704" header="0" footer="0"/>
  <pageSetup paperSize="5" scale="75" orientation="landscape" horizontalDpi="4294967294" verticalDpi="300" r:id="rId1"/>
  <headerFooter alignWithMargins="0"/>
  <drawing r:id="rId2"/>
</worksheet>
</file>

<file path=xl/worksheets/sheet2.xml><?xml version="1.0" encoding="utf-8"?>
<worksheet xmlns="http://schemas.openxmlformats.org/spreadsheetml/2006/main" xmlns:r="http://schemas.openxmlformats.org/officeDocument/2006/relationships">
  <sheetPr>
    <tabColor rgb="FFFF0000"/>
  </sheetPr>
  <dimension ref="A1:Y105"/>
  <sheetViews>
    <sheetView topLeftCell="C1" workbookViewId="0">
      <pane ySplit="7" topLeftCell="A76" activePane="bottomLeft" state="frozen"/>
      <selection pane="bottomLeft" activeCell="X100" sqref="X100"/>
    </sheetView>
  </sheetViews>
  <sheetFormatPr baseColWidth="10" defaultRowHeight="12.75"/>
  <cols>
    <col min="1" max="1" width="7.5703125" customWidth="1"/>
    <col min="2" max="2" width="6" customWidth="1"/>
    <col min="3" max="3" width="13.7109375" customWidth="1"/>
    <col min="4" max="4" width="12" customWidth="1"/>
    <col min="5" max="5" width="4.85546875" customWidth="1"/>
    <col min="6" max="6" width="28.42578125" customWidth="1"/>
    <col min="7" max="7" width="6.5703125" customWidth="1"/>
    <col min="8" max="8" width="8.28515625" customWidth="1"/>
    <col min="9" max="9" width="9.28515625" customWidth="1"/>
    <col min="10" max="10" width="10" customWidth="1"/>
    <col min="11" max="11" width="8.140625" customWidth="1"/>
    <col min="12" max="12" width="5.5703125" customWidth="1"/>
    <col min="13" max="13" width="11.140625" customWidth="1"/>
    <col min="14" max="14" width="9.28515625" customWidth="1"/>
    <col min="15" max="15" width="9.140625" customWidth="1"/>
    <col min="16" max="16" width="10" customWidth="1"/>
    <col min="17" max="17" width="8.28515625" customWidth="1"/>
    <col min="18" max="18" width="8.7109375" customWidth="1"/>
    <col min="19" max="19" width="8" customWidth="1"/>
    <col min="20" max="20" width="7.42578125" customWidth="1"/>
    <col min="21" max="21" width="1.7109375" customWidth="1"/>
    <col min="22" max="22" width="12.42578125" customWidth="1"/>
    <col min="23" max="23" width="10.28515625" customWidth="1"/>
    <col min="24" max="24" width="10.140625" customWidth="1"/>
    <col min="25" max="25" width="8" customWidth="1"/>
    <col min="26" max="26" width="16.140625" customWidth="1"/>
  </cols>
  <sheetData>
    <row r="1" spans="1:25" s="263" customFormat="1" ht="15.75" customHeight="1">
      <c r="A1" s="261" t="s">
        <v>12</v>
      </c>
      <c r="B1" s="262"/>
      <c r="C1" s="262"/>
    </row>
    <row r="2" spans="1:25" s="263" customFormat="1" ht="15.75" customHeight="1">
      <c r="A2" s="261" t="s">
        <v>13</v>
      </c>
      <c r="B2" s="262"/>
      <c r="C2" s="262"/>
      <c r="D2" s="264"/>
      <c r="P2" s="265"/>
      <c r="Q2" s="265"/>
      <c r="R2" s="265"/>
      <c r="S2" s="265"/>
    </row>
    <row r="3" spans="1:25" s="263" customFormat="1" ht="15.75" customHeight="1">
      <c r="A3" s="261" t="s">
        <v>14</v>
      </c>
      <c r="B3" s="262"/>
      <c r="C3" s="262"/>
      <c r="D3" s="264"/>
      <c r="F3" s="268"/>
      <c r="G3" s="369" t="s">
        <v>146</v>
      </c>
      <c r="H3" s="369"/>
      <c r="I3" s="369"/>
      <c r="J3" s="369"/>
      <c r="K3" s="369"/>
      <c r="L3" s="266"/>
      <c r="M3" s="266"/>
      <c r="P3" s="265"/>
      <c r="Q3" s="265"/>
      <c r="R3" s="265"/>
      <c r="S3" s="265"/>
    </row>
    <row r="4" spans="1:25" s="263" customFormat="1" ht="15.75" customHeight="1">
      <c r="A4" s="261" t="s">
        <v>34</v>
      </c>
      <c r="B4" s="262"/>
      <c r="C4" s="262"/>
      <c r="D4" s="264"/>
      <c r="F4" s="268"/>
      <c r="G4" s="369"/>
      <c r="H4" s="369"/>
      <c r="I4" s="369"/>
      <c r="J4" s="369"/>
      <c r="K4" s="369"/>
      <c r="L4" s="266"/>
      <c r="M4" s="266"/>
      <c r="P4" s="265"/>
      <c r="Q4" s="265"/>
      <c r="R4" s="265"/>
      <c r="S4" s="265"/>
    </row>
    <row r="5" spans="1:25" s="263" customFormat="1" ht="15.75" customHeight="1">
      <c r="A5" s="261" t="s">
        <v>15</v>
      </c>
      <c r="B5" s="262"/>
      <c r="C5" s="262"/>
      <c r="D5" s="264"/>
      <c r="E5" s="267"/>
      <c r="F5" s="267"/>
      <c r="G5" s="267"/>
      <c r="H5" s="267"/>
      <c r="I5" s="267"/>
      <c r="P5" s="265"/>
      <c r="Q5" s="265"/>
      <c r="R5" s="265"/>
      <c r="S5" s="265"/>
    </row>
    <row r="6" spans="1:25" ht="22.5" customHeight="1" thickBot="1">
      <c r="A6" s="255" t="s">
        <v>1740</v>
      </c>
      <c r="D6" s="1"/>
      <c r="N6" s="5"/>
    </row>
    <row r="7" spans="1:25" s="13" customFormat="1" ht="26.25" customHeight="1" thickBot="1">
      <c r="A7" s="275" t="s">
        <v>0</v>
      </c>
      <c r="B7" s="276" t="s">
        <v>1</v>
      </c>
      <c r="C7" s="275" t="s">
        <v>19</v>
      </c>
      <c r="D7" s="277" t="s">
        <v>18</v>
      </c>
      <c r="E7" s="278" t="s">
        <v>9</v>
      </c>
      <c r="F7" s="275" t="s">
        <v>2</v>
      </c>
      <c r="G7" s="279" t="s">
        <v>20</v>
      </c>
      <c r="H7" s="279" t="s">
        <v>405</v>
      </c>
      <c r="I7" s="354" t="s">
        <v>3</v>
      </c>
      <c r="J7" s="280" t="s">
        <v>10</v>
      </c>
      <c r="K7" s="281" t="s">
        <v>11</v>
      </c>
      <c r="L7" s="282" t="s">
        <v>29</v>
      </c>
      <c r="M7" s="283" t="s">
        <v>6</v>
      </c>
      <c r="N7" s="284" t="s">
        <v>147</v>
      </c>
      <c r="O7" s="285" t="s">
        <v>148</v>
      </c>
      <c r="P7" s="286" t="s">
        <v>149</v>
      </c>
      <c r="Q7" s="357" t="s">
        <v>8</v>
      </c>
      <c r="R7" s="280" t="s">
        <v>4</v>
      </c>
      <c r="S7" s="281" t="s">
        <v>5</v>
      </c>
      <c r="T7" s="282" t="s">
        <v>31</v>
      </c>
      <c r="U7" s="275" t="s">
        <v>7</v>
      </c>
      <c r="V7" s="284" t="s">
        <v>150</v>
      </c>
      <c r="W7" s="285" t="s">
        <v>151</v>
      </c>
      <c r="X7" s="286" t="s">
        <v>152</v>
      </c>
      <c r="Y7" s="275" t="s">
        <v>22</v>
      </c>
    </row>
    <row r="8" spans="1:25" s="7" customFormat="1" ht="12" customHeight="1">
      <c r="A8" s="269">
        <v>40210</v>
      </c>
      <c r="B8" s="271">
        <v>323</v>
      </c>
      <c r="C8" s="352" t="s">
        <v>814</v>
      </c>
      <c r="D8" s="272" t="s">
        <v>42</v>
      </c>
      <c r="E8" s="270">
        <v>6</v>
      </c>
      <c r="F8" s="271" t="s">
        <v>815</v>
      </c>
      <c r="G8" s="273">
        <v>46.5</v>
      </c>
      <c r="H8" s="149">
        <f>E8*G8</f>
        <v>279</v>
      </c>
      <c r="I8" s="355">
        <v>3.5</v>
      </c>
      <c r="J8" s="249">
        <v>2.0299999999999998</v>
      </c>
      <c r="K8" s="274">
        <v>10</v>
      </c>
      <c r="L8" s="251">
        <v>0.35</v>
      </c>
      <c r="M8" s="158">
        <f>J8+K8</f>
        <v>12.03</v>
      </c>
      <c r="N8" s="159">
        <v>0.35</v>
      </c>
      <c r="O8" s="160">
        <v>0.1</v>
      </c>
      <c r="P8" s="161">
        <v>0.1</v>
      </c>
      <c r="Q8" s="308">
        <f t="shared" ref="Q8:Q76" si="0">E8*I8</f>
        <v>21</v>
      </c>
      <c r="R8" s="162">
        <f t="shared" ref="R8:R76" si="1">E8*J8</f>
        <v>12.18</v>
      </c>
      <c r="S8" s="163">
        <f t="shared" ref="S8:S76" si="2">E8*K8</f>
        <v>60</v>
      </c>
      <c r="T8" s="164">
        <f t="shared" ref="T8:T76" si="3">E8*L8</f>
        <v>2.0999999999999996</v>
      </c>
      <c r="U8" s="158">
        <f t="shared" ref="U8:U76" si="4">E8*M8</f>
        <v>72.179999999999993</v>
      </c>
      <c r="V8" s="159">
        <f t="shared" ref="V8:V76" si="5">N8*E8</f>
        <v>2.0999999999999996</v>
      </c>
      <c r="W8" s="160">
        <f t="shared" ref="W8:W76" si="6">O8*E8</f>
        <v>0.60000000000000009</v>
      </c>
      <c r="X8" s="161">
        <f t="shared" ref="X8:X76" si="7">P8*E8</f>
        <v>0.60000000000000009</v>
      </c>
      <c r="Y8" s="252"/>
    </row>
    <row r="9" spans="1:25" s="7" customFormat="1" ht="12" customHeight="1">
      <c r="A9" s="232"/>
      <c r="B9" s="25"/>
      <c r="C9" s="21" t="s">
        <v>814</v>
      </c>
      <c r="D9" s="24" t="s">
        <v>42</v>
      </c>
      <c r="E9" s="25">
        <v>6</v>
      </c>
      <c r="F9" s="27" t="s">
        <v>816</v>
      </c>
      <c r="G9" s="181">
        <v>46.5</v>
      </c>
      <c r="H9" s="150">
        <f>E9*G9</f>
        <v>279</v>
      </c>
      <c r="I9" s="306">
        <v>3.5</v>
      </c>
      <c r="J9" s="155">
        <v>2.0299999999999998</v>
      </c>
      <c r="K9" s="177">
        <v>10</v>
      </c>
      <c r="L9" s="157">
        <v>0.35</v>
      </c>
      <c r="M9" s="165">
        <f>J9+K9</f>
        <v>12.03</v>
      </c>
      <c r="N9" s="166">
        <v>0.35</v>
      </c>
      <c r="O9" s="167">
        <v>0.1</v>
      </c>
      <c r="P9" s="168">
        <v>0.1</v>
      </c>
      <c r="Q9" s="309">
        <f t="shared" si="0"/>
        <v>21</v>
      </c>
      <c r="R9" s="152">
        <f t="shared" si="1"/>
        <v>12.18</v>
      </c>
      <c r="S9" s="154">
        <f t="shared" si="2"/>
        <v>60</v>
      </c>
      <c r="T9" s="169">
        <f t="shared" si="3"/>
        <v>2.0999999999999996</v>
      </c>
      <c r="U9" s="165">
        <f t="shared" si="4"/>
        <v>72.179999999999993</v>
      </c>
      <c r="V9" s="166">
        <f t="shared" si="5"/>
        <v>2.0999999999999996</v>
      </c>
      <c r="W9" s="167">
        <f t="shared" si="6"/>
        <v>0.60000000000000009</v>
      </c>
      <c r="X9" s="168">
        <f t="shared" si="7"/>
        <v>0.60000000000000009</v>
      </c>
      <c r="Y9" s="14"/>
    </row>
    <row r="10" spans="1:25" s="7" customFormat="1" ht="12" customHeight="1">
      <c r="A10" s="232"/>
      <c r="B10" s="25"/>
      <c r="C10" s="21" t="s">
        <v>814</v>
      </c>
      <c r="D10" s="24" t="s">
        <v>42</v>
      </c>
      <c r="E10" s="25">
        <v>1</v>
      </c>
      <c r="F10" s="27" t="s">
        <v>817</v>
      </c>
      <c r="G10" s="181">
        <v>46.5</v>
      </c>
      <c r="H10" s="150">
        <f t="shared" ref="H10:H74" si="8">E10*G10</f>
        <v>46.5</v>
      </c>
      <c r="I10" s="306">
        <v>3.5</v>
      </c>
      <c r="J10" s="155">
        <v>2.0299999999999998</v>
      </c>
      <c r="K10" s="177">
        <v>10</v>
      </c>
      <c r="L10" s="157">
        <v>0.35</v>
      </c>
      <c r="M10" s="165">
        <f t="shared" ref="M10:M78" si="9">J10+K10</f>
        <v>12.03</v>
      </c>
      <c r="N10" s="166">
        <v>0.35</v>
      </c>
      <c r="O10" s="167">
        <v>0.1</v>
      </c>
      <c r="P10" s="168">
        <v>0.1</v>
      </c>
      <c r="Q10" s="309">
        <f t="shared" si="0"/>
        <v>3.5</v>
      </c>
      <c r="R10" s="152">
        <f t="shared" si="1"/>
        <v>2.0299999999999998</v>
      </c>
      <c r="S10" s="154">
        <f t="shared" si="2"/>
        <v>10</v>
      </c>
      <c r="T10" s="169">
        <f t="shared" si="3"/>
        <v>0.35</v>
      </c>
      <c r="U10" s="153">
        <f t="shared" si="4"/>
        <v>12.03</v>
      </c>
      <c r="V10" s="166">
        <f t="shared" si="5"/>
        <v>0.35</v>
      </c>
      <c r="W10" s="167">
        <f t="shared" si="6"/>
        <v>0.1</v>
      </c>
      <c r="X10" s="168">
        <f t="shared" si="7"/>
        <v>0.1</v>
      </c>
      <c r="Y10" s="14"/>
    </row>
    <row r="11" spans="1:25" s="7" customFormat="1" ht="12" customHeight="1">
      <c r="A11" s="232">
        <v>40210</v>
      </c>
      <c r="B11" s="27">
        <v>324</v>
      </c>
      <c r="C11" s="24" t="s">
        <v>818</v>
      </c>
      <c r="D11" s="21" t="s">
        <v>819</v>
      </c>
      <c r="E11" s="25">
        <v>20</v>
      </c>
      <c r="F11" s="27" t="s">
        <v>820</v>
      </c>
      <c r="G11" s="180">
        <v>42</v>
      </c>
      <c r="H11" s="150">
        <f t="shared" si="8"/>
        <v>840</v>
      </c>
      <c r="I11" s="306">
        <v>5.5</v>
      </c>
      <c r="J11" s="155">
        <v>5.23</v>
      </c>
      <c r="K11" s="156">
        <v>1.2</v>
      </c>
      <c r="L11" s="157">
        <v>0.75</v>
      </c>
      <c r="M11" s="165">
        <f t="shared" si="9"/>
        <v>6.4300000000000006</v>
      </c>
      <c r="N11" s="166">
        <v>0</v>
      </c>
      <c r="O11" s="167">
        <v>0.1</v>
      </c>
      <c r="P11" s="168">
        <v>0</v>
      </c>
      <c r="Q11" s="309">
        <f t="shared" si="0"/>
        <v>110</v>
      </c>
      <c r="R11" s="152">
        <f t="shared" si="1"/>
        <v>104.60000000000001</v>
      </c>
      <c r="S11" s="154">
        <f t="shared" si="2"/>
        <v>24</v>
      </c>
      <c r="T11" s="169">
        <f t="shared" si="3"/>
        <v>15</v>
      </c>
      <c r="U11" s="153">
        <f t="shared" si="4"/>
        <v>128.60000000000002</v>
      </c>
      <c r="V11" s="166">
        <f t="shared" si="5"/>
        <v>0</v>
      </c>
      <c r="W11" s="167">
        <f t="shared" si="6"/>
        <v>2</v>
      </c>
      <c r="X11" s="168">
        <f t="shared" si="7"/>
        <v>0</v>
      </c>
      <c r="Y11" s="14"/>
    </row>
    <row r="12" spans="1:25" s="7" customFormat="1" ht="12" customHeight="1">
      <c r="A12" s="232"/>
      <c r="B12" s="27"/>
      <c r="C12" s="24"/>
      <c r="D12" s="21"/>
      <c r="E12" s="25">
        <v>16</v>
      </c>
      <c r="F12" s="27" t="s">
        <v>820</v>
      </c>
      <c r="G12" s="180">
        <v>62.5</v>
      </c>
      <c r="H12" s="150">
        <f t="shared" si="8"/>
        <v>1000</v>
      </c>
      <c r="I12" s="306">
        <v>5.5</v>
      </c>
      <c r="J12" s="155">
        <v>8.77</v>
      </c>
      <c r="K12" s="156">
        <v>1.2</v>
      </c>
      <c r="L12" s="157">
        <v>0.18</v>
      </c>
      <c r="M12" s="165">
        <f>J12+K12</f>
        <v>9.9699999999999989</v>
      </c>
      <c r="N12" s="166">
        <v>0</v>
      </c>
      <c r="O12" s="167">
        <v>0.1</v>
      </c>
      <c r="P12" s="168">
        <v>0</v>
      </c>
      <c r="Q12" s="309">
        <f>E12*I12</f>
        <v>88</v>
      </c>
      <c r="R12" s="152">
        <f>E12*J12</f>
        <v>140.32</v>
      </c>
      <c r="S12" s="154">
        <f>E12*K12</f>
        <v>19.2</v>
      </c>
      <c r="T12" s="169">
        <f>E12*L12</f>
        <v>2.88</v>
      </c>
      <c r="U12" s="153">
        <f>E12*M12</f>
        <v>159.51999999999998</v>
      </c>
      <c r="V12" s="166">
        <f>N12*E12</f>
        <v>0</v>
      </c>
      <c r="W12" s="167">
        <f>O12*E12</f>
        <v>1.6</v>
      </c>
      <c r="X12" s="168">
        <f>P12*E12</f>
        <v>0</v>
      </c>
      <c r="Y12" s="14"/>
    </row>
    <row r="13" spans="1:25" s="7" customFormat="1" ht="12" customHeight="1">
      <c r="A13" s="232"/>
      <c r="B13" s="27"/>
      <c r="C13" s="24" t="s">
        <v>818</v>
      </c>
      <c r="D13" s="21" t="s">
        <v>819</v>
      </c>
      <c r="E13" s="25">
        <v>36</v>
      </c>
      <c r="F13" s="27" t="s">
        <v>821</v>
      </c>
      <c r="G13" s="180">
        <v>14.5</v>
      </c>
      <c r="H13" s="150">
        <f t="shared" si="8"/>
        <v>522</v>
      </c>
      <c r="I13" s="306">
        <v>1.5</v>
      </c>
      <c r="J13" s="155">
        <v>3.15</v>
      </c>
      <c r="K13" s="156">
        <v>1</v>
      </c>
      <c r="L13" s="157">
        <v>0.15</v>
      </c>
      <c r="M13" s="165">
        <f t="shared" si="9"/>
        <v>4.1500000000000004</v>
      </c>
      <c r="N13" s="166">
        <v>1</v>
      </c>
      <c r="O13" s="167">
        <v>0.1</v>
      </c>
      <c r="P13" s="168">
        <v>0</v>
      </c>
      <c r="Q13" s="309">
        <f t="shared" si="0"/>
        <v>54</v>
      </c>
      <c r="R13" s="152">
        <f t="shared" si="1"/>
        <v>113.39999999999999</v>
      </c>
      <c r="S13" s="154">
        <f t="shared" si="2"/>
        <v>36</v>
      </c>
      <c r="T13" s="169">
        <f t="shared" si="3"/>
        <v>5.3999999999999995</v>
      </c>
      <c r="U13" s="153">
        <f t="shared" si="4"/>
        <v>149.4</v>
      </c>
      <c r="V13" s="166">
        <f t="shared" si="5"/>
        <v>36</v>
      </c>
      <c r="W13" s="167">
        <f t="shared" si="6"/>
        <v>3.6</v>
      </c>
      <c r="X13" s="168">
        <f t="shared" si="7"/>
        <v>0</v>
      </c>
      <c r="Y13" s="14"/>
    </row>
    <row r="14" spans="1:25" s="7" customFormat="1" ht="12" customHeight="1">
      <c r="A14" s="146">
        <v>40211</v>
      </c>
      <c r="B14" s="28">
        <v>325</v>
      </c>
      <c r="C14" s="24" t="s">
        <v>822</v>
      </c>
      <c r="D14" s="24" t="s">
        <v>42</v>
      </c>
      <c r="E14" s="26">
        <v>159</v>
      </c>
      <c r="F14" s="28" t="s">
        <v>823</v>
      </c>
      <c r="G14" s="37">
        <f>34+2</f>
        <v>36</v>
      </c>
      <c r="H14" s="150">
        <f t="shared" si="8"/>
        <v>5724</v>
      </c>
      <c r="I14" s="306">
        <v>3.5</v>
      </c>
      <c r="J14" s="155">
        <v>4.46</v>
      </c>
      <c r="K14" s="156">
        <v>2</v>
      </c>
      <c r="L14" s="157">
        <v>0.3</v>
      </c>
      <c r="M14" s="165">
        <f t="shared" si="9"/>
        <v>6.46</v>
      </c>
      <c r="N14" s="166">
        <v>0.35</v>
      </c>
      <c r="O14" s="167">
        <v>0.1</v>
      </c>
      <c r="P14" s="168">
        <v>0</v>
      </c>
      <c r="Q14" s="309">
        <f t="shared" si="0"/>
        <v>556.5</v>
      </c>
      <c r="R14" s="152">
        <f t="shared" si="1"/>
        <v>709.14</v>
      </c>
      <c r="S14" s="154">
        <f t="shared" si="2"/>
        <v>318</v>
      </c>
      <c r="T14" s="169">
        <f t="shared" si="3"/>
        <v>47.699999999999996</v>
      </c>
      <c r="U14" s="153">
        <f t="shared" si="4"/>
        <v>1027.1400000000001</v>
      </c>
      <c r="V14" s="166">
        <f t="shared" si="5"/>
        <v>55.65</v>
      </c>
      <c r="W14" s="167">
        <f t="shared" si="6"/>
        <v>15.9</v>
      </c>
      <c r="X14" s="168">
        <f t="shared" si="7"/>
        <v>0</v>
      </c>
      <c r="Y14" s="14"/>
    </row>
    <row r="15" spans="1:25" s="7" customFormat="1" ht="12" customHeight="1">
      <c r="A15" s="146"/>
      <c r="B15" s="28"/>
      <c r="C15" s="24" t="s">
        <v>822</v>
      </c>
      <c r="D15" s="24" t="s">
        <v>42</v>
      </c>
      <c r="E15" s="26">
        <v>140</v>
      </c>
      <c r="F15" s="28" t="s">
        <v>824</v>
      </c>
      <c r="G15" s="37">
        <v>34</v>
      </c>
      <c r="H15" s="150">
        <f t="shared" si="8"/>
        <v>4760</v>
      </c>
      <c r="I15" s="306">
        <v>3.5</v>
      </c>
      <c r="J15" s="155">
        <v>3.73</v>
      </c>
      <c r="K15" s="156">
        <v>1</v>
      </c>
      <c r="L15" s="157">
        <v>0.15</v>
      </c>
      <c r="M15" s="165">
        <f t="shared" si="9"/>
        <v>4.7300000000000004</v>
      </c>
      <c r="N15" s="166">
        <v>0.35</v>
      </c>
      <c r="O15" s="167">
        <v>0.1</v>
      </c>
      <c r="P15" s="168">
        <v>0</v>
      </c>
      <c r="Q15" s="309">
        <f t="shared" si="0"/>
        <v>490</v>
      </c>
      <c r="R15" s="152">
        <f t="shared" si="1"/>
        <v>522.20000000000005</v>
      </c>
      <c r="S15" s="154">
        <f t="shared" si="2"/>
        <v>140</v>
      </c>
      <c r="T15" s="169">
        <f t="shared" si="3"/>
        <v>21</v>
      </c>
      <c r="U15" s="153">
        <f t="shared" si="4"/>
        <v>662.2</v>
      </c>
      <c r="V15" s="166">
        <f t="shared" si="5"/>
        <v>49</v>
      </c>
      <c r="W15" s="167">
        <f t="shared" si="6"/>
        <v>14</v>
      </c>
      <c r="X15" s="168">
        <f t="shared" si="7"/>
        <v>0</v>
      </c>
      <c r="Y15" s="14"/>
    </row>
    <row r="16" spans="1:25" s="7" customFormat="1" ht="12" customHeight="1">
      <c r="A16" s="232"/>
      <c r="B16" s="27"/>
      <c r="C16" s="24" t="s">
        <v>822</v>
      </c>
      <c r="D16" s="24" t="s">
        <v>42</v>
      </c>
      <c r="E16" s="25">
        <v>159</v>
      </c>
      <c r="F16" s="27" t="s">
        <v>825</v>
      </c>
      <c r="G16" s="180">
        <v>24.5</v>
      </c>
      <c r="H16" s="150">
        <f t="shared" si="8"/>
        <v>3895.5</v>
      </c>
      <c r="I16" s="306">
        <v>4</v>
      </c>
      <c r="J16" s="155">
        <v>6.73</v>
      </c>
      <c r="K16" s="156">
        <v>6</v>
      </c>
      <c r="L16" s="182">
        <v>24.5</v>
      </c>
      <c r="M16" s="165">
        <f t="shared" si="9"/>
        <v>12.73</v>
      </c>
      <c r="N16" s="166">
        <v>0.25</v>
      </c>
      <c r="O16" s="167">
        <v>0.1</v>
      </c>
      <c r="P16" s="168">
        <v>0</v>
      </c>
      <c r="Q16" s="309">
        <f t="shared" si="0"/>
        <v>636</v>
      </c>
      <c r="R16" s="152">
        <f t="shared" si="1"/>
        <v>1070.0700000000002</v>
      </c>
      <c r="S16" s="154">
        <f t="shared" si="2"/>
        <v>954</v>
      </c>
      <c r="T16" s="342">
        <f t="shared" si="3"/>
        <v>3895.5</v>
      </c>
      <c r="U16" s="153">
        <f t="shared" si="4"/>
        <v>2024.0700000000002</v>
      </c>
      <c r="V16" s="166">
        <f t="shared" si="5"/>
        <v>39.75</v>
      </c>
      <c r="W16" s="167">
        <f t="shared" si="6"/>
        <v>15.9</v>
      </c>
      <c r="X16" s="168">
        <f t="shared" si="7"/>
        <v>0</v>
      </c>
      <c r="Y16" s="14"/>
    </row>
    <row r="17" spans="1:25" s="7" customFormat="1" ht="12" customHeight="1">
      <c r="A17" s="232">
        <v>40211</v>
      </c>
      <c r="B17" s="27">
        <v>326</v>
      </c>
      <c r="C17" s="24" t="s">
        <v>826</v>
      </c>
      <c r="D17" s="24" t="s">
        <v>827</v>
      </c>
      <c r="E17" s="25">
        <f>72+3</f>
        <v>75</v>
      </c>
      <c r="F17" s="27" t="s">
        <v>828</v>
      </c>
      <c r="G17" s="180">
        <v>20.5</v>
      </c>
      <c r="H17" s="150">
        <f t="shared" si="8"/>
        <v>1537.5</v>
      </c>
      <c r="I17" s="306">
        <v>0.75</v>
      </c>
      <c r="J17" s="155">
        <v>1.92</v>
      </c>
      <c r="K17" s="156">
        <v>0</v>
      </c>
      <c r="L17" s="157">
        <v>0</v>
      </c>
      <c r="M17" s="165">
        <f t="shared" si="9"/>
        <v>1.92</v>
      </c>
      <c r="N17" s="166">
        <v>0.35</v>
      </c>
      <c r="O17" s="167">
        <v>0.05</v>
      </c>
      <c r="P17" s="168">
        <v>0.1</v>
      </c>
      <c r="Q17" s="309">
        <f t="shared" si="0"/>
        <v>56.25</v>
      </c>
      <c r="R17" s="152">
        <f t="shared" si="1"/>
        <v>144</v>
      </c>
      <c r="S17" s="154">
        <f t="shared" si="2"/>
        <v>0</v>
      </c>
      <c r="T17" s="169">
        <f t="shared" si="3"/>
        <v>0</v>
      </c>
      <c r="U17" s="153">
        <f t="shared" si="4"/>
        <v>144</v>
      </c>
      <c r="V17" s="166">
        <f t="shared" si="5"/>
        <v>26.25</v>
      </c>
      <c r="W17" s="167">
        <f t="shared" si="6"/>
        <v>3.75</v>
      </c>
      <c r="X17" s="168">
        <f t="shared" si="7"/>
        <v>7.5</v>
      </c>
      <c r="Y17" s="14"/>
    </row>
    <row r="18" spans="1:25" s="7" customFormat="1" ht="12" customHeight="1">
      <c r="A18" s="232">
        <v>40212</v>
      </c>
      <c r="B18" s="27">
        <v>327</v>
      </c>
      <c r="C18" s="24" t="s">
        <v>829</v>
      </c>
      <c r="D18" s="24" t="s">
        <v>830</v>
      </c>
      <c r="E18" s="25">
        <v>30</v>
      </c>
      <c r="F18" s="27" t="s">
        <v>831</v>
      </c>
      <c r="G18" s="180">
        <f>32+3.75</f>
        <v>35.75</v>
      </c>
      <c r="H18" s="150">
        <f t="shared" si="8"/>
        <v>1072.5</v>
      </c>
      <c r="I18" s="306">
        <v>3.5</v>
      </c>
      <c r="J18" s="155">
        <v>6.65</v>
      </c>
      <c r="K18" s="156">
        <v>3.75</v>
      </c>
      <c r="L18" s="157">
        <v>0.56999999999999995</v>
      </c>
      <c r="M18" s="165">
        <f t="shared" si="9"/>
        <v>10.4</v>
      </c>
      <c r="N18" s="166">
        <v>0.35</v>
      </c>
      <c r="O18" s="167">
        <v>0.1</v>
      </c>
      <c r="P18" s="168">
        <v>0</v>
      </c>
      <c r="Q18" s="309">
        <f t="shared" si="0"/>
        <v>105</v>
      </c>
      <c r="R18" s="152">
        <f t="shared" si="1"/>
        <v>199.5</v>
      </c>
      <c r="S18" s="154">
        <f t="shared" si="2"/>
        <v>112.5</v>
      </c>
      <c r="T18" s="169">
        <f t="shared" si="3"/>
        <v>17.099999999999998</v>
      </c>
      <c r="U18" s="153">
        <f t="shared" si="4"/>
        <v>312</v>
      </c>
      <c r="V18" s="166">
        <f t="shared" si="5"/>
        <v>10.5</v>
      </c>
      <c r="W18" s="167">
        <f t="shared" si="6"/>
        <v>3</v>
      </c>
      <c r="X18" s="168">
        <f t="shared" si="7"/>
        <v>0</v>
      </c>
      <c r="Y18" s="14"/>
    </row>
    <row r="19" spans="1:25" s="7" customFormat="1" ht="12" customHeight="1">
      <c r="A19" s="232"/>
      <c r="B19" s="27"/>
      <c r="C19" s="24" t="s">
        <v>829</v>
      </c>
      <c r="D19" s="24" t="s">
        <v>830</v>
      </c>
      <c r="E19" s="25">
        <v>21</v>
      </c>
      <c r="F19" s="27" t="s">
        <v>832</v>
      </c>
      <c r="G19" s="180">
        <f>36+3.75</f>
        <v>39.75</v>
      </c>
      <c r="H19" s="150">
        <f t="shared" si="8"/>
        <v>834.75</v>
      </c>
      <c r="I19" s="306">
        <v>3.5</v>
      </c>
      <c r="J19" s="155">
        <v>4.41</v>
      </c>
      <c r="K19" s="156">
        <v>3.75</v>
      </c>
      <c r="L19" s="157">
        <v>0.56999999999999995</v>
      </c>
      <c r="M19" s="165">
        <f t="shared" si="9"/>
        <v>8.16</v>
      </c>
      <c r="N19" s="166">
        <v>0.35</v>
      </c>
      <c r="O19" s="167">
        <v>0.1</v>
      </c>
      <c r="P19" s="168">
        <v>0</v>
      </c>
      <c r="Q19" s="309">
        <f t="shared" si="0"/>
        <v>73.5</v>
      </c>
      <c r="R19" s="152">
        <f t="shared" si="1"/>
        <v>92.61</v>
      </c>
      <c r="S19" s="154">
        <f t="shared" si="2"/>
        <v>78.75</v>
      </c>
      <c r="T19" s="169">
        <f t="shared" si="3"/>
        <v>11.969999999999999</v>
      </c>
      <c r="U19" s="153">
        <f t="shared" si="4"/>
        <v>171.36</v>
      </c>
      <c r="V19" s="166">
        <f t="shared" si="5"/>
        <v>7.35</v>
      </c>
      <c r="W19" s="167">
        <f t="shared" si="6"/>
        <v>2.1</v>
      </c>
      <c r="X19" s="168">
        <f t="shared" si="7"/>
        <v>0</v>
      </c>
      <c r="Y19" s="14"/>
    </row>
    <row r="20" spans="1:25" s="7" customFormat="1" ht="12" customHeight="1">
      <c r="A20" s="232">
        <v>40211</v>
      </c>
      <c r="B20" s="25">
        <v>328</v>
      </c>
      <c r="C20" s="24" t="s">
        <v>833</v>
      </c>
      <c r="D20" s="24" t="s">
        <v>42</v>
      </c>
      <c r="E20" s="25">
        <v>5</v>
      </c>
      <c r="F20" s="27" t="s">
        <v>834</v>
      </c>
      <c r="G20" s="180">
        <v>240</v>
      </c>
      <c r="H20" s="150">
        <f t="shared" si="8"/>
        <v>1200</v>
      </c>
      <c r="I20" s="307">
        <v>20</v>
      </c>
      <c r="J20" s="155">
        <v>22.35</v>
      </c>
      <c r="K20" s="177">
        <v>60</v>
      </c>
      <c r="L20" s="157">
        <v>5</v>
      </c>
      <c r="M20" s="165">
        <f t="shared" si="9"/>
        <v>82.35</v>
      </c>
      <c r="N20" s="166">
        <v>0</v>
      </c>
      <c r="O20" s="167">
        <v>1</v>
      </c>
      <c r="P20" s="168">
        <v>5</v>
      </c>
      <c r="Q20" s="309">
        <f t="shared" si="0"/>
        <v>100</v>
      </c>
      <c r="R20" s="152">
        <f t="shared" si="1"/>
        <v>111.75</v>
      </c>
      <c r="S20" s="154">
        <f t="shared" si="2"/>
        <v>300</v>
      </c>
      <c r="T20" s="169">
        <f t="shared" si="3"/>
        <v>25</v>
      </c>
      <c r="U20" s="153">
        <f t="shared" si="4"/>
        <v>411.75</v>
      </c>
      <c r="V20" s="166">
        <f t="shared" si="5"/>
        <v>0</v>
      </c>
      <c r="W20" s="167">
        <f t="shared" si="6"/>
        <v>5</v>
      </c>
      <c r="X20" s="168">
        <f t="shared" si="7"/>
        <v>25</v>
      </c>
      <c r="Y20" s="14"/>
    </row>
    <row r="21" spans="1:25" s="7" customFormat="1" ht="12" customHeight="1">
      <c r="A21" s="232"/>
      <c r="B21" s="27"/>
      <c r="C21" s="24" t="s">
        <v>833</v>
      </c>
      <c r="D21" s="24" t="s">
        <v>42</v>
      </c>
      <c r="E21" s="25">
        <f>2+1</f>
        <v>3</v>
      </c>
      <c r="F21" s="27" t="s">
        <v>835</v>
      </c>
      <c r="G21" s="180">
        <v>240</v>
      </c>
      <c r="H21" s="150">
        <f t="shared" si="8"/>
        <v>720</v>
      </c>
      <c r="I21" s="307">
        <v>20</v>
      </c>
      <c r="J21" s="155">
        <v>22.35</v>
      </c>
      <c r="K21" s="177">
        <v>60</v>
      </c>
      <c r="L21" s="157">
        <v>5</v>
      </c>
      <c r="M21" s="165">
        <f>J21+K21</f>
        <v>82.35</v>
      </c>
      <c r="N21" s="166">
        <v>0</v>
      </c>
      <c r="O21" s="167">
        <v>1</v>
      </c>
      <c r="P21" s="168">
        <v>5</v>
      </c>
      <c r="Q21" s="309">
        <f t="shared" si="0"/>
        <v>60</v>
      </c>
      <c r="R21" s="152">
        <f t="shared" si="1"/>
        <v>67.050000000000011</v>
      </c>
      <c r="S21" s="154">
        <f t="shared" si="2"/>
        <v>180</v>
      </c>
      <c r="T21" s="169">
        <f t="shared" si="3"/>
        <v>15</v>
      </c>
      <c r="U21" s="153">
        <f t="shared" si="4"/>
        <v>247.04999999999998</v>
      </c>
      <c r="V21" s="166">
        <f t="shared" si="5"/>
        <v>0</v>
      </c>
      <c r="W21" s="167">
        <f t="shared" si="6"/>
        <v>3</v>
      </c>
      <c r="X21" s="168">
        <f t="shared" si="7"/>
        <v>15</v>
      </c>
      <c r="Y21" s="14"/>
    </row>
    <row r="22" spans="1:25" s="7" customFormat="1" ht="12" customHeight="1">
      <c r="A22" s="232"/>
      <c r="B22" s="27"/>
      <c r="C22" s="24" t="s">
        <v>833</v>
      </c>
      <c r="D22" s="24" t="s">
        <v>42</v>
      </c>
      <c r="E22" s="25">
        <v>8</v>
      </c>
      <c r="F22" s="27" t="s">
        <v>836</v>
      </c>
      <c r="G22" s="180">
        <v>59.5</v>
      </c>
      <c r="H22" s="150">
        <f t="shared" si="8"/>
        <v>476</v>
      </c>
      <c r="I22" s="307">
        <v>10</v>
      </c>
      <c r="J22" s="155">
        <v>12.73</v>
      </c>
      <c r="K22" s="177">
        <v>10</v>
      </c>
      <c r="L22" s="157">
        <v>0.37</v>
      </c>
      <c r="M22" s="165">
        <f t="shared" si="9"/>
        <v>22.73</v>
      </c>
      <c r="N22" s="166">
        <v>0</v>
      </c>
      <c r="O22" s="167">
        <v>0.15</v>
      </c>
      <c r="P22" s="168">
        <v>0.15</v>
      </c>
      <c r="Q22" s="309">
        <f t="shared" si="0"/>
        <v>80</v>
      </c>
      <c r="R22" s="152">
        <f t="shared" si="1"/>
        <v>101.84</v>
      </c>
      <c r="S22" s="154">
        <f t="shared" si="2"/>
        <v>80</v>
      </c>
      <c r="T22" s="169">
        <f t="shared" si="3"/>
        <v>2.96</v>
      </c>
      <c r="U22" s="153">
        <f t="shared" si="4"/>
        <v>181.84</v>
      </c>
      <c r="V22" s="166">
        <f t="shared" si="5"/>
        <v>0</v>
      </c>
      <c r="W22" s="167">
        <f t="shared" si="6"/>
        <v>1.2</v>
      </c>
      <c r="X22" s="168">
        <f t="shared" si="7"/>
        <v>1.2</v>
      </c>
      <c r="Y22" s="14"/>
    </row>
    <row r="23" spans="1:25" s="7" customFormat="1" ht="12" customHeight="1">
      <c r="A23" s="232">
        <v>40213</v>
      </c>
      <c r="B23" s="25">
        <v>329</v>
      </c>
      <c r="C23" s="21" t="s">
        <v>837</v>
      </c>
      <c r="D23" s="21" t="s">
        <v>144</v>
      </c>
      <c r="E23" s="25">
        <v>80</v>
      </c>
      <c r="F23" s="27" t="s">
        <v>838</v>
      </c>
      <c r="G23" s="180">
        <v>130</v>
      </c>
      <c r="H23" s="150">
        <f t="shared" si="8"/>
        <v>10400</v>
      </c>
      <c r="I23" s="307">
        <v>10</v>
      </c>
      <c r="J23" s="155">
        <v>42.85</v>
      </c>
      <c r="K23" s="177">
        <v>20</v>
      </c>
      <c r="L23" s="157">
        <v>3</v>
      </c>
      <c r="M23" s="165">
        <f t="shared" si="9"/>
        <v>62.85</v>
      </c>
      <c r="N23" s="166">
        <v>1.5</v>
      </c>
      <c r="O23" s="167">
        <v>0.1</v>
      </c>
      <c r="P23" s="168">
        <v>0</v>
      </c>
      <c r="Q23" s="309">
        <f t="shared" si="0"/>
        <v>800</v>
      </c>
      <c r="R23" s="152">
        <f t="shared" si="1"/>
        <v>3428</v>
      </c>
      <c r="S23" s="350">
        <f t="shared" si="2"/>
        <v>1600</v>
      </c>
      <c r="T23" s="169">
        <f t="shared" si="3"/>
        <v>240</v>
      </c>
      <c r="U23" s="153">
        <f t="shared" si="4"/>
        <v>5028</v>
      </c>
      <c r="V23" s="166">
        <f t="shared" si="5"/>
        <v>120</v>
      </c>
      <c r="W23" s="167">
        <f t="shared" si="6"/>
        <v>8</v>
      </c>
      <c r="X23" s="168">
        <f t="shared" si="7"/>
        <v>0</v>
      </c>
      <c r="Y23" s="14"/>
    </row>
    <row r="24" spans="1:25" s="7" customFormat="1" ht="12" customHeight="1">
      <c r="A24" s="232"/>
      <c r="B24" s="25"/>
      <c r="C24" s="21" t="s">
        <v>837</v>
      </c>
      <c r="D24" s="21" t="s">
        <v>144</v>
      </c>
      <c r="E24" s="25">
        <v>40</v>
      </c>
      <c r="F24" s="27" t="s">
        <v>839</v>
      </c>
      <c r="G24" s="180">
        <v>130</v>
      </c>
      <c r="H24" s="150">
        <f t="shared" si="8"/>
        <v>5200</v>
      </c>
      <c r="I24" s="307">
        <v>10</v>
      </c>
      <c r="J24" s="155">
        <v>40.6</v>
      </c>
      <c r="K24" s="177">
        <v>20</v>
      </c>
      <c r="L24" s="157">
        <v>3</v>
      </c>
      <c r="M24" s="165">
        <f t="shared" si="9"/>
        <v>60.6</v>
      </c>
      <c r="N24" s="166">
        <v>1.5</v>
      </c>
      <c r="O24" s="167">
        <v>0.1</v>
      </c>
      <c r="P24" s="168">
        <v>0</v>
      </c>
      <c r="Q24" s="309">
        <f t="shared" si="0"/>
        <v>400</v>
      </c>
      <c r="R24" s="152">
        <f t="shared" si="1"/>
        <v>1624</v>
      </c>
      <c r="S24" s="154">
        <f t="shared" si="2"/>
        <v>800</v>
      </c>
      <c r="T24" s="169">
        <f t="shared" si="3"/>
        <v>120</v>
      </c>
      <c r="U24" s="153">
        <f t="shared" si="4"/>
        <v>2424</v>
      </c>
      <c r="V24" s="166">
        <f t="shared" si="5"/>
        <v>60</v>
      </c>
      <c r="W24" s="167">
        <f t="shared" si="6"/>
        <v>4</v>
      </c>
      <c r="X24" s="168">
        <f t="shared" si="7"/>
        <v>0</v>
      </c>
      <c r="Y24" s="14"/>
    </row>
    <row r="25" spans="1:25" s="7" customFormat="1" ht="12" customHeight="1">
      <c r="A25" s="232">
        <v>40213</v>
      </c>
      <c r="B25" s="27">
        <v>330</v>
      </c>
      <c r="C25" s="27" t="s">
        <v>840</v>
      </c>
      <c r="D25" s="21" t="s">
        <v>113</v>
      </c>
      <c r="E25" s="25">
        <v>46</v>
      </c>
      <c r="F25" s="27" t="s">
        <v>841</v>
      </c>
      <c r="G25" s="180">
        <v>12.5</v>
      </c>
      <c r="H25" s="150">
        <f t="shared" si="8"/>
        <v>575</v>
      </c>
      <c r="I25" s="306">
        <v>1.5</v>
      </c>
      <c r="J25" s="155">
        <v>1.57</v>
      </c>
      <c r="K25" s="156">
        <v>1.2</v>
      </c>
      <c r="L25" s="157">
        <v>0.18</v>
      </c>
      <c r="M25" s="165">
        <f t="shared" si="9"/>
        <v>2.77</v>
      </c>
      <c r="N25" s="166">
        <v>0.25</v>
      </c>
      <c r="O25" s="167">
        <v>0.1</v>
      </c>
      <c r="P25" s="168">
        <v>0</v>
      </c>
      <c r="Q25" s="309">
        <f t="shared" si="0"/>
        <v>69</v>
      </c>
      <c r="R25" s="152">
        <f t="shared" si="1"/>
        <v>72.22</v>
      </c>
      <c r="S25" s="154">
        <f t="shared" si="2"/>
        <v>55.199999999999996</v>
      </c>
      <c r="T25" s="169">
        <f t="shared" si="3"/>
        <v>8.2799999999999994</v>
      </c>
      <c r="U25" s="153">
        <f t="shared" si="4"/>
        <v>127.42</v>
      </c>
      <c r="V25" s="166">
        <f t="shared" si="5"/>
        <v>11.5</v>
      </c>
      <c r="W25" s="167">
        <f t="shared" si="6"/>
        <v>4.6000000000000005</v>
      </c>
      <c r="X25" s="168">
        <f t="shared" si="7"/>
        <v>0</v>
      </c>
      <c r="Y25" s="14"/>
    </row>
    <row r="26" spans="1:25" s="7" customFormat="1" ht="12" customHeight="1">
      <c r="A26" s="232">
        <v>40215</v>
      </c>
      <c r="B26" s="25">
        <v>331</v>
      </c>
      <c r="C26" s="27" t="s">
        <v>833</v>
      </c>
      <c r="D26" s="24" t="s">
        <v>42</v>
      </c>
      <c r="E26" s="25">
        <v>4</v>
      </c>
      <c r="F26" s="27" t="s">
        <v>842</v>
      </c>
      <c r="G26" s="180">
        <v>69</v>
      </c>
      <c r="H26" s="150">
        <f t="shared" si="8"/>
        <v>276</v>
      </c>
      <c r="I26" s="306">
        <v>3.5</v>
      </c>
      <c r="J26" s="155">
        <v>4.63</v>
      </c>
      <c r="K26" s="177">
        <v>15</v>
      </c>
      <c r="L26" s="157">
        <v>2.25</v>
      </c>
      <c r="M26" s="165">
        <f t="shared" si="9"/>
        <v>19.63</v>
      </c>
      <c r="N26" s="166">
        <v>0.35</v>
      </c>
      <c r="O26" s="167">
        <v>0.1</v>
      </c>
      <c r="P26" s="168">
        <v>0.5</v>
      </c>
      <c r="Q26" s="309">
        <f t="shared" si="0"/>
        <v>14</v>
      </c>
      <c r="R26" s="152">
        <f t="shared" si="1"/>
        <v>18.52</v>
      </c>
      <c r="S26" s="154">
        <f t="shared" si="2"/>
        <v>60</v>
      </c>
      <c r="T26" s="169">
        <f t="shared" si="3"/>
        <v>9</v>
      </c>
      <c r="U26" s="153">
        <f t="shared" si="4"/>
        <v>78.52</v>
      </c>
      <c r="V26" s="166">
        <f t="shared" si="5"/>
        <v>1.4</v>
      </c>
      <c r="W26" s="167">
        <f t="shared" si="6"/>
        <v>0.4</v>
      </c>
      <c r="X26" s="168">
        <f t="shared" si="7"/>
        <v>2</v>
      </c>
      <c r="Y26" s="14"/>
    </row>
    <row r="27" spans="1:25" s="7" customFormat="1" ht="12" customHeight="1">
      <c r="A27" s="232"/>
      <c r="B27" s="25"/>
      <c r="C27" s="27" t="s">
        <v>833</v>
      </c>
      <c r="D27" s="24" t="s">
        <v>42</v>
      </c>
      <c r="E27" s="25">
        <v>2</v>
      </c>
      <c r="F27" s="27" t="s">
        <v>843</v>
      </c>
      <c r="G27" s="180">
        <v>61</v>
      </c>
      <c r="H27" s="150">
        <f t="shared" si="8"/>
        <v>122</v>
      </c>
      <c r="I27" s="306">
        <v>3.5</v>
      </c>
      <c r="J27" s="155">
        <v>5.1100000000000003</v>
      </c>
      <c r="K27" s="177">
        <v>15</v>
      </c>
      <c r="L27" s="157">
        <v>2.25</v>
      </c>
      <c r="M27" s="165">
        <f t="shared" si="9"/>
        <v>20.11</v>
      </c>
      <c r="N27" s="166">
        <v>0.35</v>
      </c>
      <c r="O27" s="167">
        <v>0.1</v>
      </c>
      <c r="P27" s="168">
        <v>0.5</v>
      </c>
      <c r="Q27" s="309">
        <f t="shared" si="0"/>
        <v>7</v>
      </c>
      <c r="R27" s="152">
        <f t="shared" si="1"/>
        <v>10.220000000000001</v>
      </c>
      <c r="S27" s="154">
        <f t="shared" si="2"/>
        <v>30</v>
      </c>
      <c r="T27" s="169">
        <f t="shared" si="3"/>
        <v>4.5</v>
      </c>
      <c r="U27" s="153">
        <f t="shared" si="4"/>
        <v>40.22</v>
      </c>
      <c r="V27" s="166">
        <f t="shared" si="5"/>
        <v>0.7</v>
      </c>
      <c r="W27" s="167">
        <f t="shared" si="6"/>
        <v>0.2</v>
      </c>
      <c r="X27" s="168">
        <f t="shared" si="7"/>
        <v>1</v>
      </c>
      <c r="Y27" s="14"/>
    </row>
    <row r="28" spans="1:25" s="7" customFormat="1" ht="12" customHeight="1">
      <c r="A28" s="232"/>
      <c r="B28" s="25"/>
      <c r="C28" s="27" t="s">
        <v>833</v>
      </c>
      <c r="D28" s="24" t="s">
        <v>42</v>
      </c>
      <c r="E28" s="25">
        <v>8</v>
      </c>
      <c r="F28" s="27" t="s">
        <v>844</v>
      </c>
      <c r="G28" s="180">
        <v>10</v>
      </c>
      <c r="H28" s="150">
        <f t="shared" si="8"/>
        <v>80</v>
      </c>
      <c r="I28" s="306">
        <v>5</v>
      </c>
      <c r="J28" s="155">
        <v>3.6</v>
      </c>
      <c r="K28" s="156">
        <v>0</v>
      </c>
      <c r="L28" s="157">
        <v>0</v>
      </c>
      <c r="M28" s="165">
        <f t="shared" si="9"/>
        <v>3.6</v>
      </c>
      <c r="N28" s="166">
        <v>1</v>
      </c>
      <c r="O28" s="167">
        <v>0.5</v>
      </c>
      <c r="P28" s="168">
        <v>1</v>
      </c>
      <c r="Q28" s="309">
        <f t="shared" si="0"/>
        <v>40</v>
      </c>
      <c r="R28" s="152">
        <f t="shared" si="1"/>
        <v>28.8</v>
      </c>
      <c r="S28" s="154">
        <f t="shared" si="2"/>
        <v>0</v>
      </c>
      <c r="T28" s="169">
        <f t="shared" si="3"/>
        <v>0</v>
      </c>
      <c r="U28" s="153">
        <f t="shared" si="4"/>
        <v>28.8</v>
      </c>
      <c r="V28" s="166">
        <f t="shared" si="5"/>
        <v>8</v>
      </c>
      <c r="W28" s="167">
        <f t="shared" si="6"/>
        <v>4</v>
      </c>
      <c r="X28" s="168">
        <f t="shared" si="7"/>
        <v>8</v>
      </c>
      <c r="Y28" s="14"/>
    </row>
    <row r="29" spans="1:25" s="7" customFormat="1" ht="12" customHeight="1">
      <c r="A29" s="232">
        <v>40215</v>
      </c>
      <c r="B29" s="25">
        <v>332</v>
      </c>
      <c r="C29" s="21" t="s">
        <v>845</v>
      </c>
      <c r="D29" s="21"/>
      <c r="E29" s="25">
        <f>14</f>
        <v>14</v>
      </c>
      <c r="F29" s="27" t="s">
        <v>846</v>
      </c>
      <c r="G29" s="180">
        <v>85</v>
      </c>
      <c r="H29" s="150">
        <f t="shared" si="8"/>
        <v>1190</v>
      </c>
      <c r="I29" s="306">
        <v>0.5</v>
      </c>
      <c r="J29" s="155">
        <v>1.96</v>
      </c>
      <c r="K29" s="156">
        <v>0</v>
      </c>
      <c r="L29" s="157">
        <v>0</v>
      </c>
      <c r="M29" s="165">
        <f t="shared" si="9"/>
        <v>1.96</v>
      </c>
      <c r="N29" s="166">
        <v>0</v>
      </c>
      <c r="O29" s="167">
        <v>0.1</v>
      </c>
      <c r="P29" s="168">
        <v>0</v>
      </c>
      <c r="Q29" s="309">
        <f t="shared" si="0"/>
        <v>7</v>
      </c>
      <c r="R29" s="152">
        <f t="shared" si="1"/>
        <v>27.439999999999998</v>
      </c>
      <c r="S29" s="154">
        <f t="shared" si="2"/>
        <v>0</v>
      </c>
      <c r="T29" s="169">
        <f t="shared" si="3"/>
        <v>0</v>
      </c>
      <c r="U29" s="153">
        <f t="shared" si="4"/>
        <v>27.439999999999998</v>
      </c>
      <c r="V29" s="166">
        <f t="shared" si="5"/>
        <v>0</v>
      </c>
      <c r="W29" s="167">
        <f t="shared" si="6"/>
        <v>1.4000000000000001</v>
      </c>
      <c r="X29" s="168">
        <f t="shared" si="7"/>
        <v>0</v>
      </c>
      <c r="Y29" s="14"/>
    </row>
    <row r="30" spans="1:25" s="7" customFormat="1" ht="12" customHeight="1">
      <c r="A30" s="232"/>
      <c r="B30" s="25"/>
      <c r="C30" s="21" t="s">
        <v>845</v>
      </c>
      <c r="D30" s="21"/>
      <c r="E30" s="25">
        <v>2</v>
      </c>
      <c r="F30" s="27" t="s">
        <v>847</v>
      </c>
      <c r="G30" s="180">
        <v>60</v>
      </c>
      <c r="H30" s="150">
        <f t="shared" si="8"/>
        <v>120</v>
      </c>
      <c r="I30" s="306">
        <v>0</v>
      </c>
      <c r="J30" s="155">
        <v>0</v>
      </c>
      <c r="K30" s="156">
        <v>0</v>
      </c>
      <c r="L30" s="157">
        <v>0</v>
      </c>
      <c r="M30" s="165">
        <f t="shared" si="9"/>
        <v>0</v>
      </c>
      <c r="N30" s="166">
        <v>0</v>
      </c>
      <c r="O30" s="167">
        <v>0</v>
      </c>
      <c r="P30" s="168">
        <v>0</v>
      </c>
      <c r="Q30" s="309">
        <f t="shared" si="0"/>
        <v>0</v>
      </c>
      <c r="R30" s="152">
        <f t="shared" si="1"/>
        <v>0</v>
      </c>
      <c r="S30" s="154">
        <f t="shared" si="2"/>
        <v>0</v>
      </c>
      <c r="T30" s="169">
        <f t="shared" si="3"/>
        <v>0</v>
      </c>
      <c r="U30" s="153">
        <f t="shared" si="4"/>
        <v>0</v>
      </c>
      <c r="V30" s="166">
        <f t="shared" si="5"/>
        <v>0</v>
      </c>
      <c r="W30" s="167">
        <f t="shared" si="6"/>
        <v>0</v>
      </c>
      <c r="X30" s="168">
        <f t="shared" si="7"/>
        <v>0</v>
      </c>
      <c r="Y30" s="14" t="s">
        <v>26</v>
      </c>
    </row>
    <row r="31" spans="1:25" s="7" customFormat="1" ht="12" customHeight="1">
      <c r="A31" s="232">
        <v>40215</v>
      </c>
      <c r="B31" s="27">
        <v>333</v>
      </c>
      <c r="C31" s="24" t="s">
        <v>143</v>
      </c>
      <c r="D31" s="24" t="s">
        <v>144</v>
      </c>
      <c r="E31" s="25">
        <v>4</v>
      </c>
      <c r="F31" s="27" t="s">
        <v>848</v>
      </c>
      <c r="G31" s="180">
        <v>45</v>
      </c>
      <c r="H31" s="150">
        <f t="shared" si="8"/>
        <v>180</v>
      </c>
      <c r="I31" s="306">
        <v>3.5</v>
      </c>
      <c r="J31" s="155">
        <v>4.63</v>
      </c>
      <c r="K31" s="156">
        <v>0</v>
      </c>
      <c r="L31" s="157">
        <v>0</v>
      </c>
      <c r="M31" s="165">
        <f t="shared" si="9"/>
        <v>4.63</v>
      </c>
      <c r="N31" s="166">
        <v>0.35</v>
      </c>
      <c r="O31" s="167">
        <v>0.1</v>
      </c>
      <c r="P31" s="168">
        <v>0.5</v>
      </c>
      <c r="Q31" s="309">
        <f t="shared" si="0"/>
        <v>14</v>
      </c>
      <c r="R31" s="152">
        <f t="shared" si="1"/>
        <v>18.52</v>
      </c>
      <c r="S31" s="154">
        <f t="shared" si="2"/>
        <v>0</v>
      </c>
      <c r="T31" s="169">
        <f t="shared" si="3"/>
        <v>0</v>
      </c>
      <c r="U31" s="153">
        <f t="shared" si="4"/>
        <v>18.52</v>
      </c>
      <c r="V31" s="166">
        <f t="shared" si="5"/>
        <v>1.4</v>
      </c>
      <c r="W31" s="167">
        <f t="shared" si="6"/>
        <v>0.4</v>
      </c>
      <c r="X31" s="168">
        <f t="shared" si="7"/>
        <v>2</v>
      </c>
      <c r="Y31" s="14"/>
    </row>
    <row r="32" spans="1:25" s="7" customFormat="1" ht="12" customHeight="1">
      <c r="A32" s="232"/>
      <c r="B32" s="27"/>
      <c r="C32" s="24" t="s">
        <v>143</v>
      </c>
      <c r="D32" s="24" t="s">
        <v>144</v>
      </c>
      <c r="E32" s="25">
        <v>1</v>
      </c>
      <c r="F32" s="27" t="s">
        <v>849</v>
      </c>
      <c r="G32" s="180">
        <v>45</v>
      </c>
      <c r="H32" s="150">
        <f t="shared" si="8"/>
        <v>45</v>
      </c>
      <c r="I32" s="306">
        <v>3.5</v>
      </c>
      <c r="J32" s="155">
        <v>5.1100000000000003</v>
      </c>
      <c r="K32" s="156">
        <v>0</v>
      </c>
      <c r="L32" s="157">
        <v>0</v>
      </c>
      <c r="M32" s="165">
        <f t="shared" si="9"/>
        <v>5.1100000000000003</v>
      </c>
      <c r="N32" s="166">
        <v>0.35</v>
      </c>
      <c r="O32" s="167">
        <v>0.1</v>
      </c>
      <c r="P32" s="168">
        <v>0.5</v>
      </c>
      <c r="Q32" s="309">
        <f t="shared" si="0"/>
        <v>3.5</v>
      </c>
      <c r="R32" s="152">
        <f t="shared" si="1"/>
        <v>5.1100000000000003</v>
      </c>
      <c r="S32" s="154">
        <f t="shared" si="2"/>
        <v>0</v>
      </c>
      <c r="T32" s="169">
        <f t="shared" si="3"/>
        <v>0</v>
      </c>
      <c r="U32" s="153">
        <f t="shared" si="4"/>
        <v>5.1100000000000003</v>
      </c>
      <c r="V32" s="166">
        <f t="shared" si="5"/>
        <v>0.35</v>
      </c>
      <c r="W32" s="167">
        <f t="shared" si="6"/>
        <v>0.1</v>
      </c>
      <c r="X32" s="168">
        <f t="shared" si="7"/>
        <v>0.5</v>
      </c>
      <c r="Y32" s="14"/>
    </row>
    <row r="33" spans="1:25" s="7" customFormat="1" ht="12" customHeight="1">
      <c r="A33" s="232"/>
      <c r="B33" s="27"/>
      <c r="C33" s="24" t="s">
        <v>143</v>
      </c>
      <c r="D33" s="24" t="s">
        <v>144</v>
      </c>
      <c r="E33" s="25">
        <v>24</v>
      </c>
      <c r="F33" s="27" t="s">
        <v>850</v>
      </c>
      <c r="G33" s="180">
        <v>10</v>
      </c>
      <c r="H33" s="150">
        <f t="shared" si="8"/>
        <v>240</v>
      </c>
      <c r="I33" s="306">
        <v>0.5</v>
      </c>
      <c r="J33" s="155">
        <v>1.96</v>
      </c>
      <c r="K33" s="156">
        <v>0</v>
      </c>
      <c r="L33" s="157">
        <v>0</v>
      </c>
      <c r="M33" s="165">
        <f t="shared" si="9"/>
        <v>1.96</v>
      </c>
      <c r="N33" s="166">
        <v>0</v>
      </c>
      <c r="O33" s="167">
        <v>0.1</v>
      </c>
      <c r="P33" s="168">
        <v>0</v>
      </c>
      <c r="Q33" s="309">
        <f t="shared" si="0"/>
        <v>12</v>
      </c>
      <c r="R33" s="152">
        <f t="shared" si="1"/>
        <v>47.04</v>
      </c>
      <c r="S33" s="154">
        <f t="shared" si="2"/>
        <v>0</v>
      </c>
      <c r="T33" s="169">
        <f t="shared" si="3"/>
        <v>0</v>
      </c>
      <c r="U33" s="153">
        <f t="shared" si="4"/>
        <v>47.04</v>
      </c>
      <c r="V33" s="166">
        <f t="shared" si="5"/>
        <v>0</v>
      </c>
      <c r="W33" s="167">
        <f t="shared" si="6"/>
        <v>2.4000000000000004</v>
      </c>
      <c r="X33" s="168">
        <f t="shared" si="7"/>
        <v>0</v>
      </c>
      <c r="Y33" s="14"/>
    </row>
    <row r="34" spans="1:25" s="7" customFormat="1" ht="12" customHeight="1">
      <c r="A34" s="232"/>
      <c r="B34" s="27"/>
      <c r="C34" s="24" t="s">
        <v>143</v>
      </c>
      <c r="D34" s="24" t="s">
        <v>144</v>
      </c>
      <c r="E34" s="25">
        <v>15</v>
      </c>
      <c r="F34" s="27" t="s">
        <v>851</v>
      </c>
      <c r="G34" s="180">
        <v>55</v>
      </c>
      <c r="H34" s="150">
        <f t="shared" si="8"/>
        <v>825</v>
      </c>
      <c r="I34" s="306">
        <v>3.5</v>
      </c>
      <c r="J34" s="155">
        <v>14.7</v>
      </c>
      <c r="K34" s="156">
        <v>0</v>
      </c>
      <c r="L34" s="157">
        <v>0</v>
      </c>
      <c r="M34" s="165">
        <f t="shared" si="9"/>
        <v>14.7</v>
      </c>
      <c r="N34" s="166">
        <v>0.35</v>
      </c>
      <c r="O34" s="167">
        <v>0.15</v>
      </c>
      <c r="P34" s="168">
        <v>0.1</v>
      </c>
      <c r="Q34" s="309">
        <f t="shared" si="0"/>
        <v>52.5</v>
      </c>
      <c r="R34" s="152">
        <f t="shared" si="1"/>
        <v>220.5</v>
      </c>
      <c r="S34" s="154">
        <f t="shared" si="2"/>
        <v>0</v>
      </c>
      <c r="T34" s="169">
        <f t="shared" si="3"/>
        <v>0</v>
      </c>
      <c r="U34" s="153">
        <f t="shared" si="4"/>
        <v>220.5</v>
      </c>
      <c r="V34" s="166">
        <f t="shared" si="5"/>
        <v>5.25</v>
      </c>
      <c r="W34" s="167">
        <f t="shared" si="6"/>
        <v>2.25</v>
      </c>
      <c r="X34" s="168">
        <f t="shared" si="7"/>
        <v>1.5</v>
      </c>
      <c r="Y34" s="14"/>
    </row>
    <row r="35" spans="1:25" s="7" customFormat="1" ht="12" customHeight="1">
      <c r="A35" s="232">
        <v>40215</v>
      </c>
      <c r="B35" s="27">
        <v>334</v>
      </c>
      <c r="C35" s="24" t="s">
        <v>30</v>
      </c>
      <c r="D35" s="24" t="s">
        <v>42</v>
      </c>
      <c r="E35" s="25">
        <v>20</v>
      </c>
      <c r="F35" s="24" t="s">
        <v>852</v>
      </c>
      <c r="G35" s="180">
        <v>154</v>
      </c>
      <c r="H35" s="150">
        <f t="shared" si="8"/>
        <v>3080</v>
      </c>
      <c r="I35" s="307">
        <v>25</v>
      </c>
      <c r="J35" s="155">
        <v>14.52</v>
      </c>
      <c r="K35" s="156">
        <v>0</v>
      </c>
      <c r="L35" s="157">
        <v>0</v>
      </c>
      <c r="M35" s="165">
        <f t="shared" si="9"/>
        <v>14.52</v>
      </c>
      <c r="N35" s="166">
        <v>2</v>
      </c>
      <c r="O35" s="167">
        <v>1</v>
      </c>
      <c r="P35" s="168">
        <v>6</v>
      </c>
      <c r="Q35" s="309">
        <f t="shared" si="0"/>
        <v>500</v>
      </c>
      <c r="R35" s="152">
        <f t="shared" si="1"/>
        <v>290.39999999999998</v>
      </c>
      <c r="S35" s="154">
        <f t="shared" si="2"/>
        <v>0</v>
      </c>
      <c r="T35" s="169">
        <f t="shared" si="3"/>
        <v>0</v>
      </c>
      <c r="U35" s="153">
        <f t="shared" si="4"/>
        <v>290.39999999999998</v>
      </c>
      <c r="V35" s="166">
        <f t="shared" si="5"/>
        <v>40</v>
      </c>
      <c r="W35" s="167">
        <f t="shared" si="6"/>
        <v>20</v>
      </c>
      <c r="X35" s="168">
        <f t="shared" si="7"/>
        <v>120</v>
      </c>
      <c r="Y35" s="14"/>
    </row>
    <row r="36" spans="1:25" s="7" customFormat="1" ht="12" customHeight="1">
      <c r="A36" s="232"/>
      <c r="B36" s="27"/>
      <c r="C36" s="24" t="s">
        <v>30</v>
      </c>
      <c r="D36" s="24" t="s">
        <v>42</v>
      </c>
      <c r="E36" s="25">
        <v>600</v>
      </c>
      <c r="F36" s="27" t="s">
        <v>853</v>
      </c>
      <c r="G36" s="180">
        <v>5.5</v>
      </c>
      <c r="H36" s="150">
        <f t="shared" si="8"/>
        <v>3300</v>
      </c>
      <c r="I36" s="306">
        <v>1.5</v>
      </c>
      <c r="J36" s="155">
        <v>0.32</v>
      </c>
      <c r="K36" s="156">
        <v>0</v>
      </c>
      <c r="L36" s="157">
        <v>0</v>
      </c>
      <c r="M36" s="153">
        <f t="shared" si="9"/>
        <v>0.32</v>
      </c>
      <c r="N36" s="166">
        <v>0</v>
      </c>
      <c r="O36" s="167">
        <v>0.1</v>
      </c>
      <c r="P36" s="168">
        <v>0.25</v>
      </c>
      <c r="Q36" s="309">
        <f t="shared" si="0"/>
        <v>900</v>
      </c>
      <c r="R36" s="152">
        <f t="shared" si="1"/>
        <v>192</v>
      </c>
      <c r="S36" s="154">
        <f t="shared" si="2"/>
        <v>0</v>
      </c>
      <c r="T36" s="169">
        <f t="shared" si="3"/>
        <v>0</v>
      </c>
      <c r="U36" s="153">
        <f t="shared" si="4"/>
        <v>192</v>
      </c>
      <c r="V36" s="166">
        <f t="shared" si="5"/>
        <v>0</v>
      </c>
      <c r="W36" s="167">
        <f t="shared" si="6"/>
        <v>60</v>
      </c>
      <c r="X36" s="168">
        <f t="shared" si="7"/>
        <v>150</v>
      </c>
      <c r="Y36" s="14"/>
    </row>
    <row r="37" spans="1:25" s="7" customFormat="1" ht="12" customHeight="1">
      <c r="A37" s="232">
        <v>40219</v>
      </c>
      <c r="B37" s="27">
        <v>335</v>
      </c>
      <c r="C37" s="24" t="s">
        <v>854</v>
      </c>
      <c r="D37" s="24" t="s">
        <v>42</v>
      </c>
      <c r="E37" s="25">
        <v>5</v>
      </c>
      <c r="F37" s="27" t="s">
        <v>855</v>
      </c>
      <c r="G37" s="180">
        <v>40.5</v>
      </c>
      <c r="H37" s="150">
        <f t="shared" si="8"/>
        <v>202.5</v>
      </c>
      <c r="I37" s="306">
        <v>3.5</v>
      </c>
      <c r="J37" s="155">
        <v>6.5</v>
      </c>
      <c r="K37" s="156">
        <v>0</v>
      </c>
      <c r="L37" s="157">
        <v>0</v>
      </c>
      <c r="M37" s="153">
        <f t="shared" si="9"/>
        <v>6.5</v>
      </c>
      <c r="N37" s="166">
        <v>0</v>
      </c>
      <c r="O37" s="167">
        <v>0</v>
      </c>
      <c r="P37" s="168">
        <v>0</v>
      </c>
      <c r="Q37" s="309">
        <f t="shared" si="0"/>
        <v>17.5</v>
      </c>
      <c r="R37" s="152">
        <f t="shared" si="1"/>
        <v>32.5</v>
      </c>
      <c r="S37" s="154">
        <f t="shared" si="2"/>
        <v>0</v>
      </c>
      <c r="T37" s="169">
        <f t="shared" si="3"/>
        <v>0</v>
      </c>
      <c r="U37" s="153">
        <f t="shared" si="4"/>
        <v>32.5</v>
      </c>
      <c r="V37" s="166">
        <f t="shared" si="5"/>
        <v>0</v>
      </c>
      <c r="W37" s="167">
        <f t="shared" si="6"/>
        <v>0</v>
      </c>
      <c r="X37" s="168">
        <f t="shared" si="7"/>
        <v>0</v>
      </c>
      <c r="Y37" s="14"/>
    </row>
    <row r="38" spans="1:25" s="7" customFormat="1" ht="12" customHeight="1">
      <c r="A38" s="232"/>
      <c r="B38" s="27"/>
      <c r="C38" s="24" t="s">
        <v>854</v>
      </c>
      <c r="D38" s="24" t="s">
        <v>42</v>
      </c>
      <c r="E38" s="25">
        <v>35</v>
      </c>
      <c r="F38" s="27" t="s">
        <v>856</v>
      </c>
      <c r="G38" s="180">
        <v>56</v>
      </c>
      <c r="H38" s="150">
        <f t="shared" si="8"/>
        <v>1960</v>
      </c>
      <c r="I38" s="306">
        <v>3.5</v>
      </c>
      <c r="J38" s="155">
        <v>20.16</v>
      </c>
      <c r="K38" s="156">
        <v>0</v>
      </c>
      <c r="L38" s="157">
        <v>0</v>
      </c>
      <c r="M38" s="153">
        <f t="shared" si="9"/>
        <v>20.16</v>
      </c>
      <c r="N38" s="166">
        <v>0.35</v>
      </c>
      <c r="O38" s="167">
        <v>0.1</v>
      </c>
      <c r="P38" s="168">
        <v>0.5</v>
      </c>
      <c r="Q38" s="309">
        <f t="shared" si="0"/>
        <v>122.5</v>
      </c>
      <c r="R38" s="152">
        <f t="shared" si="1"/>
        <v>705.6</v>
      </c>
      <c r="S38" s="154">
        <f t="shared" si="2"/>
        <v>0</v>
      </c>
      <c r="T38" s="169">
        <f t="shared" si="3"/>
        <v>0</v>
      </c>
      <c r="U38" s="153">
        <f t="shared" si="4"/>
        <v>705.6</v>
      </c>
      <c r="V38" s="166">
        <f t="shared" si="5"/>
        <v>12.25</v>
      </c>
      <c r="W38" s="167">
        <f t="shared" si="6"/>
        <v>3.5</v>
      </c>
      <c r="X38" s="168">
        <f t="shared" si="7"/>
        <v>17.5</v>
      </c>
      <c r="Y38" s="14"/>
    </row>
    <row r="39" spans="1:25" s="7" customFormat="1" ht="12" customHeight="1">
      <c r="A39" s="232"/>
      <c r="B39" s="27"/>
      <c r="C39" s="24" t="s">
        <v>854</v>
      </c>
      <c r="D39" s="24" t="s">
        <v>42</v>
      </c>
      <c r="E39" s="25">
        <v>10</v>
      </c>
      <c r="F39" s="27" t="s">
        <v>857</v>
      </c>
      <c r="G39" s="180">
        <v>46.3</v>
      </c>
      <c r="H39" s="150">
        <f t="shared" si="8"/>
        <v>463</v>
      </c>
      <c r="I39" s="306">
        <v>3.5</v>
      </c>
      <c r="J39" s="155">
        <v>0.46</v>
      </c>
      <c r="K39" s="156">
        <v>0</v>
      </c>
      <c r="L39" s="157">
        <v>0</v>
      </c>
      <c r="M39" s="153">
        <f t="shared" si="9"/>
        <v>0.46</v>
      </c>
      <c r="N39" s="166">
        <v>0.35</v>
      </c>
      <c r="O39" s="167">
        <v>0.1</v>
      </c>
      <c r="P39" s="168">
        <v>0.5</v>
      </c>
      <c r="Q39" s="309">
        <f t="shared" si="0"/>
        <v>35</v>
      </c>
      <c r="R39" s="152">
        <f t="shared" si="1"/>
        <v>4.6000000000000005</v>
      </c>
      <c r="S39" s="154">
        <f t="shared" si="2"/>
        <v>0</v>
      </c>
      <c r="T39" s="169">
        <f t="shared" si="3"/>
        <v>0</v>
      </c>
      <c r="U39" s="153">
        <f t="shared" si="4"/>
        <v>4.6000000000000005</v>
      </c>
      <c r="V39" s="166">
        <f t="shared" si="5"/>
        <v>3.5</v>
      </c>
      <c r="W39" s="167">
        <f t="shared" si="6"/>
        <v>1</v>
      </c>
      <c r="X39" s="168">
        <f t="shared" si="7"/>
        <v>5</v>
      </c>
      <c r="Y39" s="14"/>
    </row>
    <row r="40" spans="1:25" s="7" customFormat="1" ht="12" customHeight="1">
      <c r="A40" s="232"/>
      <c r="B40" s="27"/>
      <c r="C40" s="24" t="s">
        <v>854</v>
      </c>
      <c r="D40" s="24" t="s">
        <v>42</v>
      </c>
      <c r="E40" s="25">
        <v>10</v>
      </c>
      <c r="F40" s="27" t="s">
        <v>858</v>
      </c>
      <c r="G40" s="180">
        <v>56</v>
      </c>
      <c r="H40" s="150">
        <f t="shared" si="8"/>
        <v>560</v>
      </c>
      <c r="I40" s="306">
        <v>3.5</v>
      </c>
      <c r="J40" s="155">
        <v>12.06</v>
      </c>
      <c r="K40" s="156">
        <v>0</v>
      </c>
      <c r="L40" s="157">
        <v>0</v>
      </c>
      <c r="M40" s="153">
        <f t="shared" si="9"/>
        <v>12.06</v>
      </c>
      <c r="N40" s="166">
        <v>0.35</v>
      </c>
      <c r="O40" s="167">
        <v>0.1</v>
      </c>
      <c r="P40" s="168">
        <v>0.5</v>
      </c>
      <c r="Q40" s="309">
        <f t="shared" si="0"/>
        <v>35</v>
      </c>
      <c r="R40" s="152">
        <f t="shared" si="1"/>
        <v>120.60000000000001</v>
      </c>
      <c r="S40" s="154">
        <f t="shared" si="2"/>
        <v>0</v>
      </c>
      <c r="T40" s="169">
        <f t="shared" si="3"/>
        <v>0</v>
      </c>
      <c r="U40" s="153">
        <f t="shared" si="4"/>
        <v>120.60000000000001</v>
      </c>
      <c r="V40" s="166">
        <f t="shared" si="5"/>
        <v>3.5</v>
      </c>
      <c r="W40" s="167">
        <f t="shared" si="6"/>
        <v>1</v>
      </c>
      <c r="X40" s="168">
        <f t="shared" si="7"/>
        <v>5</v>
      </c>
      <c r="Y40" s="14"/>
    </row>
    <row r="41" spans="1:25" s="7" customFormat="1" ht="12" customHeight="1">
      <c r="A41" s="232">
        <v>40220</v>
      </c>
      <c r="B41" s="27">
        <v>336</v>
      </c>
      <c r="C41" s="24"/>
      <c r="D41" s="24" t="s">
        <v>113</v>
      </c>
      <c r="E41" s="25">
        <v>800</v>
      </c>
      <c r="F41" s="27" t="s">
        <v>859</v>
      </c>
      <c r="G41" s="180">
        <v>12.5</v>
      </c>
      <c r="H41" s="150">
        <f t="shared" si="8"/>
        <v>10000</v>
      </c>
      <c r="I41" s="306">
        <v>1.5</v>
      </c>
      <c r="J41" s="155">
        <v>2.78</v>
      </c>
      <c r="K41" s="156">
        <v>1.1000000000000001</v>
      </c>
      <c r="L41" s="157">
        <v>0.17</v>
      </c>
      <c r="M41" s="153">
        <f t="shared" si="9"/>
        <v>3.88</v>
      </c>
      <c r="N41" s="166">
        <v>0.35</v>
      </c>
      <c r="O41" s="167">
        <v>0.1</v>
      </c>
      <c r="P41" s="168">
        <v>0.1</v>
      </c>
      <c r="Q41" s="314">
        <f t="shared" si="0"/>
        <v>1200</v>
      </c>
      <c r="R41" s="152">
        <f t="shared" si="1"/>
        <v>2224</v>
      </c>
      <c r="S41" s="154">
        <f t="shared" si="2"/>
        <v>880.00000000000011</v>
      </c>
      <c r="T41" s="169">
        <f t="shared" si="3"/>
        <v>136</v>
      </c>
      <c r="U41" s="153">
        <f t="shared" si="4"/>
        <v>3104</v>
      </c>
      <c r="V41" s="166">
        <f t="shared" si="5"/>
        <v>280</v>
      </c>
      <c r="W41" s="167">
        <f t="shared" si="6"/>
        <v>80</v>
      </c>
      <c r="X41" s="168">
        <f t="shared" si="7"/>
        <v>80</v>
      </c>
      <c r="Y41" s="14"/>
    </row>
    <row r="42" spans="1:25" s="7" customFormat="1" ht="12" customHeight="1">
      <c r="A42" s="232">
        <v>40219</v>
      </c>
      <c r="B42" s="27">
        <v>337</v>
      </c>
      <c r="C42" s="20" t="s">
        <v>65</v>
      </c>
      <c r="D42" s="24" t="s">
        <v>66</v>
      </c>
      <c r="E42" s="25">
        <f>50+10</f>
        <v>60</v>
      </c>
      <c r="F42" s="27" t="s">
        <v>860</v>
      </c>
      <c r="G42" s="180">
        <v>11.5</v>
      </c>
      <c r="H42" s="150">
        <f t="shared" si="8"/>
        <v>690</v>
      </c>
      <c r="I42" s="306">
        <v>1</v>
      </c>
      <c r="J42" s="155">
        <v>0.94</v>
      </c>
      <c r="K42" s="156">
        <v>1.66</v>
      </c>
      <c r="L42" s="157">
        <v>0.24</v>
      </c>
      <c r="M42" s="153">
        <f t="shared" si="9"/>
        <v>2.5999999999999996</v>
      </c>
      <c r="N42" s="166">
        <v>0.1</v>
      </c>
      <c r="O42" s="167">
        <v>0.1</v>
      </c>
      <c r="P42" s="168">
        <v>0</v>
      </c>
      <c r="Q42" s="309">
        <f t="shared" si="0"/>
        <v>60</v>
      </c>
      <c r="R42" s="152">
        <f t="shared" si="1"/>
        <v>56.4</v>
      </c>
      <c r="S42" s="154">
        <f t="shared" si="2"/>
        <v>99.6</v>
      </c>
      <c r="T42" s="169">
        <f t="shared" si="3"/>
        <v>14.399999999999999</v>
      </c>
      <c r="U42" s="153">
        <f t="shared" si="4"/>
        <v>155.99999999999997</v>
      </c>
      <c r="V42" s="166">
        <f t="shared" si="5"/>
        <v>6</v>
      </c>
      <c r="W42" s="167">
        <f t="shared" si="6"/>
        <v>6</v>
      </c>
      <c r="X42" s="168">
        <f t="shared" si="7"/>
        <v>0</v>
      </c>
      <c r="Y42" s="14"/>
    </row>
    <row r="43" spans="1:25" s="7" customFormat="1" ht="12" customHeight="1">
      <c r="A43" s="232"/>
      <c r="B43" s="27"/>
      <c r="C43" s="20" t="s">
        <v>65</v>
      </c>
      <c r="D43" s="24" t="s">
        <v>66</v>
      </c>
      <c r="E43" s="25">
        <f>50-5</f>
        <v>45</v>
      </c>
      <c r="F43" s="27" t="s">
        <v>861</v>
      </c>
      <c r="G43" s="180">
        <v>62.5</v>
      </c>
      <c r="H43" s="150">
        <f t="shared" si="8"/>
        <v>2812.5</v>
      </c>
      <c r="I43" s="306">
        <v>6.5</v>
      </c>
      <c r="J43" s="155">
        <v>17.16</v>
      </c>
      <c r="K43" s="156">
        <v>5</v>
      </c>
      <c r="L43" s="157">
        <v>0.75</v>
      </c>
      <c r="M43" s="153">
        <f t="shared" si="9"/>
        <v>22.16</v>
      </c>
      <c r="N43" s="166">
        <v>1</v>
      </c>
      <c r="O43" s="167">
        <v>0.1</v>
      </c>
      <c r="P43" s="168">
        <v>0</v>
      </c>
      <c r="Q43" s="309">
        <f t="shared" si="0"/>
        <v>292.5</v>
      </c>
      <c r="R43" s="152">
        <f t="shared" si="1"/>
        <v>772.2</v>
      </c>
      <c r="S43" s="154">
        <f t="shared" si="2"/>
        <v>225</v>
      </c>
      <c r="T43" s="169">
        <f t="shared" si="3"/>
        <v>33.75</v>
      </c>
      <c r="U43" s="153">
        <f t="shared" si="4"/>
        <v>997.2</v>
      </c>
      <c r="V43" s="166">
        <f t="shared" si="5"/>
        <v>45</v>
      </c>
      <c r="W43" s="167">
        <f t="shared" si="6"/>
        <v>4.5</v>
      </c>
      <c r="X43" s="168">
        <f t="shared" si="7"/>
        <v>0</v>
      </c>
      <c r="Y43" s="14"/>
    </row>
    <row r="44" spans="1:25" s="7" customFormat="1" ht="12" customHeight="1">
      <c r="A44" s="232">
        <v>40220</v>
      </c>
      <c r="B44" s="27">
        <v>338</v>
      </c>
      <c r="C44" s="24" t="s">
        <v>862</v>
      </c>
      <c r="D44" s="24" t="s">
        <v>863</v>
      </c>
      <c r="E44" s="25">
        <v>2</v>
      </c>
      <c r="F44" s="27" t="s">
        <v>864</v>
      </c>
      <c r="G44" s="180">
        <f>50+5</f>
        <v>55</v>
      </c>
      <c r="H44" s="150">
        <f t="shared" si="8"/>
        <v>110</v>
      </c>
      <c r="I44" s="306">
        <v>8.5</v>
      </c>
      <c r="J44" s="155">
        <v>10.53</v>
      </c>
      <c r="K44" s="156">
        <v>1.5</v>
      </c>
      <c r="L44" s="157">
        <v>0.23</v>
      </c>
      <c r="M44" s="153">
        <f t="shared" si="9"/>
        <v>12.03</v>
      </c>
      <c r="N44" s="166">
        <v>0.35</v>
      </c>
      <c r="O44" s="167">
        <v>1</v>
      </c>
      <c r="P44" s="168">
        <v>0.1</v>
      </c>
      <c r="Q44" s="309">
        <f t="shared" si="0"/>
        <v>17</v>
      </c>
      <c r="R44" s="152">
        <f t="shared" si="1"/>
        <v>21.06</v>
      </c>
      <c r="S44" s="154">
        <f t="shared" si="2"/>
        <v>3</v>
      </c>
      <c r="T44" s="169">
        <f t="shared" si="3"/>
        <v>0.46</v>
      </c>
      <c r="U44" s="153">
        <f t="shared" si="4"/>
        <v>24.06</v>
      </c>
      <c r="V44" s="166">
        <f t="shared" si="5"/>
        <v>0.7</v>
      </c>
      <c r="W44" s="167">
        <f t="shared" si="6"/>
        <v>2</v>
      </c>
      <c r="X44" s="168">
        <f t="shared" si="7"/>
        <v>0.2</v>
      </c>
      <c r="Y44" s="14"/>
    </row>
    <row r="45" spans="1:25" s="7" customFormat="1" ht="12" customHeight="1">
      <c r="A45" s="232"/>
      <c r="B45" s="27"/>
      <c r="C45" s="24" t="s">
        <v>862</v>
      </c>
      <c r="D45" s="24" t="s">
        <v>863</v>
      </c>
      <c r="E45" s="25">
        <v>2</v>
      </c>
      <c r="F45" s="27" t="s">
        <v>865</v>
      </c>
      <c r="G45" s="180">
        <f>50+5</f>
        <v>55</v>
      </c>
      <c r="H45" s="150">
        <f t="shared" si="8"/>
        <v>110</v>
      </c>
      <c r="I45" s="306">
        <v>8.5</v>
      </c>
      <c r="J45" s="155">
        <v>10.53</v>
      </c>
      <c r="K45" s="156">
        <v>1.5</v>
      </c>
      <c r="L45" s="157">
        <v>0.23</v>
      </c>
      <c r="M45" s="153">
        <f t="shared" si="9"/>
        <v>12.03</v>
      </c>
      <c r="N45" s="166">
        <v>0.35</v>
      </c>
      <c r="O45" s="167">
        <v>1</v>
      </c>
      <c r="P45" s="168">
        <v>0.1</v>
      </c>
      <c r="Q45" s="309">
        <f t="shared" si="0"/>
        <v>17</v>
      </c>
      <c r="R45" s="152">
        <f t="shared" si="1"/>
        <v>21.06</v>
      </c>
      <c r="S45" s="154">
        <f t="shared" si="2"/>
        <v>3</v>
      </c>
      <c r="T45" s="169">
        <f t="shared" si="3"/>
        <v>0.46</v>
      </c>
      <c r="U45" s="153">
        <f t="shared" si="4"/>
        <v>24.06</v>
      </c>
      <c r="V45" s="166">
        <f t="shared" si="5"/>
        <v>0.7</v>
      </c>
      <c r="W45" s="167">
        <f t="shared" si="6"/>
        <v>2</v>
      </c>
      <c r="X45" s="168">
        <f t="shared" si="7"/>
        <v>0.2</v>
      </c>
      <c r="Y45" s="14"/>
    </row>
    <row r="46" spans="1:25" s="7" customFormat="1" ht="12" customHeight="1">
      <c r="A46" s="232"/>
      <c r="B46" s="27"/>
      <c r="C46" s="24" t="s">
        <v>862</v>
      </c>
      <c r="D46" s="24" t="s">
        <v>863</v>
      </c>
      <c r="E46" s="25">
        <v>4</v>
      </c>
      <c r="F46" s="27" t="s">
        <v>866</v>
      </c>
      <c r="G46" s="180">
        <v>20</v>
      </c>
      <c r="H46" s="150">
        <f t="shared" si="8"/>
        <v>80</v>
      </c>
      <c r="I46" s="306">
        <v>1</v>
      </c>
      <c r="J46" s="155">
        <v>0.94</v>
      </c>
      <c r="K46" s="156">
        <v>1.66</v>
      </c>
      <c r="L46" s="157">
        <v>0.24</v>
      </c>
      <c r="M46" s="153">
        <f t="shared" si="9"/>
        <v>2.5999999999999996</v>
      </c>
      <c r="N46" s="166">
        <v>0.1</v>
      </c>
      <c r="O46" s="167">
        <v>0.1</v>
      </c>
      <c r="P46" s="168">
        <v>0</v>
      </c>
      <c r="Q46" s="309">
        <f t="shared" si="0"/>
        <v>4</v>
      </c>
      <c r="R46" s="152">
        <f t="shared" si="1"/>
        <v>3.76</v>
      </c>
      <c r="S46" s="154">
        <f t="shared" si="2"/>
        <v>6.64</v>
      </c>
      <c r="T46" s="169">
        <f t="shared" si="3"/>
        <v>0.96</v>
      </c>
      <c r="U46" s="153">
        <f t="shared" si="4"/>
        <v>10.399999999999999</v>
      </c>
      <c r="V46" s="166">
        <f>N46*E46</f>
        <v>0.4</v>
      </c>
      <c r="W46" s="167">
        <f>O46*E46</f>
        <v>0.4</v>
      </c>
      <c r="X46" s="168">
        <f>P46*E46</f>
        <v>0</v>
      </c>
      <c r="Y46" s="14"/>
    </row>
    <row r="47" spans="1:25" s="7" customFormat="1" ht="12" customHeight="1">
      <c r="A47" s="232">
        <v>40220</v>
      </c>
      <c r="B47" s="27">
        <v>339</v>
      </c>
      <c r="C47" s="24" t="s">
        <v>137</v>
      </c>
      <c r="D47" s="24" t="s">
        <v>138</v>
      </c>
      <c r="E47" s="25">
        <v>36</v>
      </c>
      <c r="F47" s="27" t="s">
        <v>867</v>
      </c>
      <c r="G47" s="180">
        <v>35.5</v>
      </c>
      <c r="H47" s="150">
        <f t="shared" si="8"/>
        <v>1278</v>
      </c>
      <c r="I47" s="306">
        <v>3.5</v>
      </c>
      <c r="J47" s="155">
        <v>4.82</v>
      </c>
      <c r="K47" s="156">
        <v>4</v>
      </c>
      <c r="L47" s="157">
        <v>0.6</v>
      </c>
      <c r="M47" s="153">
        <f t="shared" si="9"/>
        <v>8.82</v>
      </c>
      <c r="N47" s="166">
        <v>0.35</v>
      </c>
      <c r="O47" s="167">
        <v>0.1</v>
      </c>
      <c r="P47" s="168">
        <v>0</v>
      </c>
      <c r="Q47" s="309">
        <f t="shared" si="0"/>
        <v>126</v>
      </c>
      <c r="R47" s="152">
        <f t="shared" si="1"/>
        <v>173.52</v>
      </c>
      <c r="S47" s="154">
        <f t="shared" si="2"/>
        <v>144</v>
      </c>
      <c r="T47" s="169">
        <f t="shared" si="3"/>
        <v>21.599999999999998</v>
      </c>
      <c r="U47" s="153">
        <f t="shared" si="4"/>
        <v>317.52</v>
      </c>
      <c r="V47" s="166">
        <f t="shared" si="5"/>
        <v>12.6</v>
      </c>
      <c r="W47" s="167">
        <f t="shared" si="6"/>
        <v>3.6</v>
      </c>
      <c r="X47" s="168">
        <f t="shared" si="7"/>
        <v>0</v>
      </c>
      <c r="Y47" s="14"/>
    </row>
    <row r="48" spans="1:25" s="7" customFormat="1" ht="12" customHeight="1">
      <c r="A48" s="232"/>
      <c r="B48" s="27"/>
      <c r="C48" s="24" t="s">
        <v>137</v>
      </c>
      <c r="D48" s="24" t="s">
        <v>138</v>
      </c>
      <c r="E48" s="25">
        <v>36</v>
      </c>
      <c r="F48" s="27" t="s">
        <v>868</v>
      </c>
      <c r="G48" s="180">
        <v>35.5</v>
      </c>
      <c r="H48" s="150">
        <f t="shared" si="8"/>
        <v>1278</v>
      </c>
      <c r="I48" s="306">
        <v>3.5</v>
      </c>
      <c r="J48" s="155">
        <v>9.82</v>
      </c>
      <c r="K48" s="156">
        <v>4</v>
      </c>
      <c r="L48" s="157">
        <v>0.6</v>
      </c>
      <c r="M48" s="153">
        <f t="shared" si="9"/>
        <v>13.82</v>
      </c>
      <c r="N48" s="166">
        <v>0.35</v>
      </c>
      <c r="O48" s="167">
        <v>0.1</v>
      </c>
      <c r="P48" s="168">
        <v>0</v>
      </c>
      <c r="Q48" s="309">
        <f t="shared" si="0"/>
        <v>126</v>
      </c>
      <c r="R48" s="152">
        <f t="shared" si="1"/>
        <v>353.52</v>
      </c>
      <c r="S48" s="154">
        <f t="shared" si="2"/>
        <v>144</v>
      </c>
      <c r="T48" s="169">
        <f t="shared" si="3"/>
        <v>21.599999999999998</v>
      </c>
      <c r="U48" s="153">
        <f t="shared" si="4"/>
        <v>497.52</v>
      </c>
      <c r="V48" s="166">
        <f>N48*E48</f>
        <v>12.6</v>
      </c>
      <c r="W48" s="167">
        <f>O48*E48</f>
        <v>3.6</v>
      </c>
      <c r="X48" s="168">
        <f>P48*E48</f>
        <v>0</v>
      </c>
      <c r="Y48" s="14"/>
    </row>
    <row r="49" spans="1:25" s="7" customFormat="1" ht="12" customHeight="1">
      <c r="A49" s="232">
        <v>40221</v>
      </c>
      <c r="B49" s="27">
        <v>340</v>
      </c>
      <c r="C49" s="24" t="s">
        <v>167</v>
      </c>
      <c r="D49" s="24" t="s">
        <v>168</v>
      </c>
      <c r="E49" s="25">
        <v>300</v>
      </c>
      <c r="F49" s="27" t="s">
        <v>869</v>
      </c>
      <c r="G49" s="180">
        <v>4.7</v>
      </c>
      <c r="H49" s="150">
        <f t="shared" si="8"/>
        <v>1410</v>
      </c>
      <c r="I49" s="306">
        <v>0.2</v>
      </c>
      <c r="J49" s="155">
        <v>-1.17</v>
      </c>
      <c r="K49" s="156">
        <v>2.8</v>
      </c>
      <c r="L49" s="157">
        <v>0.25</v>
      </c>
      <c r="M49" s="153">
        <f t="shared" si="9"/>
        <v>1.63</v>
      </c>
      <c r="N49" s="166">
        <v>0</v>
      </c>
      <c r="O49" s="167">
        <v>0.05</v>
      </c>
      <c r="P49" s="168">
        <v>0.05</v>
      </c>
      <c r="Q49" s="309">
        <f t="shared" si="0"/>
        <v>60</v>
      </c>
      <c r="R49" s="152">
        <f t="shared" si="1"/>
        <v>-351</v>
      </c>
      <c r="S49" s="154">
        <f t="shared" si="2"/>
        <v>840</v>
      </c>
      <c r="T49" s="169">
        <f t="shared" si="3"/>
        <v>75</v>
      </c>
      <c r="U49" s="153">
        <f t="shared" si="4"/>
        <v>488.99999999999994</v>
      </c>
      <c r="V49" s="166">
        <f t="shared" si="5"/>
        <v>0</v>
      </c>
      <c r="W49" s="167">
        <f t="shared" si="6"/>
        <v>15</v>
      </c>
      <c r="X49" s="168">
        <f t="shared" si="7"/>
        <v>15</v>
      </c>
      <c r="Y49" s="14"/>
    </row>
    <row r="50" spans="1:25" s="7" customFormat="1" ht="12" customHeight="1">
      <c r="A50" s="232"/>
      <c r="B50" s="27"/>
      <c r="C50" s="24" t="s">
        <v>167</v>
      </c>
      <c r="D50" s="24" t="s">
        <v>168</v>
      </c>
      <c r="E50" s="25">
        <v>100</v>
      </c>
      <c r="F50" s="27" t="s">
        <v>870</v>
      </c>
      <c r="G50" s="180">
        <v>13.5</v>
      </c>
      <c r="H50" s="150">
        <f t="shared" si="8"/>
        <v>1350</v>
      </c>
      <c r="I50" s="306">
        <v>0.5</v>
      </c>
      <c r="J50" s="155">
        <v>0.01</v>
      </c>
      <c r="K50" s="156">
        <v>2.5</v>
      </c>
      <c r="L50" s="157">
        <v>0.38</v>
      </c>
      <c r="M50" s="153">
        <f t="shared" si="9"/>
        <v>2.5099999999999998</v>
      </c>
      <c r="N50" s="166">
        <v>0.5</v>
      </c>
      <c r="O50" s="167">
        <v>0.1</v>
      </c>
      <c r="P50" s="168">
        <v>0.2</v>
      </c>
      <c r="Q50" s="309">
        <f t="shared" si="0"/>
        <v>50</v>
      </c>
      <c r="R50" s="152">
        <f t="shared" si="1"/>
        <v>1</v>
      </c>
      <c r="S50" s="154">
        <f t="shared" si="2"/>
        <v>250</v>
      </c>
      <c r="T50" s="169">
        <f t="shared" si="3"/>
        <v>38</v>
      </c>
      <c r="U50" s="153">
        <f t="shared" si="4"/>
        <v>250.99999999999997</v>
      </c>
      <c r="V50" s="166">
        <f t="shared" si="5"/>
        <v>50</v>
      </c>
      <c r="W50" s="167">
        <f t="shared" si="6"/>
        <v>10</v>
      </c>
      <c r="X50" s="168">
        <f t="shared" si="7"/>
        <v>20</v>
      </c>
      <c r="Y50" s="14"/>
    </row>
    <row r="51" spans="1:25" s="7" customFormat="1" ht="12" customHeight="1">
      <c r="A51" s="232"/>
      <c r="B51" s="27"/>
      <c r="C51" s="24" t="s">
        <v>167</v>
      </c>
      <c r="D51" s="24" t="s">
        <v>168</v>
      </c>
      <c r="E51" s="25">
        <v>7</v>
      </c>
      <c r="F51" s="27" t="s">
        <v>871</v>
      </c>
      <c r="G51" s="180">
        <v>7.75</v>
      </c>
      <c r="H51" s="150">
        <f t="shared" si="8"/>
        <v>54.25</v>
      </c>
      <c r="I51" s="306">
        <v>0.5</v>
      </c>
      <c r="J51" s="155">
        <v>1.8</v>
      </c>
      <c r="K51" s="156">
        <v>0</v>
      </c>
      <c r="L51" s="157">
        <v>0</v>
      </c>
      <c r="M51" s="153">
        <f t="shared" si="9"/>
        <v>1.8</v>
      </c>
      <c r="N51" s="166">
        <v>0</v>
      </c>
      <c r="O51" s="167">
        <v>0.1</v>
      </c>
      <c r="P51" s="168">
        <v>0.1</v>
      </c>
      <c r="Q51" s="309">
        <f t="shared" si="0"/>
        <v>3.5</v>
      </c>
      <c r="R51" s="152">
        <f t="shared" si="1"/>
        <v>12.6</v>
      </c>
      <c r="S51" s="154">
        <f t="shared" si="2"/>
        <v>0</v>
      </c>
      <c r="T51" s="169">
        <f t="shared" si="3"/>
        <v>0</v>
      </c>
      <c r="U51" s="153">
        <f t="shared" si="4"/>
        <v>12.6</v>
      </c>
      <c r="V51" s="166">
        <f t="shared" si="5"/>
        <v>0</v>
      </c>
      <c r="W51" s="167">
        <f t="shared" si="6"/>
        <v>0.70000000000000007</v>
      </c>
      <c r="X51" s="168">
        <f t="shared" si="7"/>
        <v>0.70000000000000007</v>
      </c>
      <c r="Y51" s="14"/>
    </row>
    <row r="52" spans="1:25" s="7" customFormat="1" ht="12" customHeight="1">
      <c r="A52" s="232">
        <v>40226</v>
      </c>
      <c r="B52" s="27">
        <v>341</v>
      </c>
      <c r="C52" s="24" t="s">
        <v>872</v>
      </c>
      <c r="D52" s="24" t="s">
        <v>213</v>
      </c>
      <c r="E52" s="25">
        <v>20</v>
      </c>
      <c r="F52" s="27" t="s">
        <v>873</v>
      </c>
      <c r="G52" s="180">
        <v>80</v>
      </c>
      <c r="H52" s="150">
        <f t="shared" si="8"/>
        <v>1600</v>
      </c>
      <c r="I52" s="306">
        <v>8.5</v>
      </c>
      <c r="J52" s="155">
        <v>15.15</v>
      </c>
      <c r="K52" s="156">
        <v>4</v>
      </c>
      <c r="L52" s="157">
        <v>0.6</v>
      </c>
      <c r="M52" s="153">
        <f t="shared" si="9"/>
        <v>19.149999999999999</v>
      </c>
      <c r="N52" s="166">
        <v>0.35</v>
      </c>
      <c r="O52" s="167">
        <v>1</v>
      </c>
      <c r="P52" s="168">
        <v>0</v>
      </c>
      <c r="Q52" s="309">
        <f t="shared" si="0"/>
        <v>170</v>
      </c>
      <c r="R52" s="152">
        <f t="shared" si="1"/>
        <v>303</v>
      </c>
      <c r="S52" s="154">
        <f t="shared" si="2"/>
        <v>80</v>
      </c>
      <c r="T52" s="169">
        <f t="shared" si="3"/>
        <v>12</v>
      </c>
      <c r="U52" s="153">
        <f t="shared" si="4"/>
        <v>383</v>
      </c>
      <c r="V52" s="166">
        <f t="shared" si="5"/>
        <v>7</v>
      </c>
      <c r="W52" s="167">
        <f t="shared" si="6"/>
        <v>20</v>
      </c>
      <c r="X52" s="168">
        <f t="shared" si="7"/>
        <v>0</v>
      </c>
      <c r="Y52" s="14"/>
    </row>
    <row r="53" spans="1:25" s="7" customFormat="1" ht="12" customHeight="1">
      <c r="A53" s="232"/>
      <c r="B53" s="27"/>
      <c r="C53" s="24" t="s">
        <v>872</v>
      </c>
      <c r="D53" s="24" t="s">
        <v>213</v>
      </c>
      <c r="E53" s="25">
        <v>10</v>
      </c>
      <c r="F53" s="27" t="s">
        <v>874</v>
      </c>
      <c r="G53" s="180">
        <v>80</v>
      </c>
      <c r="H53" s="150">
        <f t="shared" si="8"/>
        <v>800</v>
      </c>
      <c r="I53" s="306">
        <v>8.5</v>
      </c>
      <c r="J53" s="155">
        <v>13.85</v>
      </c>
      <c r="K53" s="156">
        <v>4</v>
      </c>
      <c r="L53" s="157">
        <v>0.6</v>
      </c>
      <c r="M53" s="153">
        <f t="shared" si="9"/>
        <v>17.850000000000001</v>
      </c>
      <c r="N53" s="166">
        <v>0.35</v>
      </c>
      <c r="O53" s="167">
        <v>1</v>
      </c>
      <c r="P53" s="168">
        <v>0</v>
      </c>
      <c r="Q53" s="309">
        <f t="shared" si="0"/>
        <v>85</v>
      </c>
      <c r="R53" s="152">
        <f t="shared" si="1"/>
        <v>138.5</v>
      </c>
      <c r="S53" s="154">
        <f t="shared" si="2"/>
        <v>40</v>
      </c>
      <c r="T53" s="169">
        <f t="shared" si="3"/>
        <v>6</v>
      </c>
      <c r="U53" s="153">
        <f t="shared" si="4"/>
        <v>178.5</v>
      </c>
      <c r="V53" s="166">
        <f t="shared" si="5"/>
        <v>3.5</v>
      </c>
      <c r="W53" s="167">
        <f t="shared" si="6"/>
        <v>10</v>
      </c>
      <c r="X53" s="168">
        <f t="shared" si="7"/>
        <v>0</v>
      </c>
      <c r="Y53" s="14"/>
    </row>
    <row r="54" spans="1:25" s="7" customFormat="1" ht="12" customHeight="1">
      <c r="A54" s="232"/>
      <c r="B54" s="27"/>
      <c r="C54" s="24" t="s">
        <v>872</v>
      </c>
      <c r="D54" s="24" t="s">
        <v>213</v>
      </c>
      <c r="E54" s="25">
        <v>20</v>
      </c>
      <c r="F54" s="27" t="s">
        <v>875</v>
      </c>
      <c r="G54" s="180">
        <v>85</v>
      </c>
      <c r="H54" s="150">
        <f t="shared" si="8"/>
        <v>1700</v>
      </c>
      <c r="I54" s="306">
        <v>8.5</v>
      </c>
      <c r="J54" s="155">
        <v>17.149999999999999</v>
      </c>
      <c r="K54" s="156">
        <v>4</v>
      </c>
      <c r="L54" s="157">
        <v>0.6</v>
      </c>
      <c r="M54" s="153">
        <f t="shared" si="9"/>
        <v>21.15</v>
      </c>
      <c r="N54" s="166">
        <v>0.35</v>
      </c>
      <c r="O54" s="167">
        <v>1</v>
      </c>
      <c r="P54" s="168">
        <v>0</v>
      </c>
      <c r="Q54" s="309">
        <f t="shared" si="0"/>
        <v>170</v>
      </c>
      <c r="R54" s="178">
        <f t="shared" si="1"/>
        <v>343</v>
      </c>
      <c r="S54" s="154">
        <f t="shared" si="2"/>
        <v>80</v>
      </c>
      <c r="T54" s="169">
        <f t="shared" si="3"/>
        <v>12</v>
      </c>
      <c r="U54" s="179">
        <f t="shared" si="4"/>
        <v>423</v>
      </c>
      <c r="V54" s="166">
        <f t="shared" si="5"/>
        <v>7</v>
      </c>
      <c r="W54" s="167">
        <f t="shared" si="6"/>
        <v>20</v>
      </c>
      <c r="X54" s="168">
        <f t="shared" si="7"/>
        <v>0</v>
      </c>
      <c r="Y54" s="14"/>
    </row>
    <row r="55" spans="1:25" s="7" customFormat="1" ht="12" customHeight="1">
      <c r="A55" s="232"/>
      <c r="B55" s="25"/>
      <c r="C55" s="24" t="s">
        <v>872</v>
      </c>
      <c r="D55" s="24" t="s">
        <v>213</v>
      </c>
      <c r="E55" s="25">
        <v>10</v>
      </c>
      <c r="F55" s="27" t="s">
        <v>876</v>
      </c>
      <c r="G55" s="181">
        <v>85</v>
      </c>
      <c r="H55" s="150">
        <f t="shared" si="8"/>
        <v>850</v>
      </c>
      <c r="I55" s="306">
        <v>8.5</v>
      </c>
      <c r="J55" s="155">
        <v>15.95</v>
      </c>
      <c r="K55" s="156">
        <v>4</v>
      </c>
      <c r="L55" s="157">
        <v>0.6</v>
      </c>
      <c r="M55" s="153">
        <f t="shared" si="9"/>
        <v>19.95</v>
      </c>
      <c r="N55" s="166">
        <v>0.35</v>
      </c>
      <c r="O55" s="167">
        <v>1</v>
      </c>
      <c r="P55" s="168">
        <v>0</v>
      </c>
      <c r="Q55" s="309">
        <f t="shared" si="0"/>
        <v>85</v>
      </c>
      <c r="R55" s="152">
        <f t="shared" si="1"/>
        <v>159.5</v>
      </c>
      <c r="S55" s="154">
        <f t="shared" si="2"/>
        <v>40</v>
      </c>
      <c r="T55" s="169">
        <f t="shared" si="3"/>
        <v>6</v>
      </c>
      <c r="U55" s="153">
        <f t="shared" si="4"/>
        <v>199.5</v>
      </c>
      <c r="V55" s="166">
        <f t="shared" si="5"/>
        <v>3.5</v>
      </c>
      <c r="W55" s="167">
        <f t="shared" si="6"/>
        <v>10</v>
      </c>
      <c r="X55" s="168">
        <f t="shared" si="7"/>
        <v>0</v>
      </c>
      <c r="Y55" s="14"/>
    </row>
    <row r="56" spans="1:25" s="7" customFormat="1" ht="12" customHeight="1">
      <c r="A56" s="232"/>
      <c r="B56" s="25"/>
      <c r="C56" s="24" t="s">
        <v>872</v>
      </c>
      <c r="D56" s="24" t="s">
        <v>213</v>
      </c>
      <c r="E56" s="25">
        <v>1</v>
      </c>
      <c r="F56" s="27" t="s">
        <v>877</v>
      </c>
      <c r="G56" s="181">
        <v>50</v>
      </c>
      <c r="H56" s="150">
        <f t="shared" si="8"/>
        <v>50</v>
      </c>
      <c r="I56" s="306">
        <v>4.25</v>
      </c>
      <c r="J56" s="155">
        <v>7.5750000000000002</v>
      </c>
      <c r="K56" s="156">
        <v>0</v>
      </c>
      <c r="L56" s="157">
        <v>0</v>
      </c>
      <c r="M56" s="153">
        <f t="shared" si="9"/>
        <v>7.5750000000000002</v>
      </c>
      <c r="N56" s="166">
        <v>0.17499999999999999</v>
      </c>
      <c r="O56" s="167">
        <v>0.5</v>
      </c>
      <c r="P56" s="168">
        <v>0</v>
      </c>
      <c r="Q56" s="309">
        <f t="shared" si="0"/>
        <v>4.25</v>
      </c>
      <c r="R56" s="152">
        <f t="shared" si="1"/>
        <v>7.5750000000000002</v>
      </c>
      <c r="S56" s="154">
        <f t="shared" si="2"/>
        <v>0</v>
      </c>
      <c r="T56" s="169">
        <f t="shared" si="3"/>
        <v>0</v>
      </c>
      <c r="U56" s="153">
        <f t="shared" si="4"/>
        <v>7.5750000000000002</v>
      </c>
      <c r="V56" s="166">
        <f t="shared" si="5"/>
        <v>0.17499999999999999</v>
      </c>
      <c r="W56" s="167">
        <f t="shared" si="6"/>
        <v>0.5</v>
      </c>
      <c r="X56" s="168">
        <f t="shared" si="7"/>
        <v>0</v>
      </c>
      <c r="Y56" s="14"/>
    </row>
    <row r="57" spans="1:25" s="7" customFormat="1" ht="12" customHeight="1">
      <c r="A57" s="232">
        <v>40226</v>
      </c>
      <c r="B57" s="27">
        <v>342</v>
      </c>
      <c r="C57" s="24" t="s">
        <v>27</v>
      </c>
      <c r="D57" s="24" t="s">
        <v>24</v>
      </c>
      <c r="E57" s="25">
        <v>5</v>
      </c>
      <c r="F57" s="27" t="s">
        <v>878</v>
      </c>
      <c r="G57" s="180">
        <v>32</v>
      </c>
      <c r="H57" s="150">
        <f t="shared" si="8"/>
        <v>160</v>
      </c>
      <c r="I57" s="306">
        <v>3.5</v>
      </c>
      <c r="J57" s="155">
        <v>1.1599999999999999</v>
      </c>
      <c r="K57" s="156">
        <v>1.6</v>
      </c>
      <c r="L57" s="157">
        <v>0.24</v>
      </c>
      <c r="M57" s="153">
        <f t="shared" si="9"/>
        <v>2.76</v>
      </c>
      <c r="N57" s="166">
        <v>0.35</v>
      </c>
      <c r="O57" s="167">
        <v>0.1</v>
      </c>
      <c r="P57" s="168">
        <v>0.5</v>
      </c>
      <c r="Q57" s="309">
        <f t="shared" si="0"/>
        <v>17.5</v>
      </c>
      <c r="R57" s="152">
        <f t="shared" si="1"/>
        <v>5.8</v>
      </c>
      <c r="S57" s="154">
        <f t="shared" si="2"/>
        <v>8</v>
      </c>
      <c r="T57" s="169">
        <f t="shared" si="3"/>
        <v>1.2</v>
      </c>
      <c r="U57" s="153">
        <f t="shared" si="4"/>
        <v>13.799999999999999</v>
      </c>
      <c r="V57" s="166">
        <f t="shared" si="5"/>
        <v>1.75</v>
      </c>
      <c r="W57" s="167">
        <f t="shared" si="6"/>
        <v>0.5</v>
      </c>
      <c r="X57" s="168">
        <f t="shared" si="7"/>
        <v>2.5</v>
      </c>
      <c r="Y57" s="14"/>
    </row>
    <row r="58" spans="1:25" s="7" customFormat="1" ht="12" customHeight="1">
      <c r="A58" s="232"/>
      <c r="B58" s="27"/>
      <c r="C58" s="24" t="s">
        <v>27</v>
      </c>
      <c r="D58" s="24" t="s">
        <v>24</v>
      </c>
      <c r="E58" s="25">
        <v>30</v>
      </c>
      <c r="F58" s="27" t="s">
        <v>879</v>
      </c>
      <c r="G58" s="180">
        <v>85.5</v>
      </c>
      <c r="H58" s="150">
        <f t="shared" si="8"/>
        <v>2565</v>
      </c>
      <c r="I58" s="306">
        <v>5</v>
      </c>
      <c r="J58" s="155">
        <v>15.25</v>
      </c>
      <c r="K58" s="156">
        <v>0</v>
      </c>
      <c r="L58" s="157">
        <v>0</v>
      </c>
      <c r="M58" s="153">
        <f t="shared" si="9"/>
        <v>15.25</v>
      </c>
      <c r="N58" s="166">
        <v>1</v>
      </c>
      <c r="O58" s="167">
        <v>0.25</v>
      </c>
      <c r="P58" s="168">
        <v>0.5</v>
      </c>
      <c r="Q58" s="309">
        <f t="shared" si="0"/>
        <v>150</v>
      </c>
      <c r="R58" s="152">
        <f t="shared" si="1"/>
        <v>457.5</v>
      </c>
      <c r="S58" s="154">
        <f t="shared" si="2"/>
        <v>0</v>
      </c>
      <c r="T58" s="169">
        <f t="shared" si="3"/>
        <v>0</v>
      </c>
      <c r="U58" s="153">
        <f t="shared" si="4"/>
        <v>457.5</v>
      </c>
      <c r="V58" s="166">
        <f t="shared" si="5"/>
        <v>30</v>
      </c>
      <c r="W58" s="167">
        <f t="shared" si="6"/>
        <v>7.5</v>
      </c>
      <c r="X58" s="168">
        <f t="shared" si="7"/>
        <v>15</v>
      </c>
      <c r="Y58" s="14"/>
    </row>
    <row r="59" spans="1:25" ht="12" customHeight="1">
      <c r="A59" s="232"/>
      <c r="B59" s="27"/>
      <c r="C59" s="24" t="s">
        <v>27</v>
      </c>
      <c r="D59" s="24" t="s">
        <v>24</v>
      </c>
      <c r="E59" s="25">
        <v>7</v>
      </c>
      <c r="F59" s="27" t="s">
        <v>880</v>
      </c>
      <c r="G59" s="180">
        <v>85.5</v>
      </c>
      <c r="H59" s="150">
        <f t="shared" si="8"/>
        <v>598.5</v>
      </c>
      <c r="I59" s="306">
        <v>5</v>
      </c>
      <c r="J59" s="155">
        <v>25.12</v>
      </c>
      <c r="K59" s="156">
        <v>0</v>
      </c>
      <c r="L59" s="157">
        <v>0</v>
      </c>
      <c r="M59" s="153">
        <f t="shared" si="9"/>
        <v>25.12</v>
      </c>
      <c r="N59" s="166">
        <v>1</v>
      </c>
      <c r="O59" s="167">
        <v>0.25</v>
      </c>
      <c r="P59" s="168">
        <v>0.5</v>
      </c>
      <c r="Q59" s="309">
        <f t="shared" si="0"/>
        <v>35</v>
      </c>
      <c r="R59" s="152">
        <f t="shared" si="1"/>
        <v>175.84</v>
      </c>
      <c r="S59" s="154">
        <f t="shared" si="2"/>
        <v>0</v>
      </c>
      <c r="T59" s="169">
        <f t="shared" si="3"/>
        <v>0</v>
      </c>
      <c r="U59" s="153">
        <f t="shared" si="4"/>
        <v>175.84</v>
      </c>
      <c r="V59" s="166">
        <f t="shared" si="5"/>
        <v>7</v>
      </c>
      <c r="W59" s="167">
        <f t="shared" si="6"/>
        <v>1.75</v>
      </c>
      <c r="X59" s="168">
        <f t="shared" si="7"/>
        <v>3.5</v>
      </c>
      <c r="Y59" s="14"/>
    </row>
    <row r="60" spans="1:25" ht="12" customHeight="1">
      <c r="A60" s="232"/>
      <c r="B60" s="27"/>
      <c r="C60" s="24" t="s">
        <v>27</v>
      </c>
      <c r="D60" s="24" t="s">
        <v>24</v>
      </c>
      <c r="E60" s="25">
        <v>1</v>
      </c>
      <c r="F60" s="27" t="s">
        <v>881</v>
      </c>
      <c r="G60" s="180">
        <v>95.5</v>
      </c>
      <c r="H60" s="150">
        <f t="shared" si="8"/>
        <v>95.5</v>
      </c>
      <c r="I60" s="306">
        <v>5</v>
      </c>
      <c r="J60" s="155">
        <v>17.23</v>
      </c>
      <c r="K60" s="156">
        <v>0</v>
      </c>
      <c r="L60" s="157">
        <v>0</v>
      </c>
      <c r="M60" s="153">
        <f t="shared" si="9"/>
        <v>17.23</v>
      </c>
      <c r="N60" s="166">
        <v>1</v>
      </c>
      <c r="O60" s="167">
        <v>0.25</v>
      </c>
      <c r="P60" s="168">
        <v>0.5</v>
      </c>
      <c r="Q60" s="309">
        <f t="shared" si="0"/>
        <v>5</v>
      </c>
      <c r="R60" s="152">
        <f t="shared" si="1"/>
        <v>17.23</v>
      </c>
      <c r="S60" s="154">
        <f t="shared" si="2"/>
        <v>0</v>
      </c>
      <c r="T60" s="169">
        <f t="shared" si="3"/>
        <v>0</v>
      </c>
      <c r="U60" s="153">
        <f t="shared" si="4"/>
        <v>17.23</v>
      </c>
      <c r="V60" s="166">
        <f t="shared" si="5"/>
        <v>1</v>
      </c>
      <c r="W60" s="167">
        <f t="shared" si="6"/>
        <v>0.25</v>
      </c>
      <c r="X60" s="168">
        <f t="shared" si="7"/>
        <v>0.5</v>
      </c>
      <c r="Y60" s="14"/>
    </row>
    <row r="61" spans="1:25" ht="12" customHeight="1">
      <c r="A61" s="232"/>
      <c r="B61" s="27"/>
      <c r="C61" s="24" t="s">
        <v>27</v>
      </c>
      <c r="D61" s="24" t="s">
        <v>24</v>
      </c>
      <c r="E61" s="25">
        <v>4</v>
      </c>
      <c r="F61" s="27" t="s">
        <v>882</v>
      </c>
      <c r="G61" s="368">
        <v>90</v>
      </c>
      <c r="H61" s="150">
        <f t="shared" si="8"/>
        <v>360</v>
      </c>
      <c r="I61" s="306">
        <v>2.5</v>
      </c>
      <c r="J61" s="155">
        <v>3.5</v>
      </c>
      <c r="K61" s="156">
        <v>0</v>
      </c>
      <c r="L61" s="157">
        <v>0</v>
      </c>
      <c r="M61" s="153">
        <f t="shared" si="9"/>
        <v>3.5</v>
      </c>
      <c r="N61" s="166">
        <v>0</v>
      </c>
      <c r="O61" s="167">
        <v>0.1</v>
      </c>
      <c r="P61" s="168">
        <v>0.5</v>
      </c>
      <c r="Q61" s="309">
        <f t="shared" si="0"/>
        <v>10</v>
      </c>
      <c r="R61" s="152">
        <f t="shared" si="1"/>
        <v>14</v>
      </c>
      <c r="S61" s="154">
        <f t="shared" si="2"/>
        <v>0</v>
      </c>
      <c r="T61" s="169">
        <f t="shared" si="3"/>
        <v>0</v>
      </c>
      <c r="U61" s="153">
        <f t="shared" si="4"/>
        <v>14</v>
      </c>
      <c r="V61" s="166">
        <f t="shared" si="5"/>
        <v>0</v>
      </c>
      <c r="W61" s="167">
        <f t="shared" si="6"/>
        <v>0.4</v>
      </c>
      <c r="X61" s="168">
        <f t="shared" si="7"/>
        <v>2</v>
      </c>
      <c r="Y61" s="14"/>
    </row>
    <row r="62" spans="1:25" ht="12" customHeight="1">
      <c r="A62" s="232"/>
      <c r="B62" s="27"/>
      <c r="C62" s="24" t="s">
        <v>27</v>
      </c>
      <c r="D62" s="24" t="s">
        <v>24</v>
      </c>
      <c r="E62" s="25">
        <v>4</v>
      </c>
      <c r="F62" s="27" t="s">
        <v>883</v>
      </c>
      <c r="G62" s="368"/>
      <c r="H62" s="150">
        <f t="shared" si="8"/>
        <v>0</v>
      </c>
      <c r="I62" s="306">
        <v>2.5</v>
      </c>
      <c r="J62" s="155">
        <v>3.5</v>
      </c>
      <c r="K62" s="156">
        <v>0</v>
      </c>
      <c r="L62" s="157">
        <v>0</v>
      </c>
      <c r="M62" s="153">
        <f>J62+K62</f>
        <v>3.5</v>
      </c>
      <c r="N62" s="166">
        <v>0</v>
      </c>
      <c r="O62" s="167">
        <v>0.1</v>
      </c>
      <c r="P62" s="168">
        <v>0.5</v>
      </c>
      <c r="Q62" s="309">
        <f>E62*I62</f>
        <v>10</v>
      </c>
      <c r="R62" s="152">
        <f>E62*J62</f>
        <v>14</v>
      </c>
      <c r="S62" s="154">
        <f>E62*K62</f>
        <v>0</v>
      </c>
      <c r="T62" s="169">
        <f>E62*L62</f>
        <v>0</v>
      </c>
      <c r="U62" s="153">
        <f>E62*M62</f>
        <v>14</v>
      </c>
      <c r="V62" s="166">
        <f>N62*E62</f>
        <v>0</v>
      </c>
      <c r="W62" s="167">
        <f>O62*E62</f>
        <v>0.4</v>
      </c>
      <c r="X62" s="168">
        <f>P62*E62</f>
        <v>2</v>
      </c>
      <c r="Y62" s="14"/>
    </row>
    <row r="63" spans="1:25" ht="12" customHeight="1">
      <c r="A63" s="232">
        <v>40227</v>
      </c>
      <c r="B63" s="27">
        <v>343</v>
      </c>
      <c r="C63" s="24" t="s">
        <v>884</v>
      </c>
      <c r="D63" s="24" t="s">
        <v>885</v>
      </c>
      <c r="E63" s="25">
        <v>1</v>
      </c>
      <c r="F63" s="24" t="s">
        <v>886</v>
      </c>
      <c r="G63" s="180">
        <v>285</v>
      </c>
      <c r="H63" s="150">
        <f t="shared" si="8"/>
        <v>285</v>
      </c>
      <c r="I63" s="307">
        <v>20</v>
      </c>
      <c r="J63" s="155">
        <v>53.65</v>
      </c>
      <c r="K63" s="177">
        <v>60</v>
      </c>
      <c r="L63" s="157">
        <v>9</v>
      </c>
      <c r="M63" s="179">
        <f>J63+K63</f>
        <v>113.65</v>
      </c>
      <c r="N63" s="166">
        <v>2</v>
      </c>
      <c r="O63" s="167">
        <v>1</v>
      </c>
      <c r="P63" s="168">
        <v>5</v>
      </c>
      <c r="Q63" s="309">
        <f>E63*I63</f>
        <v>20</v>
      </c>
      <c r="R63" s="152">
        <f>E63*J63</f>
        <v>53.65</v>
      </c>
      <c r="S63" s="154">
        <f>E63*K63</f>
        <v>60</v>
      </c>
      <c r="T63" s="169">
        <f>E63*L63</f>
        <v>9</v>
      </c>
      <c r="U63" s="153">
        <f>E63*M63</f>
        <v>113.65</v>
      </c>
      <c r="V63" s="166">
        <f>N63*E63</f>
        <v>2</v>
      </c>
      <c r="W63" s="167">
        <f>O63*E63</f>
        <v>1</v>
      </c>
      <c r="X63" s="168">
        <f>P63*E63</f>
        <v>5</v>
      </c>
      <c r="Y63" s="14"/>
    </row>
    <row r="64" spans="1:25" ht="12" customHeight="1">
      <c r="A64" s="232">
        <v>40227</v>
      </c>
      <c r="B64" s="27">
        <v>344</v>
      </c>
      <c r="C64" s="24" t="s">
        <v>840</v>
      </c>
      <c r="D64" s="24" t="s">
        <v>113</v>
      </c>
      <c r="E64" s="25">
        <v>100</v>
      </c>
      <c r="F64" s="27" t="s">
        <v>887</v>
      </c>
      <c r="G64" s="180">
        <v>45.5</v>
      </c>
      <c r="H64" s="150">
        <f t="shared" si="8"/>
        <v>4550</v>
      </c>
      <c r="I64" s="306">
        <v>8.5</v>
      </c>
      <c r="J64" s="155">
        <v>7.5</v>
      </c>
      <c r="K64" s="156">
        <v>2</v>
      </c>
      <c r="L64" s="157">
        <v>0.3</v>
      </c>
      <c r="M64" s="153">
        <f>J64+K64</f>
        <v>9.5</v>
      </c>
      <c r="N64" s="166">
        <v>0.7</v>
      </c>
      <c r="O64" s="167">
        <v>0.1</v>
      </c>
      <c r="P64" s="168">
        <v>0</v>
      </c>
      <c r="Q64" s="309">
        <f>E64*I64</f>
        <v>850</v>
      </c>
      <c r="R64" s="152">
        <f>E64*J64</f>
        <v>750</v>
      </c>
      <c r="S64" s="154">
        <f>E64*K64</f>
        <v>200</v>
      </c>
      <c r="T64" s="169">
        <f>E64*L64</f>
        <v>30</v>
      </c>
      <c r="U64" s="153">
        <f>E64*M64</f>
        <v>950</v>
      </c>
      <c r="V64" s="166">
        <f>N64*E64</f>
        <v>70</v>
      </c>
      <c r="W64" s="167">
        <f>O64*E64</f>
        <v>10</v>
      </c>
      <c r="X64" s="168">
        <f>P64*E64</f>
        <v>0</v>
      </c>
      <c r="Y64" s="14"/>
    </row>
    <row r="65" spans="1:25" ht="12" customHeight="1">
      <c r="A65" s="232">
        <v>40227</v>
      </c>
      <c r="B65" s="27">
        <v>345</v>
      </c>
      <c r="C65" s="24" t="s">
        <v>888</v>
      </c>
      <c r="D65" s="24" t="s">
        <v>59</v>
      </c>
      <c r="E65" s="25">
        <v>27</v>
      </c>
      <c r="F65" s="27" t="s">
        <v>889</v>
      </c>
      <c r="G65" s="180">
        <v>49</v>
      </c>
      <c r="H65" s="150">
        <f t="shared" si="8"/>
        <v>1323</v>
      </c>
      <c r="I65" s="306">
        <v>3.5</v>
      </c>
      <c r="J65" s="155">
        <v>8.67</v>
      </c>
      <c r="K65" s="156">
        <v>1.5</v>
      </c>
      <c r="L65" s="157">
        <v>0.23</v>
      </c>
      <c r="M65" s="153">
        <f>J65+K65</f>
        <v>10.17</v>
      </c>
      <c r="N65" s="166">
        <v>0.35</v>
      </c>
      <c r="O65" s="167">
        <v>0.1</v>
      </c>
      <c r="P65" s="168">
        <v>0.1</v>
      </c>
      <c r="Q65" s="309">
        <f>E65*I65</f>
        <v>94.5</v>
      </c>
      <c r="R65" s="152">
        <f>E65*J65</f>
        <v>234.09</v>
      </c>
      <c r="S65" s="154">
        <f>E65*K65</f>
        <v>40.5</v>
      </c>
      <c r="T65" s="169">
        <f>E65*L65</f>
        <v>6.21</v>
      </c>
      <c r="U65" s="153">
        <f>E65*M65</f>
        <v>274.58999999999997</v>
      </c>
      <c r="V65" s="166">
        <f>N65*E65</f>
        <v>9.4499999999999993</v>
      </c>
      <c r="W65" s="167">
        <f>O65*E65</f>
        <v>2.7</v>
      </c>
      <c r="X65" s="168">
        <f>P65*E65</f>
        <v>2.7</v>
      </c>
      <c r="Y65" s="14"/>
    </row>
    <row r="66" spans="1:25" ht="12" customHeight="1">
      <c r="A66" s="232"/>
      <c r="B66" s="27"/>
      <c r="C66" s="24" t="s">
        <v>888</v>
      </c>
      <c r="D66" s="24" t="s">
        <v>59</v>
      </c>
      <c r="E66" s="25">
        <f>69+1</f>
        <v>70</v>
      </c>
      <c r="F66" s="27" t="s">
        <v>890</v>
      </c>
      <c r="G66" s="180">
        <v>47.5</v>
      </c>
      <c r="H66" s="150">
        <f t="shared" si="8"/>
        <v>3325</v>
      </c>
      <c r="I66" s="306">
        <v>8.5</v>
      </c>
      <c r="J66" s="155">
        <v>12.35</v>
      </c>
      <c r="K66" s="156">
        <v>2</v>
      </c>
      <c r="L66" s="157">
        <v>0.3</v>
      </c>
      <c r="M66" s="153">
        <f>J66+K66</f>
        <v>14.35</v>
      </c>
      <c r="N66" s="166">
        <v>0.7</v>
      </c>
      <c r="O66" s="167">
        <v>0.1</v>
      </c>
      <c r="P66" s="168">
        <v>0</v>
      </c>
      <c r="Q66" s="309">
        <f>E66*I66</f>
        <v>595</v>
      </c>
      <c r="R66" s="152">
        <f>E66*J66</f>
        <v>864.5</v>
      </c>
      <c r="S66" s="154">
        <f>E66*K66</f>
        <v>140</v>
      </c>
      <c r="T66" s="169">
        <f>E66*L66</f>
        <v>21</v>
      </c>
      <c r="U66" s="153">
        <f>E66*M66</f>
        <v>1004.5</v>
      </c>
      <c r="V66" s="166">
        <f>N66*E66</f>
        <v>49</v>
      </c>
      <c r="W66" s="167">
        <f>O66*E66</f>
        <v>7</v>
      </c>
      <c r="X66" s="168">
        <f>P66*E66</f>
        <v>0</v>
      </c>
      <c r="Y66" s="14"/>
    </row>
    <row r="67" spans="1:25" ht="12" customHeight="1">
      <c r="A67" s="232">
        <v>40228</v>
      </c>
      <c r="B67" s="27">
        <v>346</v>
      </c>
      <c r="C67" s="24" t="s">
        <v>891</v>
      </c>
      <c r="D67" s="24" t="s">
        <v>892</v>
      </c>
      <c r="E67" s="25">
        <f>39-1</f>
        <v>38</v>
      </c>
      <c r="F67" s="27" t="s">
        <v>893</v>
      </c>
      <c r="G67" s="180">
        <v>100</v>
      </c>
      <c r="H67" s="150">
        <f t="shared" si="8"/>
        <v>3800</v>
      </c>
      <c r="I67" s="306">
        <v>6</v>
      </c>
      <c r="J67" s="155">
        <v>29.48</v>
      </c>
      <c r="K67" s="156">
        <v>4</v>
      </c>
      <c r="L67" s="157">
        <v>1</v>
      </c>
      <c r="M67" s="153">
        <f t="shared" si="9"/>
        <v>33.480000000000004</v>
      </c>
      <c r="N67" s="166">
        <v>1</v>
      </c>
      <c r="O67" s="167">
        <v>0.1</v>
      </c>
      <c r="P67" s="168">
        <v>0.5</v>
      </c>
      <c r="Q67" s="309">
        <f t="shared" si="0"/>
        <v>228</v>
      </c>
      <c r="R67" s="152">
        <f t="shared" si="1"/>
        <v>1120.24</v>
      </c>
      <c r="S67" s="154">
        <f t="shared" si="2"/>
        <v>152</v>
      </c>
      <c r="T67" s="169">
        <f t="shared" si="3"/>
        <v>38</v>
      </c>
      <c r="U67" s="153">
        <f t="shared" si="4"/>
        <v>1272.2400000000002</v>
      </c>
      <c r="V67" s="166">
        <f t="shared" si="5"/>
        <v>38</v>
      </c>
      <c r="W67" s="167">
        <f t="shared" si="6"/>
        <v>3.8000000000000003</v>
      </c>
      <c r="X67" s="168">
        <f t="shared" si="7"/>
        <v>19</v>
      </c>
      <c r="Y67" s="14"/>
    </row>
    <row r="68" spans="1:25" ht="12" customHeight="1">
      <c r="A68" s="232"/>
      <c r="B68" s="27"/>
      <c r="C68" s="24" t="s">
        <v>891</v>
      </c>
      <c r="D68" s="24" t="s">
        <v>892</v>
      </c>
      <c r="E68" s="25">
        <f>36+4</f>
        <v>40</v>
      </c>
      <c r="F68" s="27" t="s">
        <v>894</v>
      </c>
      <c r="G68" s="180">
        <v>75</v>
      </c>
      <c r="H68" s="150">
        <f t="shared" si="8"/>
        <v>3000</v>
      </c>
      <c r="I68" s="306">
        <v>6.5</v>
      </c>
      <c r="J68" s="155">
        <v>7.55</v>
      </c>
      <c r="K68" s="156">
        <v>2.25</v>
      </c>
      <c r="L68" s="157">
        <v>0.34</v>
      </c>
      <c r="M68" s="153">
        <f t="shared" si="9"/>
        <v>9.8000000000000007</v>
      </c>
      <c r="N68" s="166">
        <v>1</v>
      </c>
      <c r="O68" s="167">
        <v>0.1</v>
      </c>
      <c r="P68" s="168">
        <v>0</v>
      </c>
      <c r="Q68" s="309">
        <f t="shared" si="0"/>
        <v>260</v>
      </c>
      <c r="R68" s="152">
        <f t="shared" si="1"/>
        <v>302</v>
      </c>
      <c r="S68" s="154">
        <f t="shared" si="2"/>
        <v>90</v>
      </c>
      <c r="T68" s="169">
        <f t="shared" si="3"/>
        <v>13.600000000000001</v>
      </c>
      <c r="U68" s="153">
        <f t="shared" si="4"/>
        <v>392</v>
      </c>
      <c r="V68" s="166">
        <f t="shared" si="5"/>
        <v>40</v>
      </c>
      <c r="W68" s="167">
        <f t="shared" si="6"/>
        <v>4</v>
      </c>
      <c r="X68" s="168">
        <f t="shared" si="7"/>
        <v>0</v>
      </c>
      <c r="Y68" s="14"/>
    </row>
    <row r="69" spans="1:25" ht="12" customHeight="1">
      <c r="A69" s="232">
        <v>40228</v>
      </c>
      <c r="B69" s="27">
        <v>347</v>
      </c>
      <c r="C69" s="24" t="s">
        <v>895</v>
      </c>
      <c r="D69" s="24" t="s">
        <v>895</v>
      </c>
      <c r="E69" s="25">
        <f>100+1</f>
        <v>101</v>
      </c>
      <c r="F69" s="27" t="s">
        <v>896</v>
      </c>
      <c r="G69" s="180">
        <v>13</v>
      </c>
      <c r="H69" s="150">
        <f t="shared" si="8"/>
        <v>1313</v>
      </c>
      <c r="I69" s="306">
        <v>0.75</v>
      </c>
      <c r="J69" s="155">
        <v>-0.9</v>
      </c>
      <c r="K69" s="156">
        <v>0</v>
      </c>
      <c r="L69" s="157">
        <v>0</v>
      </c>
      <c r="M69" s="153">
        <f t="shared" si="9"/>
        <v>-0.9</v>
      </c>
      <c r="N69" s="166">
        <v>0</v>
      </c>
      <c r="O69" s="167">
        <v>0.05</v>
      </c>
      <c r="P69" s="168">
        <v>0</v>
      </c>
      <c r="Q69" s="309">
        <f t="shared" si="0"/>
        <v>75.75</v>
      </c>
      <c r="R69" s="152">
        <f t="shared" si="1"/>
        <v>-90.9</v>
      </c>
      <c r="S69" s="154">
        <f t="shared" si="2"/>
        <v>0</v>
      </c>
      <c r="T69" s="169">
        <f t="shared" si="3"/>
        <v>0</v>
      </c>
      <c r="U69" s="153">
        <f t="shared" si="4"/>
        <v>-90.9</v>
      </c>
      <c r="V69" s="166">
        <f t="shared" si="5"/>
        <v>0</v>
      </c>
      <c r="W69" s="167">
        <f t="shared" si="6"/>
        <v>5.0500000000000007</v>
      </c>
      <c r="X69" s="168">
        <f t="shared" si="7"/>
        <v>0</v>
      </c>
      <c r="Y69" s="14"/>
    </row>
    <row r="70" spans="1:25" ht="12" customHeight="1">
      <c r="A70" s="232"/>
      <c r="B70" s="27"/>
      <c r="C70" s="24" t="s">
        <v>895</v>
      </c>
      <c r="D70" s="24" t="s">
        <v>895</v>
      </c>
      <c r="E70" s="25">
        <v>50</v>
      </c>
      <c r="F70" s="27" t="s">
        <v>897</v>
      </c>
      <c r="G70" s="180">
        <v>11.5</v>
      </c>
      <c r="H70" s="150">
        <f t="shared" si="8"/>
        <v>575</v>
      </c>
      <c r="I70" s="306">
        <v>0.5</v>
      </c>
      <c r="J70" s="155">
        <v>0.01</v>
      </c>
      <c r="K70" s="156">
        <v>2.5</v>
      </c>
      <c r="L70" s="157">
        <v>0.38</v>
      </c>
      <c r="M70" s="153">
        <f t="shared" si="9"/>
        <v>2.5099999999999998</v>
      </c>
      <c r="N70" s="166">
        <v>0.5</v>
      </c>
      <c r="O70" s="167">
        <v>0.1</v>
      </c>
      <c r="P70" s="168">
        <v>0.2</v>
      </c>
      <c r="Q70" s="309">
        <f t="shared" si="0"/>
        <v>25</v>
      </c>
      <c r="R70" s="152">
        <f t="shared" si="1"/>
        <v>0.5</v>
      </c>
      <c r="S70" s="154">
        <f t="shared" si="2"/>
        <v>125</v>
      </c>
      <c r="T70" s="169">
        <f t="shared" si="3"/>
        <v>19</v>
      </c>
      <c r="U70" s="153">
        <f t="shared" si="4"/>
        <v>125.49999999999999</v>
      </c>
      <c r="V70" s="166">
        <f t="shared" si="5"/>
        <v>25</v>
      </c>
      <c r="W70" s="167">
        <f t="shared" si="6"/>
        <v>5</v>
      </c>
      <c r="X70" s="168">
        <f t="shared" si="7"/>
        <v>10</v>
      </c>
      <c r="Y70" s="14"/>
    </row>
    <row r="71" spans="1:25" ht="12" customHeight="1">
      <c r="A71" s="232"/>
      <c r="B71" s="27"/>
      <c r="C71" s="24" t="s">
        <v>895</v>
      </c>
      <c r="D71" s="24" t="s">
        <v>895</v>
      </c>
      <c r="E71" s="25">
        <f>20+2</f>
        <v>22</v>
      </c>
      <c r="F71" s="27" t="s">
        <v>898</v>
      </c>
      <c r="G71" s="180">
        <v>30</v>
      </c>
      <c r="H71" s="150">
        <f t="shared" si="8"/>
        <v>660</v>
      </c>
      <c r="I71" s="306">
        <v>3.5</v>
      </c>
      <c r="J71" s="155">
        <v>1.74</v>
      </c>
      <c r="K71" s="156">
        <v>2.5</v>
      </c>
      <c r="L71" s="157">
        <v>0.38</v>
      </c>
      <c r="M71" s="153">
        <f t="shared" si="9"/>
        <v>4.24</v>
      </c>
      <c r="N71" s="166">
        <v>0.35</v>
      </c>
      <c r="O71" s="167">
        <v>0.1</v>
      </c>
      <c r="P71" s="168">
        <v>0</v>
      </c>
      <c r="Q71" s="309">
        <f t="shared" si="0"/>
        <v>77</v>
      </c>
      <c r="R71" s="152">
        <f t="shared" si="1"/>
        <v>38.28</v>
      </c>
      <c r="S71" s="154">
        <f t="shared" si="2"/>
        <v>55</v>
      </c>
      <c r="T71" s="169">
        <f t="shared" si="3"/>
        <v>8.36</v>
      </c>
      <c r="U71" s="153">
        <f t="shared" si="4"/>
        <v>93.28</v>
      </c>
      <c r="V71" s="166">
        <f t="shared" si="5"/>
        <v>7.6999999999999993</v>
      </c>
      <c r="W71" s="167">
        <f t="shared" si="6"/>
        <v>2.2000000000000002</v>
      </c>
      <c r="X71" s="168">
        <f t="shared" si="7"/>
        <v>0</v>
      </c>
      <c r="Y71" s="14"/>
    </row>
    <row r="72" spans="1:25" ht="12" customHeight="1">
      <c r="A72" s="232"/>
      <c r="B72" s="27"/>
      <c r="C72" s="24" t="s">
        <v>895</v>
      </c>
      <c r="D72" s="24" t="s">
        <v>895</v>
      </c>
      <c r="E72" s="25">
        <v>30</v>
      </c>
      <c r="F72" s="27" t="s">
        <v>899</v>
      </c>
      <c r="G72" s="180">
        <v>34</v>
      </c>
      <c r="H72" s="150">
        <f t="shared" si="8"/>
        <v>1020</v>
      </c>
      <c r="I72" s="306">
        <v>3.5</v>
      </c>
      <c r="J72" s="155">
        <v>1.5</v>
      </c>
      <c r="K72" s="156">
        <v>2.5</v>
      </c>
      <c r="L72" s="157">
        <v>0.38</v>
      </c>
      <c r="M72" s="153">
        <f t="shared" si="9"/>
        <v>4</v>
      </c>
      <c r="N72" s="166">
        <v>0.35</v>
      </c>
      <c r="O72" s="167">
        <v>0.1</v>
      </c>
      <c r="P72" s="168">
        <v>0</v>
      </c>
      <c r="Q72" s="309">
        <f t="shared" si="0"/>
        <v>105</v>
      </c>
      <c r="R72" s="152">
        <f t="shared" si="1"/>
        <v>45</v>
      </c>
      <c r="S72" s="154">
        <f t="shared" si="2"/>
        <v>75</v>
      </c>
      <c r="T72" s="169">
        <f t="shared" si="3"/>
        <v>11.4</v>
      </c>
      <c r="U72" s="153">
        <f t="shared" si="4"/>
        <v>120</v>
      </c>
      <c r="V72" s="166">
        <f t="shared" si="5"/>
        <v>10.5</v>
      </c>
      <c r="W72" s="167">
        <f t="shared" si="6"/>
        <v>3</v>
      </c>
      <c r="X72" s="168">
        <f t="shared" si="7"/>
        <v>0</v>
      </c>
      <c r="Y72" s="15"/>
    </row>
    <row r="73" spans="1:25" ht="12" customHeight="1">
      <c r="A73" s="232">
        <v>40228</v>
      </c>
      <c r="B73" s="27">
        <v>348</v>
      </c>
      <c r="C73" s="24" t="s">
        <v>845</v>
      </c>
      <c r="D73" s="24" t="s">
        <v>845</v>
      </c>
      <c r="E73" s="25">
        <v>4</v>
      </c>
      <c r="F73" s="27" t="s">
        <v>900</v>
      </c>
      <c r="G73" s="180">
        <v>85</v>
      </c>
      <c r="H73" s="150">
        <f t="shared" si="8"/>
        <v>340</v>
      </c>
      <c r="I73" s="306">
        <v>5</v>
      </c>
      <c r="J73" s="155">
        <v>3.6</v>
      </c>
      <c r="K73" s="156">
        <v>0</v>
      </c>
      <c r="L73" s="157">
        <v>0</v>
      </c>
      <c r="M73" s="153">
        <f t="shared" si="9"/>
        <v>3.6</v>
      </c>
      <c r="N73" s="166">
        <v>1</v>
      </c>
      <c r="O73" s="167">
        <v>0.5</v>
      </c>
      <c r="P73" s="168">
        <v>1</v>
      </c>
      <c r="Q73" s="309">
        <f t="shared" si="0"/>
        <v>20</v>
      </c>
      <c r="R73" s="152">
        <f t="shared" si="1"/>
        <v>14.4</v>
      </c>
      <c r="S73" s="154">
        <f t="shared" si="2"/>
        <v>0</v>
      </c>
      <c r="T73" s="169">
        <f t="shared" si="3"/>
        <v>0</v>
      </c>
      <c r="U73" s="153">
        <f t="shared" si="4"/>
        <v>14.4</v>
      </c>
      <c r="V73" s="166">
        <f t="shared" si="5"/>
        <v>4</v>
      </c>
      <c r="W73" s="167">
        <f t="shared" si="6"/>
        <v>2</v>
      </c>
      <c r="X73" s="168">
        <f t="shared" si="7"/>
        <v>4</v>
      </c>
      <c r="Y73" s="14"/>
    </row>
    <row r="74" spans="1:25" ht="12" customHeight="1">
      <c r="A74" s="232">
        <v>40228</v>
      </c>
      <c r="B74" s="27">
        <v>349</v>
      </c>
      <c r="C74" s="24" t="s">
        <v>469</v>
      </c>
      <c r="D74" s="24" t="s">
        <v>59</v>
      </c>
      <c r="E74" s="25">
        <v>138</v>
      </c>
      <c r="F74" s="27" t="s">
        <v>901</v>
      </c>
      <c r="G74" s="180">
        <v>28.5</v>
      </c>
      <c r="H74" s="150">
        <f t="shared" si="8"/>
        <v>3933</v>
      </c>
      <c r="I74" s="306">
        <v>4</v>
      </c>
      <c r="J74" s="155">
        <v>8.64</v>
      </c>
      <c r="K74" s="156">
        <v>6</v>
      </c>
      <c r="L74" s="157">
        <v>1</v>
      </c>
      <c r="M74" s="153">
        <f t="shared" si="9"/>
        <v>14.64</v>
      </c>
      <c r="N74" s="166">
        <v>0.25</v>
      </c>
      <c r="O74" s="167">
        <v>0.1</v>
      </c>
      <c r="P74" s="168">
        <v>1.5</v>
      </c>
      <c r="Q74" s="309">
        <f t="shared" si="0"/>
        <v>552</v>
      </c>
      <c r="R74" s="152">
        <f t="shared" si="1"/>
        <v>1192.3200000000002</v>
      </c>
      <c r="S74" s="154">
        <f t="shared" si="2"/>
        <v>828</v>
      </c>
      <c r="T74" s="169">
        <f t="shared" si="3"/>
        <v>138</v>
      </c>
      <c r="U74" s="153">
        <f t="shared" si="4"/>
        <v>2020.3200000000002</v>
      </c>
      <c r="V74" s="166">
        <f t="shared" si="5"/>
        <v>34.5</v>
      </c>
      <c r="W74" s="167">
        <f t="shared" si="6"/>
        <v>13.8</v>
      </c>
      <c r="X74" s="168">
        <f t="shared" si="7"/>
        <v>207</v>
      </c>
      <c r="Y74" s="14"/>
    </row>
    <row r="75" spans="1:25" ht="12" customHeight="1">
      <c r="A75" s="232"/>
      <c r="B75" s="27"/>
      <c r="C75" s="24" t="s">
        <v>469</v>
      </c>
      <c r="D75" s="24" t="s">
        <v>59</v>
      </c>
      <c r="E75" s="25">
        <v>137</v>
      </c>
      <c r="F75" s="27" t="s">
        <v>902</v>
      </c>
      <c r="G75" s="180">
        <v>28.5</v>
      </c>
      <c r="H75" s="150">
        <f t="shared" ref="H75:H99" si="10">E75*G75</f>
        <v>3904.5</v>
      </c>
      <c r="I75" s="306">
        <v>4</v>
      </c>
      <c r="J75" s="155">
        <v>9.64</v>
      </c>
      <c r="K75" s="156">
        <v>5</v>
      </c>
      <c r="L75" s="157">
        <v>1</v>
      </c>
      <c r="M75" s="153">
        <f t="shared" si="9"/>
        <v>14.64</v>
      </c>
      <c r="N75" s="166">
        <v>0.25</v>
      </c>
      <c r="O75" s="167">
        <v>0.1</v>
      </c>
      <c r="P75" s="168">
        <v>1.5</v>
      </c>
      <c r="Q75" s="309">
        <f t="shared" si="0"/>
        <v>548</v>
      </c>
      <c r="R75" s="152">
        <f t="shared" si="1"/>
        <v>1320.68</v>
      </c>
      <c r="S75" s="154">
        <f t="shared" si="2"/>
        <v>685</v>
      </c>
      <c r="T75" s="169">
        <f t="shared" si="3"/>
        <v>137</v>
      </c>
      <c r="U75" s="153">
        <f t="shared" si="4"/>
        <v>2005.68</v>
      </c>
      <c r="V75" s="166">
        <f t="shared" si="5"/>
        <v>34.25</v>
      </c>
      <c r="W75" s="167">
        <f t="shared" si="6"/>
        <v>13.700000000000001</v>
      </c>
      <c r="X75" s="168">
        <f t="shared" si="7"/>
        <v>205.5</v>
      </c>
      <c r="Y75" s="14"/>
    </row>
    <row r="76" spans="1:25" ht="12" customHeight="1">
      <c r="A76" s="232">
        <v>40231</v>
      </c>
      <c r="B76" s="27">
        <v>350</v>
      </c>
      <c r="C76" s="24" t="s">
        <v>30</v>
      </c>
      <c r="D76" s="24" t="s">
        <v>42</v>
      </c>
      <c r="E76" s="25">
        <v>125</v>
      </c>
      <c r="F76" s="27" t="s">
        <v>903</v>
      </c>
      <c r="G76" s="180">
        <v>12.5</v>
      </c>
      <c r="H76" s="150">
        <f t="shared" si="10"/>
        <v>1562.5</v>
      </c>
      <c r="I76" s="306">
        <v>1.5</v>
      </c>
      <c r="J76" s="155">
        <v>2.3199999999999998</v>
      </c>
      <c r="K76" s="156">
        <v>1.5</v>
      </c>
      <c r="L76" s="157">
        <v>0.23</v>
      </c>
      <c r="M76" s="153">
        <f t="shared" si="9"/>
        <v>3.82</v>
      </c>
      <c r="N76" s="166">
        <v>0.35</v>
      </c>
      <c r="O76" s="167">
        <v>0.1</v>
      </c>
      <c r="P76" s="168">
        <v>0.1</v>
      </c>
      <c r="Q76" s="309">
        <f t="shared" si="0"/>
        <v>187.5</v>
      </c>
      <c r="R76" s="152">
        <f t="shared" si="1"/>
        <v>290</v>
      </c>
      <c r="S76" s="154">
        <f t="shared" si="2"/>
        <v>187.5</v>
      </c>
      <c r="T76" s="169">
        <f t="shared" si="3"/>
        <v>28.75</v>
      </c>
      <c r="U76" s="153">
        <f t="shared" si="4"/>
        <v>477.5</v>
      </c>
      <c r="V76" s="166">
        <f t="shared" si="5"/>
        <v>43.75</v>
      </c>
      <c r="W76" s="167">
        <f t="shared" si="6"/>
        <v>12.5</v>
      </c>
      <c r="X76" s="168">
        <f t="shared" si="7"/>
        <v>12.5</v>
      </c>
      <c r="Y76" s="14"/>
    </row>
    <row r="77" spans="1:25" ht="12" customHeight="1">
      <c r="A77" s="232"/>
      <c r="B77" s="27"/>
      <c r="C77" s="24" t="s">
        <v>30</v>
      </c>
      <c r="D77" s="24" t="s">
        <v>42</v>
      </c>
      <c r="E77" s="25">
        <v>125</v>
      </c>
      <c r="F77" s="27" t="s">
        <v>904</v>
      </c>
      <c r="G77" s="180">
        <v>12.5</v>
      </c>
      <c r="H77" s="150">
        <f t="shared" si="10"/>
        <v>1562.5</v>
      </c>
      <c r="I77" s="306">
        <v>1.5</v>
      </c>
      <c r="J77" s="155">
        <v>2.3199999999999998</v>
      </c>
      <c r="K77" s="156">
        <v>1.5</v>
      </c>
      <c r="L77" s="157">
        <v>0.23</v>
      </c>
      <c r="M77" s="153">
        <f t="shared" si="9"/>
        <v>3.82</v>
      </c>
      <c r="N77" s="166">
        <v>0.35</v>
      </c>
      <c r="O77" s="167">
        <v>0.1</v>
      </c>
      <c r="P77" s="168">
        <v>0.1</v>
      </c>
      <c r="Q77" s="309">
        <f t="shared" ref="Q77:Q88" si="11">E77*I77</f>
        <v>187.5</v>
      </c>
      <c r="R77" s="152">
        <f t="shared" ref="R77:R88" si="12">E77*J77</f>
        <v>290</v>
      </c>
      <c r="S77" s="154">
        <f t="shared" ref="S77:S88" si="13">E77*K77</f>
        <v>187.5</v>
      </c>
      <c r="T77" s="169">
        <f t="shared" ref="T77:T88" si="14">E77*L77</f>
        <v>28.75</v>
      </c>
      <c r="U77" s="153">
        <f t="shared" ref="U77:U88" si="15">E77*M77</f>
        <v>477.5</v>
      </c>
      <c r="V77" s="166">
        <f t="shared" ref="V77:V88" si="16">N77*E77</f>
        <v>43.75</v>
      </c>
      <c r="W77" s="167">
        <f t="shared" ref="W77:W88" si="17">O77*E77</f>
        <v>12.5</v>
      </c>
      <c r="X77" s="168">
        <f t="shared" ref="X77:X88" si="18">P77*E77</f>
        <v>12.5</v>
      </c>
      <c r="Y77" s="14"/>
    </row>
    <row r="78" spans="1:25" ht="12" customHeight="1">
      <c r="A78" s="232"/>
      <c r="B78" s="27"/>
      <c r="C78" s="24" t="s">
        <v>30</v>
      </c>
      <c r="D78" s="24" t="s">
        <v>42</v>
      </c>
      <c r="E78" s="25">
        <v>125</v>
      </c>
      <c r="F78" s="27" t="s">
        <v>905</v>
      </c>
      <c r="G78" s="180">
        <v>15.5</v>
      </c>
      <c r="H78" s="150">
        <f t="shared" si="10"/>
        <v>1937.5</v>
      </c>
      <c r="I78" s="306">
        <v>0.75</v>
      </c>
      <c r="J78" s="155">
        <v>0.84</v>
      </c>
      <c r="K78" s="156">
        <v>1.2</v>
      </c>
      <c r="L78" s="157">
        <v>0.18</v>
      </c>
      <c r="M78" s="153">
        <f t="shared" si="9"/>
        <v>2.04</v>
      </c>
      <c r="N78" s="166">
        <v>0.35</v>
      </c>
      <c r="O78" s="167">
        <v>0.05</v>
      </c>
      <c r="P78" s="168">
        <v>0.1</v>
      </c>
      <c r="Q78" s="309">
        <f t="shared" si="11"/>
        <v>93.75</v>
      </c>
      <c r="R78" s="178">
        <f t="shared" si="12"/>
        <v>105</v>
      </c>
      <c r="S78" s="154">
        <f t="shared" si="13"/>
        <v>150</v>
      </c>
      <c r="T78" s="169">
        <f t="shared" si="14"/>
        <v>22.5</v>
      </c>
      <c r="U78" s="179">
        <f t="shared" si="15"/>
        <v>255</v>
      </c>
      <c r="V78" s="166">
        <f t="shared" si="16"/>
        <v>43.75</v>
      </c>
      <c r="W78" s="167">
        <f t="shared" si="17"/>
        <v>6.25</v>
      </c>
      <c r="X78" s="168">
        <f t="shared" si="18"/>
        <v>12.5</v>
      </c>
      <c r="Y78" s="14"/>
    </row>
    <row r="79" spans="1:25" ht="12" customHeight="1">
      <c r="A79" s="232"/>
      <c r="B79" s="27"/>
      <c r="C79" s="24" t="s">
        <v>30</v>
      </c>
      <c r="D79" s="24" t="s">
        <v>42</v>
      </c>
      <c r="E79" s="25">
        <v>125</v>
      </c>
      <c r="F79" s="27" t="s">
        <v>906</v>
      </c>
      <c r="G79" s="180">
        <v>15.5</v>
      </c>
      <c r="H79" s="150">
        <f t="shared" si="10"/>
        <v>1937.5</v>
      </c>
      <c r="I79" s="306">
        <v>0.75</v>
      </c>
      <c r="J79" s="155">
        <v>0.84</v>
      </c>
      <c r="K79" s="156">
        <v>1.2</v>
      </c>
      <c r="L79" s="157">
        <v>0.18</v>
      </c>
      <c r="M79" s="153">
        <f t="shared" ref="M79:M88" si="19">J79+K79</f>
        <v>2.04</v>
      </c>
      <c r="N79" s="166">
        <v>0.35</v>
      </c>
      <c r="O79" s="167">
        <v>0.05</v>
      </c>
      <c r="P79" s="168">
        <v>0.1</v>
      </c>
      <c r="Q79" s="309">
        <f t="shared" si="11"/>
        <v>93.75</v>
      </c>
      <c r="R79" s="152">
        <f t="shared" si="12"/>
        <v>105</v>
      </c>
      <c r="S79" s="154">
        <f t="shared" si="13"/>
        <v>150</v>
      </c>
      <c r="T79" s="169">
        <f t="shared" si="14"/>
        <v>22.5</v>
      </c>
      <c r="U79" s="153">
        <f t="shared" si="15"/>
        <v>255</v>
      </c>
      <c r="V79" s="166">
        <f t="shared" si="16"/>
        <v>43.75</v>
      </c>
      <c r="W79" s="167">
        <f t="shared" si="17"/>
        <v>6.25</v>
      </c>
      <c r="X79" s="168">
        <f t="shared" si="18"/>
        <v>12.5</v>
      </c>
      <c r="Y79" s="14"/>
    </row>
    <row r="80" spans="1:25" ht="12" customHeight="1">
      <c r="A80" s="232">
        <v>40231</v>
      </c>
      <c r="B80" s="27">
        <v>351</v>
      </c>
      <c r="C80" s="24"/>
      <c r="D80" s="24"/>
      <c r="E80" s="25">
        <v>0</v>
      </c>
      <c r="F80" s="27" t="s">
        <v>651</v>
      </c>
      <c r="G80" s="180">
        <v>0</v>
      </c>
      <c r="H80" s="150">
        <f t="shared" si="10"/>
        <v>0</v>
      </c>
      <c r="I80" s="306">
        <v>0</v>
      </c>
      <c r="J80" s="155">
        <v>0</v>
      </c>
      <c r="K80" s="156">
        <v>0</v>
      </c>
      <c r="L80" s="157">
        <v>0</v>
      </c>
      <c r="M80" s="153">
        <f t="shared" si="19"/>
        <v>0</v>
      </c>
      <c r="N80" s="166">
        <v>0</v>
      </c>
      <c r="O80" s="167">
        <v>0</v>
      </c>
      <c r="P80" s="168">
        <v>0</v>
      </c>
      <c r="Q80" s="309">
        <f t="shared" si="11"/>
        <v>0</v>
      </c>
      <c r="R80" s="152">
        <f t="shared" si="12"/>
        <v>0</v>
      </c>
      <c r="S80" s="154">
        <f t="shared" si="13"/>
        <v>0</v>
      </c>
      <c r="T80" s="169">
        <f t="shared" si="14"/>
        <v>0</v>
      </c>
      <c r="U80" s="153">
        <f t="shared" si="15"/>
        <v>0</v>
      </c>
      <c r="V80" s="166">
        <f t="shared" si="16"/>
        <v>0</v>
      </c>
      <c r="W80" s="167">
        <f t="shared" si="17"/>
        <v>0</v>
      </c>
      <c r="X80" s="168">
        <f t="shared" si="18"/>
        <v>0</v>
      </c>
      <c r="Y80" s="14" t="s">
        <v>931</v>
      </c>
    </row>
    <row r="81" spans="1:25" ht="12" customHeight="1">
      <c r="A81" s="232">
        <v>40231</v>
      </c>
      <c r="B81" s="25">
        <v>352</v>
      </c>
      <c r="C81" s="24" t="s">
        <v>25</v>
      </c>
      <c r="D81" s="24" t="s">
        <v>135</v>
      </c>
      <c r="E81" s="25">
        <v>36</v>
      </c>
      <c r="F81" s="24" t="s">
        <v>907</v>
      </c>
      <c r="G81" s="180">
        <v>142.5</v>
      </c>
      <c r="H81" s="150">
        <f t="shared" si="10"/>
        <v>5130</v>
      </c>
      <c r="I81" s="306">
        <v>8</v>
      </c>
      <c r="J81" s="155">
        <v>37.619999999999997</v>
      </c>
      <c r="K81" s="156">
        <v>2</v>
      </c>
      <c r="L81" s="157">
        <v>0.3</v>
      </c>
      <c r="M81" s="153">
        <f t="shared" si="19"/>
        <v>39.619999999999997</v>
      </c>
      <c r="N81" s="166">
        <v>1.25</v>
      </c>
      <c r="O81" s="167">
        <v>0.1</v>
      </c>
      <c r="P81" s="168">
        <v>0.1</v>
      </c>
      <c r="Q81" s="309">
        <f t="shared" si="11"/>
        <v>288</v>
      </c>
      <c r="R81" s="152">
        <f t="shared" si="12"/>
        <v>1354.32</v>
      </c>
      <c r="S81" s="154">
        <f t="shared" si="13"/>
        <v>72</v>
      </c>
      <c r="T81" s="169">
        <f t="shared" si="14"/>
        <v>10.799999999999999</v>
      </c>
      <c r="U81" s="153">
        <f t="shared" si="15"/>
        <v>1426.32</v>
      </c>
      <c r="V81" s="166">
        <f t="shared" si="16"/>
        <v>45</v>
      </c>
      <c r="W81" s="167">
        <f t="shared" si="17"/>
        <v>3.6</v>
      </c>
      <c r="X81" s="168">
        <f t="shared" si="18"/>
        <v>3.6</v>
      </c>
      <c r="Y81" s="14" t="s">
        <v>26</v>
      </c>
    </row>
    <row r="82" spans="1:25" ht="12" customHeight="1">
      <c r="A82" s="232"/>
      <c r="B82" s="25"/>
      <c r="C82" s="24" t="s">
        <v>25</v>
      </c>
      <c r="D82" s="24" t="s">
        <v>135</v>
      </c>
      <c r="E82" s="25">
        <v>27</v>
      </c>
      <c r="F82" s="24" t="s">
        <v>908</v>
      </c>
      <c r="G82" s="180">
        <v>150</v>
      </c>
      <c r="H82" s="150">
        <f t="shared" si="10"/>
        <v>4050</v>
      </c>
      <c r="I82" s="307">
        <v>15</v>
      </c>
      <c r="J82" s="155">
        <v>36.729999999999997</v>
      </c>
      <c r="K82" s="156">
        <v>2</v>
      </c>
      <c r="L82" s="157">
        <v>0.3</v>
      </c>
      <c r="M82" s="153">
        <f t="shared" si="19"/>
        <v>38.729999999999997</v>
      </c>
      <c r="N82" s="166">
        <v>0.35</v>
      </c>
      <c r="O82" s="167">
        <v>0.1</v>
      </c>
      <c r="P82" s="168">
        <v>0.1</v>
      </c>
      <c r="Q82" s="309">
        <f t="shared" si="11"/>
        <v>405</v>
      </c>
      <c r="R82" s="152">
        <f t="shared" si="12"/>
        <v>991.70999999999992</v>
      </c>
      <c r="S82" s="154">
        <f t="shared" si="13"/>
        <v>54</v>
      </c>
      <c r="T82" s="169">
        <f t="shared" si="14"/>
        <v>8.1</v>
      </c>
      <c r="U82" s="153">
        <f t="shared" si="15"/>
        <v>1045.7099999999998</v>
      </c>
      <c r="V82" s="166">
        <f t="shared" si="16"/>
        <v>9.4499999999999993</v>
      </c>
      <c r="W82" s="167">
        <f t="shared" si="17"/>
        <v>2.7</v>
      </c>
      <c r="X82" s="168">
        <f t="shared" si="18"/>
        <v>2.7</v>
      </c>
      <c r="Y82" s="14"/>
    </row>
    <row r="83" spans="1:25" ht="12" customHeight="1">
      <c r="A83" s="232"/>
      <c r="B83" s="24"/>
      <c r="C83" s="24" t="s">
        <v>25</v>
      </c>
      <c r="D83" s="24" t="s">
        <v>135</v>
      </c>
      <c r="E83" s="25">
        <v>6</v>
      </c>
      <c r="F83" s="24" t="s">
        <v>909</v>
      </c>
      <c r="G83" s="180">
        <v>150</v>
      </c>
      <c r="H83" s="150">
        <f t="shared" si="10"/>
        <v>900</v>
      </c>
      <c r="I83" s="306">
        <v>8.5</v>
      </c>
      <c r="J83" s="155">
        <v>7.98</v>
      </c>
      <c r="K83" s="156">
        <v>2</v>
      </c>
      <c r="L83" s="157">
        <v>0.3</v>
      </c>
      <c r="M83" s="153">
        <f t="shared" si="19"/>
        <v>9.98</v>
      </c>
      <c r="N83" s="166">
        <v>0.1</v>
      </c>
      <c r="O83" s="167">
        <v>0.1</v>
      </c>
      <c r="P83" s="168">
        <v>0.1</v>
      </c>
      <c r="Q83" s="309">
        <f t="shared" si="11"/>
        <v>51</v>
      </c>
      <c r="R83" s="152">
        <f t="shared" si="12"/>
        <v>47.88</v>
      </c>
      <c r="S83" s="154">
        <f t="shared" si="13"/>
        <v>12</v>
      </c>
      <c r="T83" s="169">
        <f t="shared" si="14"/>
        <v>1.7999999999999998</v>
      </c>
      <c r="U83" s="153">
        <f t="shared" si="15"/>
        <v>59.88</v>
      </c>
      <c r="V83" s="166">
        <f t="shared" si="16"/>
        <v>0.60000000000000009</v>
      </c>
      <c r="W83" s="167">
        <f t="shared" si="17"/>
        <v>0.60000000000000009</v>
      </c>
      <c r="X83" s="168">
        <f t="shared" si="18"/>
        <v>0.60000000000000009</v>
      </c>
      <c r="Y83" s="14" t="s">
        <v>26</v>
      </c>
    </row>
    <row r="84" spans="1:25" ht="12" customHeight="1">
      <c r="A84" s="353"/>
      <c r="B84" s="25"/>
      <c r="C84" s="24" t="s">
        <v>25</v>
      </c>
      <c r="D84" s="24" t="s">
        <v>135</v>
      </c>
      <c r="E84" s="25">
        <v>3</v>
      </c>
      <c r="F84" s="24" t="s">
        <v>910</v>
      </c>
      <c r="G84" s="180">
        <v>206.5</v>
      </c>
      <c r="H84" s="150">
        <f t="shared" si="10"/>
        <v>619.5</v>
      </c>
      <c r="I84" s="306">
        <v>8.5</v>
      </c>
      <c r="J84" s="155">
        <v>7.98</v>
      </c>
      <c r="K84" s="156">
        <v>2</v>
      </c>
      <c r="L84" s="157">
        <v>0.3</v>
      </c>
      <c r="M84" s="153">
        <f t="shared" si="19"/>
        <v>9.98</v>
      </c>
      <c r="N84" s="166">
        <v>0.1</v>
      </c>
      <c r="O84" s="167">
        <v>0.1</v>
      </c>
      <c r="P84" s="168">
        <v>0.1</v>
      </c>
      <c r="Q84" s="309">
        <f t="shared" si="11"/>
        <v>25.5</v>
      </c>
      <c r="R84" s="152">
        <f t="shared" si="12"/>
        <v>23.94</v>
      </c>
      <c r="S84" s="154">
        <f t="shared" si="13"/>
        <v>6</v>
      </c>
      <c r="T84" s="169">
        <f t="shared" si="14"/>
        <v>0.89999999999999991</v>
      </c>
      <c r="U84" s="153">
        <f t="shared" si="15"/>
        <v>29.94</v>
      </c>
      <c r="V84" s="166">
        <f t="shared" si="16"/>
        <v>0.30000000000000004</v>
      </c>
      <c r="W84" s="167">
        <f t="shared" si="17"/>
        <v>0.30000000000000004</v>
      </c>
      <c r="X84" s="168">
        <f t="shared" si="18"/>
        <v>0.30000000000000004</v>
      </c>
      <c r="Y84" s="14" t="s">
        <v>26</v>
      </c>
    </row>
    <row r="85" spans="1:25" ht="12" customHeight="1">
      <c r="A85" s="232">
        <v>40233</v>
      </c>
      <c r="B85" s="25">
        <v>353</v>
      </c>
      <c r="C85" s="24" t="s">
        <v>911</v>
      </c>
      <c r="D85" s="24" t="s">
        <v>912</v>
      </c>
      <c r="E85" s="25">
        <v>8</v>
      </c>
      <c r="F85" s="24" t="s">
        <v>913</v>
      </c>
      <c r="G85" s="180">
        <v>57</v>
      </c>
      <c r="H85" s="150">
        <f t="shared" si="10"/>
        <v>456</v>
      </c>
      <c r="I85" s="306">
        <v>8.5</v>
      </c>
      <c r="J85" s="155">
        <v>8.9700000000000006</v>
      </c>
      <c r="K85" s="156">
        <v>2</v>
      </c>
      <c r="L85" s="157">
        <v>0.3</v>
      </c>
      <c r="M85" s="153">
        <f t="shared" si="19"/>
        <v>10.97</v>
      </c>
      <c r="N85" s="166">
        <v>0.7</v>
      </c>
      <c r="O85" s="167">
        <v>0.1</v>
      </c>
      <c r="P85" s="168">
        <v>0</v>
      </c>
      <c r="Q85" s="309">
        <f t="shared" si="11"/>
        <v>68</v>
      </c>
      <c r="R85" s="178">
        <f t="shared" si="12"/>
        <v>71.760000000000005</v>
      </c>
      <c r="S85" s="154">
        <f t="shared" si="13"/>
        <v>16</v>
      </c>
      <c r="T85" s="169">
        <f t="shared" si="14"/>
        <v>2.4</v>
      </c>
      <c r="U85" s="179">
        <f t="shared" si="15"/>
        <v>87.76</v>
      </c>
      <c r="V85" s="166">
        <f t="shared" si="16"/>
        <v>5.6</v>
      </c>
      <c r="W85" s="167">
        <f t="shared" si="17"/>
        <v>0.8</v>
      </c>
      <c r="X85" s="168">
        <f t="shared" si="18"/>
        <v>0</v>
      </c>
      <c r="Y85" s="14"/>
    </row>
    <row r="86" spans="1:25" ht="12" customHeight="1">
      <c r="A86" s="232"/>
      <c r="B86" s="25"/>
      <c r="C86" s="24" t="s">
        <v>911</v>
      </c>
      <c r="D86" s="24" t="s">
        <v>912</v>
      </c>
      <c r="E86" s="25">
        <v>2</v>
      </c>
      <c r="F86" s="27" t="s">
        <v>914</v>
      </c>
      <c r="G86" s="180">
        <v>45.5</v>
      </c>
      <c r="H86" s="150">
        <f t="shared" si="10"/>
        <v>91</v>
      </c>
      <c r="I86" s="306">
        <v>8.5</v>
      </c>
      <c r="J86" s="155">
        <v>8.9700000000000006</v>
      </c>
      <c r="K86" s="156">
        <v>2</v>
      </c>
      <c r="L86" s="157">
        <v>0.3</v>
      </c>
      <c r="M86" s="153">
        <f>J86+K86</f>
        <v>10.97</v>
      </c>
      <c r="N86" s="166">
        <v>0.7</v>
      </c>
      <c r="O86" s="167">
        <v>0.1</v>
      </c>
      <c r="P86" s="168">
        <v>0</v>
      </c>
      <c r="Q86" s="309">
        <f t="shared" si="11"/>
        <v>17</v>
      </c>
      <c r="R86" s="152">
        <f t="shared" si="12"/>
        <v>17.940000000000001</v>
      </c>
      <c r="S86" s="154">
        <f t="shared" si="13"/>
        <v>4</v>
      </c>
      <c r="T86" s="169">
        <f t="shared" si="14"/>
        <v>0.6</v>
      </c>
      <c r="U86" s="153">
        <f t="shared" si="15"/>
        <v>21.94</v>
      </c>
      <c r="V86" s="166">
        <f t="shared" si="16"/>
        <v>1.4</v>
      </c>
      <c r="W86" s="167">
        <f t="shared" si="17"/>
        <v>0.2</v>
      </c>
      <c r="X86" s="168">
        <f t="shared" si="18"/>
        <v>0</v>
      </c>
      <c r="Y86" s="14"/>
    </row>
    <row r="87" spans="1:25" ht="12" customHeight="1">
      <c r="A87" s="232">
        <v>40233</v>
      </c>
      <c r="B87" s="25">
        <v>354</v>
      </c>
      <c r="C87" s="24" t="s">
        <v>85</v>
      </c>
      <c r="D87" s="24" t="s">
        <v>915</v>
      </c>
      <c r="E87" s="25">
        <v>25</v>
      </c>
      <c r="F87" s="27" t="s">
        <v>916</v>
      </c>
      <c r="G87" s="180">
        <v>45.5</v>
      </c>
      <c r="H87" s="150">
        <f t="shared" si="10"/>
        <v>1137.5</v>
      </c>
      <c r="I87" s="306">
        <v>8.5</v>
      </c>
      <c r="J87" s="155">
        <v>11.35</v>
      </c>
      <c r="K87" s="156">
        <v>3</v>
      </c>
      <c r="L87" s="157">
        <v>0.45</v>
      </c>
      <c r="M87" s="153">
        <f t="shared" si="19"/>
        <v>14.35</v>
      </c>
      <c r="N87" s="166">
        <v>0.7</v>
      </c>
      <c r="O87" s="167">
        <v>0.1</v>
      </c>
      <c r="P87" s="168">
        <v>0</v>
      </c>
      <c r="Q87" s="309">
        <f t="shared" si="11"/>
        <v>212.5</v>
      </c>
      <c r="R87" s="152">
        <f t="shared" si="12"/>
        <v>283.75</v>
      </c>
      <c r="S87" s="154">
        <f t="shared" si="13"/>
        <v>75</v>
      </c>
      <c r="T87" s="169">
        <f t="shared" si="14"/>
        <v>11.25</v>
      </c>
      <c r="U87" s="153">
        <f t="shared" si="15"/>
        <v>358.75</v>
      </c>
      <c r="V87" s="166">
        <f t="shared" si="16"/>
        <v>17.5</v>
      </c>
      <c r="W87" s="167">
        <f t="shared" si="17"/>
        <v>2.5</v>
      </c>
      <c r="X87" s="168">
        <f t="shared" si="18"/>
        <v>0</v>
      </c>
      <c r="Y87" s="14"/>
    </row>
    <row r="88" spans="1:25" ht="12" customHeight="1">
      <c r="A88" s="232"/>
      <c r="B88" s="25"/>
      <c r="C88" s="24" t="s">
        <v>85</v>
      </c>
      <c r="D88" s="24" t="s">
        <v>915</v>
      </c>
      <c r="E88" s="25">
        <v>50</v>
      </c>
      <c r="F88" s="27" t="s">
        <v>917</v>
      </c>
      <c r="G88" s="180">
        <v>18.5</v>
      </c>
      <c r="H88" s="150">
        <f t="shared" si="10"/>
        <v>925</v>
      </c>
      <c r="I88" s="306">
        <v>1.5</v>
      </c>
      <c r="J88" s="155">
        <v>5.7</v>
      </c>
      <c r="K88" s="156">
        <v>2.5</v>
      </c>
      <c r="L88" s="157">
        <v>0.38</v>
      </c>
      <c r="M88" s="153">
        <f t="shared" si="19"/>
        <v>8.1999999999999993</v>
      </c>
      <c r="N88" s="166">
        <v>0.2</v>
      </c>
      <c r="O88" s="167">
        <v>0.1</v>
      </c>
      <c r="P88" s="168">
        <v>0.2</v>
      </c>
      <c r="Q88" s="309">
        <f t="shared" si="11"/>
        <v>75</v>
      </c>
      <c r="R88" s="152">
        <f t="shared" si="12"/>
        <v>285</v>
      </c>
      <c r="S88" s="154">
        <f t="shared" si="13"/>
        <v>125</v>
      </c>
      <c r="T88" s="169">
        <f t="shared" si="14"/>
        <v>19</v>
      </c>
      <c r="U88" s="153">
        <f t="shared" si="15"/>
        <v>409.99999999999994</v>
      </c>
      <c r="V88" s="166">
        <f t="shared" si="16"/>
        <v>10</v>
      </c>
      <c r="W88" s="167">
        <f t="shared" si="17"/>
        <v>5</v>
      </c>
      <c r="X88" s="168">
        <f t="shared" si="18"/>
        <v>10</v>
      </c>
      <c r="Y88" s="14"/>
    </row>
    <row r="89" spans="1:25" ht="12" customHeight="1">
      <c r="A89" s="232">
        <v>40233</v>
      </c>
      <c r="B89" s="25">
        <v>355</v>
      </c>
      <c r="C89" s="24" t="s">
        <v>167</v>
      </c>
      <c r="D89" s="24" t="s">
        <v>168</v>
      </c>
      <c r="E89" s="25">
        <v>150</v>
      </c>
      <c r="F89" s="27" t="s">
        <v>918</v>
      </c>
      <c r="G89" s="180">
        <v>13.5</v>
      </c>
      <c r="H89" s="150">
        <f t="shared" si="10"/>
        <v>2025</v>
      </c>
      <c r="I89" s="306">
        <v>1.5</v>
      </c>
      <c r="J89" s="155">
        <v>0.77</v>
      </c>
      <c r="K89" s="156">
        <v>2.2000000000000002</v>
      </c>
      <c r="L89" s="157">
        <v>0.33</v>
      </c>
      <c r="M89" s="153">
        <f t="shared" ref="M89:M99" si="20">J89+K89</f>
        <v>2.97</v>
      </c>
      <c r="N89" s="166">
        <v>1</v>
      </c>
      <c r="O89" s="167">
        <v>0.1</v>
      </c>
      <c r="P89" s="168">
        <v>0</v>
      </c>
      <c r="Q89" s="309">
        <f t="shared" ref="Q89:Q99" si="21">E89*I89</f>
        <v>225</v>
      </c>
      <c r="R89" s="152">
        <f t="shared" ref="R89:R99" si="22">E89*J89</f>
        <v>115.5</v>
      </c>
      <c r="S89" s="154">
        <f t="shared" ref="S89:S99" si="23">E89*K89</f>
        <v>330</v>
      </c>
      <c r="T89" s="169">
        <f t="shared" ref="T89:T99" si="24">E89*L89</f>
        <v>49.5</v>
      </c>
      <c r="U89" s="153">
        <f t="shared" ref="U89:U99" si="25">E89*M89</f>
        <v>445.50000000000006</v>
      </c>
      <c r="V89" s="166">
        <f t="shared" ref="V89:V99" si="26">N89*E89</f>
        <v>150</v>
      </c>
      <c r="W89" s="167">
        <f t="shared" ref="W89:W99" si="27">O89*E89</f>
        <v>15</v>
      </c>
      <c r="X89" s="168">
        <f t="shared" ref="X89:X99" si="28">P89*E89</f>
        <v>0</v>
      </c>
      <c r="Y89" s="14"/>
    </row>
    <row r="90" spans="1:25" ht="12" customHeight="1">
      <c r="A90" s="232">
        <v>40233</v>
      </c>
      <c r="B90" s="27">
        <v>356</v>
      </c>
      <c r="C90" s="24" t="s">
        <v>41</v>
      </c>
      <c r="D90" s="24" t="s">
        <v>42</v>
      </c>
      <c r="E90" s="25">
        <f>100+100</f>
        <v>200</v>
      </c>
      <c r="F90" s="27" t="s">
        <v>919</v>
      </c>
      <c r="G90" s="180">
        <v>22</v>
      </c>
      <c r="H90" s="150">
        <f t="shared" si="10"/>
        <v>4400</v>
      </c>
      <c r="I90" s="306">
        <v>1.5</v>
      </c>
      <c r="J90" s="155">
        <v>6.48</v>
      </c>
      <c r="K90" s="156">
        <v>0.25</v>
      </c>
      <c r="L90" s="157">
        <v>0.15</v>
      </c>
      <c r="M90" s="153">
        <f>J90+K90</f>
        <v>6.73</v>
      </c>
      <c r="N90" s="166">
        <v>0.25</v>
      </c>
      <c r="O90" s="167">
        <v>0.15</v>
      </c>
      <c r="P90" s="168">
        <v>0.15</v>
      </c>
      <c r="Q90" s="309">
        <f t="shared" si="21"/>
        <v>300</v>
      </c>
      <c r="R90" s="152">
        <f t="shared" si="22"/>
        <v>1296</v>
      </c>
      <c r="S90" s="154">
        <f t="shared" si="23"/>
        <v>50</v>
      </c>
      <c r="T90" s="169">
        <f t="shared" si="24"/>
        <v>30</v>
      </c>
      <c r="U90" s="153">
        <f t="shared" si="25"/>
        <v>1346</v>
      </c>
      <c r="V90" s="166">
        <f t="shared" si="26"/>
        <v>50</v>
      </c>
      <c r="W90" s="167">
        <f t="shared" si="27"/>
        <v>30</v>
      </c>
      <c r="X90" s="168">
        <f t="shared" si="28"/>
        <v>30</v>
      </c>
      <c r="Y90" s="14"/>
    </row>
    <row r="91" spans="1:25" ht="12" customHeight="1">
      <c r="A91" s="232"/>
      <c r="B91" s="27"/>
      <c r="C91" s="24" t="s">
        <v>41</v>
      </c>
      <c r="D91" s="24" t="s">
        <v>42</v>
      </c>
      <c r="E91" s="25">
        <v>200</v>
      </c>
      <c r="F91" s="27" t="s">
        <v>920</v>
      </c>
      <c r="G91" s="180">
        <v>4.5</v>
      </c>
      <c r="H91" s="150">
        <f t="shared" si="10"/>
        <v>900</v>
      </c>
      <c r="I91" s="306">
        <v>0</v>
      </c>
      <c r="J91" s="155">
        <v>0</v>
      </c>
      <c r="K91" s="156">
        <v>0</v>
      </c>
      <c r="L91" s="157">
        <v>0</v>
      </c>
      <c r="M91" s="153">
        <f t="shared" si="20"/>
        <v>0</v>
      </c>
      <c r="N91" s="166">
        <v>0</v>
      </c>
      <c r="O91" s="167">
        <v>0</v>
      </c>
      <c r="P91" s="168">
        <v>0</v>
      </c>
      <c r="Q91" s="309">
        <f t="shared" si="21"/>
        <v>0</v>
      </c>
      <c r="R91" s="152">
        <f t="shared" si="22"/>
        <v>0</v>
      </c>
      <c r="S91" s="154">
        <f t="shared" si="23"/>
        <v>0</v>
      </c>
      <c r="T91" s="169">
        <f t="shared" si="24"/>
        <v>0</v>
      </c>
      <c r="U91" s="153">
        <f t="shared" si="25"/>
        <v>0</v>
      </c>
      <c r="V91" s="166">
        <f t="shared" si="26"/>
        <v>0</v>
      </c>
      <c r="W91" s="167">
        <f t="shared" si="27"/>
        <v>0</v>
      </c>
      <c r="X91" s="168">
        <f t="shared" si="28"/>
        <v>0</v>
      </c>
      <c r="Y91" s="14" t="s">
        <v>931</v>
      </c>
    </row>
    <row r="92" spans="1:25" ht="12" customHeight="1">
      <c r="A92" s="232"/>
      <c r="B92" s="27"/>
      <c r="C92" s="24" t="s">
        <v>41</v>
      </c>
      <c r="D92" s="24" t="s">
        <v>42</v>
      </c>
      <c r="E92" s="25">
        <v>200</v>
      </c>
      <c r="F92" s="27" t="s">
        <v>921</v>
      </c>
      <c r="G92" s="180">
        <v>10</v>
      </c>
      <c r="H92" s="150">
        <f t="shared" si="10"/>
        <v>2000</v>
      </c>
      <c r="I92" s="306">
        <v>0.5</v>
      </c>
      <c r="J92" s="155">
        <v>0.85</v>
      </c>
      <c r="K92" s="156">
        <v>0</v>
      </c>
      <c r="L92" s="157">
        <v>0</v>
      </c>
      <c r="M92" s="153">
        <f t="shared" si="20"/>
        <v>0.85</v>
      </c>
      <c r="N92" s="166">
        <v>0</v>
      </c>
      <c r="O92" s="167">
        <v>0.1</v>
      </c>
      <c r="P92" s="168">
        <v>0.1</v>
      </c>
      <c r="Q92" s="309">
        <f t="shared" si="21"/>
        <v>100</v>
      </c>
      <c r="R92" s="152">
        <f t="shared" si="22"/>
        <v>170</v>
      </c>
      <c r="S92" s="154">
        <f t="shared" si="23"/>
        <v>0</v>
      </c>
      <c r="T92" s="169">
        <f t="shared" si="24"/>
        <v>0</v>
      </c>
      <c r="U92" s="153">
        <f t="shared" si="25"/>
        <v>170</v>
      </c>
      <c r="V92" s="166">
        <f t="shared" si="26"/>
        <v>0</v>
      </c>
      <c r="W92" s="167">
        <f t="shared" si="27"/>
        <v>20</v>
      </c>
      <c r="X92" s="168">
        <f t="shared" si="28"/>
        <v>20</v>
      </c>
      <c r="Y92" s="14"/>
    </row>
    <row r="93" spans="1:25" ht="12" customHeight="1">
      <c r="A93" s="232"/>
      <c r="B93" s="27"/>
      <c r="C93" s="24" t="s">
        <v>41</v>
      </c>
      <c r="D93" s="24" t="s">
        <v>42</v>
      </c>
      <c r="E93" s="25">
        <v>7</v>
      </c>
      <c r="F93" s="27" t="s">
        <v>922</v>
      </c>
      <c r="G93" s="180">
        <f>37+30</f>
        <v>67</v>
      </c>
      <c r="H93" s="150">
        <f t="shared" si="10"/>
        <v>469</v>
      </c>
      <c r="I93" s="306">
        <v>0</v>
      </c>
      <c r="J93" s="155">
        <v>0</v>
      </c>
      <c r="K93" s="156">
        <v>0</v>
      </c>
      <c r="L93" s="157">
        <v>0</v>
      </c>
      <c r="M93" s="153">
        <f t="shared" si="20"/>
        <v>0</v>
      </c>
      <c r="N93" s="166">
        <v>0</v>
      </c>
      <c r="O93" s="167">
        <v>0</v>
      </c>
      <c r="P93" s="168">
        <v>0</v>
      </c>
      <c r="Q93" s="309">
        <f t="shared" si="21"/>
        <v>0</v>
      </c>
      <c r="R93" s="152">
        <f t="shared" si="22"/>
        <v>0</v>
      </c>
      <c r="S93" s="154">
        <f t="shared" si="23"/>
        <v>0</v>
      </c>
      <c r="T93" s="169">
        <f t="shared" si="24"/>
        <v>0</v>
      </c>
      <c r="U93" s="153">
        <f t="shared" si="25"/>
        <v>0</v>
      </c>
      <c r="V93" s="166">
        <f t="shared" si="26"/>
        <v>0</v>
      </c>
      <c r="W93" s="167">
        <f t="shared" si="27"/>
        <v>0</v>
      </c>
      <c r="X93" s="168">
        <f t="shared" si="28"/>
        <v>0</v>
      </c>
      <c r="Y93" s="14" t="s">
        <v>931</v>
      </c>
    </row>
    <row r="94" spans="1:25" ht="12" customHeight="1">
      <c r="A94" s="232">
        <v>40233</v>
      </c>
      <c r="B94" s="27">
        <v>357</v>
      </c>
      <c r="C94" s="24" t="s">
        <v>137</v>
      </c>
      <c r="D94" s="24" t="s">
        <v>138</v>
      </c>
      <c r="E94" s="25">
        <v>216</v>
      </c>
      <c r="F94" s="27" t="s">
        <v>923</v>
      </c>
      <c r="G94" s="180">
        <v>5</v>
      </c>
      <c r="H94" s="150">
        <f t="shared" si="10"/>
        <v>1080</v>
      </c>
      <c r="I94" s="306">
        <v>0.4</v>
      </c>
      <c r="J94" s="155">
        <v>0.71</v>
      </c>
      <c r="K94" s="156">
        <v>2.6</v>
      </c>
      <c r="L94" s="157">
        <v>0.39</v>
      </c>
      <c r="M94" s="153">
        <f t="shared" si="20"/>
        <v>3.31</v>
      </c>
      <c r="N94" s="166">
        <v>0.35</v>
      </c>
      <c r="O94" s="167">
        <v>0.1</v>
      </c>
      <c r="P94" s="168">
        <v>0</v>
      </c>
      <c r="Q94" s="309">
        <f t="shared" si="21"/>
        <v>86.4</v>
      </c>
      <c r="R94" s="152">
        <f t="shared" si="22"/>
        <v>153.35999999999999</v>
      </c>
      <c r="S94" s="154">
        <f t="shared" si="23"/>
        <v>561.6</v>
      </c>
      <c r="T94" s="169">
        <f t="shared" si="24"/>
        <v>84.240000000000009</v>
      </c>
      <c r="U94" s="153">
        <f t="shared" si="25"/>
        <v>714.96</v>
      </c>
      <c r="V94" s="166">
        <f t="shared" si="26"/>
        <v>75.599999999999994</v>
      </c>
      <c r="W94" s="167">
        <f t="shared" si="27"/>
        <v>21.6</v>
      </c>
      <c r="X94" s="168">
        <f t="shared" si="28"/>
        <v>0</v>
      </c>
      <c r="Y94" s="14"/>
    </row>
    <row r="95" spans="1:25" ht="12" customHeight="1">
      <c r="A95" s="232"/>
      <c r="B95" s="27"/>
      <c r="C95" s="24" t="s">
        <v>137</v>
      </c>
      <c r="D95" s="24" t="s">
        <v>138</v>
      </c>
      <c r="E95" s="25">
        <v>60</v>
      </c>
      <c r="F95" s="27" t="s">
        <v>924</v>
      </c>
      <c r="G95" s="180">
        <v>2.1</v>
      </c>
      <c r="H95" s="150">
        <f t="shared" si="10"/>
        <v>126</v>
      </c>
      <c r="I95" s="306">
        <v>0.05</v>
      </c>
      <c r="J95" s="155">
        <v>0.14000000000000001</v>
      </c>
      <c r="K95" s="156">
        <v>1.2</v>
      </c>
      <c r="L95" s="157">
        <v>0.18</v>
      </c>
      <c r="M95" s="153">
        <f t="shared" si="20"/>
        <v>1.3399999999999999</v>
      </c>
      <c r="N95" s="166">
        <v>0.15</v>
      </c>
      <c r="O95" s="167">
        <v>0.1</v>
      </c>
      <c r="P95" s="168">
        <v>0</v>
      </c>
      <c r="Q95" s="309">
        <f t="shared" si="21"/>
        <v>3</v>
      </c>
      <c r="R95" s="152">
        <f t="shared" si="22"/>
        <v>8.4</v>
      </c>
      <c r="S95" s="154">
        <f t="shared" si="23"/>
        <v>72</v>
      </c>
      <c r="T95" s="169">
        <f t="shared" si="24"/>
        <v>10.799999999999999</v>
      </c>
      <c r="U95" s="153">
        <f t="shared" si="25"/>
        <v>80.399999999999991</v>
      </c>
      <c r="V95" s="166">
        <f t="shared" si="26"/>
        <v>9</v>
      </c>
      <c r="W95" s="167">
        <f t="shared" si="27"/>
        <v>6</v>
      </c>
      <c r="X95" s="168">
        <f t="shared" si="28"/>
        <v>0</v>
      </c>
      <c r="Y95" s="14"/>
    </row>
    <row r="96" spans="1:25" ht="12" customHeight="1">
      <c r="A96" s="232">
        <v>40235</v>
      </c>
      <c r="B96" s="27">
        <v>358</v>
      </c>
      <c r="C96" s="24" t="s">
        <v>925</v>
      </c>
      <c r="D96" s="24" t="s">
        <v>926</v>
      </c>
      <c r="E96" s="25">
        <v>19</v>
      </c>
      <c r="F96" s="27" t="s">
        <v>927</v>
      </c>
      <c r="G96" s="181">
        <v>50.75</v>
      </c>
      <c r="H96" s="150">
        <f t="shared" si="10"/>
        <v>964.25</v>
      </c>
      <c r="I96" s="306">
        <v>5.5</v>
      </c>
      <c r="J96" s="155">
        <v>6.89</v>
      </c>
      <c r="K96" s="156">
        <v>2</v>
      </c>
      <c r="L96" s="157">
        <v>0.3</v>
      </c>
      <c r="M96" s="153">
        <f t="shared" si="20"/>
        <v>8.89</v>
      </c>
      <c r="N96" s="166">
        <v>0.75</v>
      </c>
      <c r="O96" s="167">
        <v>0.1</v>
      </c>
      <c r="P96" s="168">
        <v>0</v>
      </c>
      <c r="Q96" s="309">
        <f t="shared" si="21"/>
        <v>104.5</v>
      </c>
      <c r="R96" s="152">
        <f t="shared" si="22"/>
        <v>130.91</v>
      </c>
      <c r="S96" s="154">
        <f t="shared" si="23"/>
        <v>38</v>
      </c>
      <c r="T96" s="169">
        <f t="shared" si="24"/>
        <v>5.7</v>
      </c>
      <c r="U96" s="153">
        <f t="shared" si="25"/>
        <v>168.91000000000003</v>
      </c>
      <c r="V96" s="166">
        <f t="shared" si="26"/>
        <v>14.25</v>
      </c>
      <c r="W96" s="167">
        <f t="shared" si="27"/>
        <v>1.9000000000000001</v>
      </c>
      <c r="X96" s="168">
        <f t="shared" si="28"/>
        <v>0</v>
      </c>
      <c r="Y96" s="14"/>
    </row>
    <row r="97" spans="1:25" ht="12" customHeight="1">
      <c r="A97" s="232"/>
      <c r="B97" s="27"/>
      <c r="C97" s="24" t="s">
        <v>925</v>
      </c>
      <c r="D97" s="24" t="s">
        <v>926</v>
      </c>
      <c r="E97" s="25">
        <v>18</v>
      </c>
      <c r="F97" s="27" t="s">
        <v>928</v>
      </c>
      <c r="G97" s="181">
        <f>101.5-50.75</f>
        <v>50.75</v>
      </c>
      <c r="H97" s="150">
        <f t="shared" si="10"/>
        <v>913.5</v>
      </c>
      <c r="I97" s="306">
        <v>5.5</v>
      </c>
      <c r="J97" s="155">
        <v>9.3699999999999992</v>
      </c>
      <c r="K97" s="156">
        <v>2</v>
      </c>
      <c r="L97" s="157">
        <v>0.3</v>
      </c>
      <c r="M97" s="153">
        <f t="shared" si="20"/>
        <v>11.37</v>
      </c>
      <c r="N97" s="166">
        <v>0.75</v>
      </c>
      <c r="O97" s="167">
        <v>0.1</v>
      </c>
      <c r="P97" s="168">
        <v>0</v>
      </c>
      <c r="Q97" s="309">
        <f t="shared" si="21"/>
        <v>99</v>
      </c>
      <c r="R97" s="152">
        <f t="shared" si="22"/>
        <v>168.66</v>
      </c>
      <c r="S97" s="154">
        <f t="shared" si="23"/>
        <v>36</v>
      </c>
      <c r="T97" s="169">
        <f t="shared" si="24"/>
        <v>5.3999999999999995</v>
      </c>
      <c r="U97" s="153">
        <f t="shared" si="25"/>
        <v>204.66</v>
      </c>
      <c r="V97" s="166">
        <f t="shared" si="26"/>
        <v>13.5</v>
      </c>
      <c r="W97" s="167">
        <f t="shared" si="27"/>
        <v>1.8</v>
      </c>
      <c r="X97" s="168">
        <f t="shared" si="28"/>
        <v>0</v>
      </c>
      <c r="Y97" s="14"/>
    </row>
    <row r="98" spans="1:25" ht="12" customHeight="1">
      <c r="A98" s="232"/>
      <c r="B98" s="27"/>
      <c r="C98" s="24" t="s">
        <v>925</v>
      </c>
      <c r="D98" s="24" t="s">
        <v>926</v>
      </c>
      <c r="E98" s="25">
        <v>30</v>
      </c>
      <c r="F98" s="27" t="s">
        <v>929</v>
      </c>
      <c r="G98" s="180">
        <v>25</v>
      </c>
      <c r="H98" s="150">
        <f t="shared" si="10"/>
        <v>750</v>
      </c>
      <c r="I98" s="306">
        <v>1</v>
      </c>
      <c r="J98" s="155">
        <v>6.88</v>
      </c>
      <c r="K98" s="156">
        <v>1.5</v>
      </c>
      <c r="L98" s="157">
        <v>0.23</v>
      </c>
      <c r="M98" s="153">
        <f t="shared" si="20"/>
        <v>8.379999999999999</v>
      </c>
      <c r="N98" s="166">
        <v>0.5</v>
      </c>
      <c r="O98" s="167">
        <v>0.1</v>
      </c>
      <c r="P98" s="168">
        <v>0</v>
      </c>
      <c r="Q98" s="309">
        <f t="shared" si="21"/>
        <v>30</v>
      </c>
      <c r="R98" s="152">
        <f t="shared" si="22"/>
        <v>206.4</v>
      </c>
      <c r="S98" s="154">
        <f t="shared" si="23"/>
        <v>45</v>
      </c>
      <c r="T98" s="169">
        <f t="shared" si="24"/>
        <v>6.9</v>
      </c>
      <c r="U98" s="153">
        <f t="shared" si="25"/>
        <v>251.39999999999998</v>
      </c>
      <c r="V98" s="166">
        <f t="shared" si="26"/>
        <v>15</v>
      </c>
      <c r="W98" s="167">
        <f t="shared" si="27"/>
        <v>3</v>
      </c>
      <c r="X98" s="168">
        <f t="shared" si="28"/>
        <v>0</v>
      </c>
      <c r="Y98" s="14"/>
    </row>
    <row r="99" spans="1:25" ht="12" customHeight="1" thickBot="1">
      <c r="A99" s="292"/>
      <c r="B99" s="293"/>
      <c r="C99" s="294" t="s">
        <v>925</v>
      </c>
      <c r="D99" s="294" t="s">
        <v>926</v>
      </c>
      <c r="E99" s="295">
        <v>20</v>
      </c>
      <c r="F99" s="293" t="s">
        <v>930</v>
      </c>
      <c r="G99" s="296">
        <v>25</v>
      </c>
      <c r="H99" s="151">
        <f t="shared" si="10"/>
        <v>500</v>
      </c>
      <c r="I99" s="356">
        <v>1</v>
      </c>
      <c r="J99" s="297">
        <v>6.88</v>
      </c>
      <c r="K99" s="298">
        <v>1.5</v>
      </c>
      <c r="L99" s="299">
        <v>0.23</v>
      </c>
      <c r="M99" s="173">
        <f t="shared" si="20"/>
        <v>8.379999999999999</v>
      </c>
      <c r="N99" s="174">
        <v>0.5</v>
      </c>
      <c r="O99" s="175">
        <v>0.1</v>
      </c>
      <c r="P99" s="176"/>
      <c r="Q99" s="310">
        <f t="shared" si="21"/>
        <v>20</v>
      </c>
      <c r="R99" s="170">
        <f t="shared" si="22"/>
        <v>137.6</v>
      </c>
      <c r="S99" s="171">
        <f t="shared" si="23"/>
        <v>30</v>
      </c>
      <c r="T99" s="172">
        <f t="shared" si="24"/>
        <v>4.6000000000000005</v>
      </c>
      <c r="U99" s="173">
        <f t="shared" si="25"/>
        <v>167.59999999999997</v>
      </c>
      <c r="V99" s="174">
        <f t="shared" si="26"/>
        <v>10</v>
      </c>
      <c r="W99" s="175">
        <f t="shared" si="27"/>
        <v>2</v>
      </c>
      <c r="X99" s="176">
        <f t="shared" si="28"/>
        <v>0</v>
      </c>
      <c r="Y99" s="109"/>
    </row>
    <row r="100" spans="1:25" ht="20.25" customHeight="1" thickBot="1">
      <c r="A100" s="126"/>
      <c r="B100" s="126"/>
      <c r="C100" s="126"/>
      <c r="D100" s="126"/>
      <c r="E100" s="126"/>
      <c r="F100" s="127" t="s">
        <v>1111</v>
      </c>
      <c r="G100" s="128"/>
      <c r="H100" s="366">
        <f>SUM(H8:H99)</f>
        <v>142422.25</v>
      </c>
      <c r="I100" s="367"/>
      <c r="J100" s="129" t="s">
        <v>36</v>
      </c>
      <c r="K100" s="130"/>
      <c r="L100" s="131"/>
      <c r="M100" s="290"/>
      <c r="N100" s="133"/>
      <c r="O100" s="134"/>
      <c r="P100" s="135"/>
      <c r="Q100" s="315">
        <f t="shared" ref="Q100:X100" si="29">SUM(Q8:Q99)</f>
        <v>14304.15</v>
      </c>
      <c r="R100" s="136">
        <f t="shared" si="29"/>
        <v>27270.895</v>
      </c>
      <c r="S100" s="137">
        <f t="shared" si="29"/>
        <v>12412.99</v>
      </c>
      <c r="T100" s="138">
        <f t="shared" si="29"/>
        <v>5611.329999999999</v>
      </c>
      <c r="U100" s="139">
        <f t="shared" si="29"/>
        <v>39683.885000000024</v>
      </c>
      <c r="V100" s="133">
        <f t="shared" si="29"/>
        <v>1892.4249999999997</v>
      </c>
      <c r="W100" s="291">
        <f t="shared" si="29"/>
        <v>612.45000000000005</v>
      </c>
      <c r="X100" s="351">
        <f t="shared" si="29"/>
        <v>1074.5</v>
      </c>
      <c r="Y100" s="126" t="s">
        <v>36</v>
      </c>
    </row>
    <row r="101" spans="1:25" ht="20.25" customHeight="1" thickBot="1">
      <c r="A101" s="32"/>
      <c r="B101" s="32"/>
      <c r="C101" s="32"/>
      <c r="D101" s="32"/>
      <c r="E101" s="32"/>
      <c r="F101" s="76" t="s">
        <v>1111</v>
      </c>
      <c r="G101" s="72"/>
      <c r="H101" s="364">
        <f>H100/7.06</f>
        <v>20173.123229461758</v>
      </c>
      <c r="I101" s="365"/>
      <c r="J101" s="78" t="s">
        <v>407</v>
      </c>
      <c r="K101" s="79"/>
      <c r="L101" s="80"/>
      <c r="M101" s="81"/>
      <c r="N101" s="73"/>
      <c r="O101" s="74"/>
      <c r="P101" s="77"/>
      <c r="Q101" s="313">
        <f t="shared" ref="Q101:X101" si="30">Q100/7.06</f>
        <v>2026.0835694050993</v>
      </c>
      <c r="R101" s="82">
        <f t="shared" si="30"/>
        <v>3862.7330028328615</v>
      </c>
      <c r="S101" s="79">
        <f t="shared" si="30"/>
        <v>1758.2138810198301</v>
      </c>
      <c r="T101" s="80">
        <f t="shared" si="30"/>
        <v>794.80594900849849</v>
      </c>
      <c r="U101" s="81">
        <f t="shared" si="30"/>
        <v>5620.9468838526946</v>
      </c>
      <c r="V101" s="73">
        <f t="shared" si="30"/>
        <v>268.04886685552407</v>
      </c>
      <c r="W101" s="88">
        <f t="shared" si="30"/>
        <v>86.749291784702564</v>
      </c>
      <c r="X101" s="89">
        <f t="shared" si="30"/>
        <v>152.19546742209633</v>
      </c>
      <c r="Y101" s="32" t="s">
        <v>407</v>
      </c>
    </row>
    <row r="104" spans="1:25" ht="13.5" thickBot="1"/>
    <row r="105" spans="1:25" ht="13.5" thickBot="1">
      <c r="L105" s="63"/>
      <c r="N105" s="63"/>
    </row>
  </sheetData>
  <autoFilter ref="A7:S101">
    <filterColumn colId="7"/>
    <filterColumn colId="11"/>
    <filterColumn colId="16"/>
  </autoFilter>
  <mergeCells count="4">
    <mergeCell ref="H100:I100"/>
    <mergeCell ref="H101:I101"/>
    <mergeCell ref="G61:G62"/>
    <mergeCell ref="G3:K4"/>
  </mergeCells>
  <pageMargins left="0.19685039370078741" right="0.19685039370078741" top="0.98425196850393704" bottom="0.78740157480314965" header="0" footer="0"/>
  <pageSetup paperSize="5" scale="75" orientation="landscape" horizontalDpi="4294967294" verticalDpi="300" r:id="rId1"/>
  <headerFooter alignWithMargins="0"/>
  <drawing r:id="rId2"/>
</worksheet>
</file>

<file path=xl/worksheets/sheet3.xml><?xml version="1.0" encoding="utf-8"?>
<worksheet xmlns="http://schemas.openxmlformats.org/spreadsheetml/2006/main" xmlns:r="http://schemas.openxmlformats.org/officeDocument/2006/relationships">
  <sheetPr>
    <tabColor theme="7" tint="-0.499984740745262"/>
  </sheetPr>
  <dimension ref="A1:Y153"/>
  <sheetViews>
    <sheetView workbookViewId="0">
      <pane ySplit="7" topLeftCell="A143" activePane="bottomLeft" state="frozen"/>
      <selection pane="bottomLeft" activeCell="X152" sqref="X152"/>
    </sheetView>
  </sheetViews>
  <sheetFormatPr baseColWidth="10" defaultRowHeight="12.75"/>
  <cols>
    <col min="1" max="1" width="8.140625" customWidth="1"/>
    <col min="2" max="2" width="6" customWidth="1"/>
    <col min="3" max="3" width="13.7109375" customWidth="1"/>
    <col min="4" max="4" width="12" customWidth="1"/>
    <col min="5" max="5" width="4.85546875" customWidth="1"/>
    <col min="6" max="6" width="37.42578125" customWidth="1"/>
    <col min="7" max="7" width="6.5703125" customWidth="1"/>
    <col min="8" max="8" width="8.28515625" customWidth="1"/>
    <col min="9" max="9" width="5.85546875" customWidth="1"/>
    <col min="10" max="10" width="6.42578125" customWidth="1"/>
    <col min="11" max="11" width="5.85546875" customWidth="1"/>
    <col min="12" max="12" width="5.7109375" customWidth="1"/>
    <col min="13" max="13" width="7.140625" customWidth="1"/>
    <col min="14" max="16" width="5.28515625" customWidth="1"/>
    <col min="17" max="17" width="8.28515625" customWidth="1"/>
    <col min="18" max="18" width="9" customWidth="1"/>
    <col min="19" max="19" width="8.85546875" customWidth="1"/>
    <col min="20" max="20" width="8.42578125" customWidth="1"/>
    <col min="21" max="21" width="9.28515625" customWidth="1"/>
    <col min="22" max="22" width="8.140625" customWidth="1"/>
    <col min="23" max="23" width="8.7109375" customWidth="1"/>
    <col min="24" max="24" width="8.28515625" customWidth="1"/>
    <col min="25" max="25" width="8" customWidth="1"/>
    <col min="26" max="26" width="14.85546875" customWidth="1"/>
  </cols>
  <sheetData>
    <row r="1" spans="1:25" ht="13.5">
      <c r="A1" s="261" t="s">
        <v>12</v>
      </c>
      <c r="B1" s="3"/>
      <c r="C1" s="3"/>
      <c r="N1" s="5"/>
    </row>
    <row r="2" spans="1:25" ht="13.5">
      <c r="A2" s="261" t="s">
        <v>13</v>
      </c>
      <c r="B2" s="3"/>
      <c r="C2" s="3"/>
      <c r="D2" s="2"/>
      <c r="N2" s="5"/>
      <c r="P2" s="4"/>
      <c r="Q2" s="4"/>
      <c r="R2" s="4"/>
      <c r="S2" s="4"/>
    </row>
    <row r="3" spans="1:25" ht="12.75" customHeight="1">
      <c r="A3" s="261" t="s">
        <v>14</v>
      </c>
      <c r="B3" s="3"/>
      <c r="C3" s="3"/>
      <c r="D3" s="2"/>
      <c r="E3" s="260"/>
      <c r="G3" s="369" t="s">
        <v>146</v>
      </c>
      <c r="H3" s="369"/>
      <c r="I3" s="369"/>
      <c r="J3" s="369"/>
      <c r="K3" s="369"/>
      <c r="L3" s="260"/>
      <c r="M3" s="260"/>
      <c r="N3" s="5"/>
      <c r="P3" s="4"/>
      <c r="Q3" s="4"/>
      <c r="R3" s="4"/>
      <c r="S3" s="4"/>
    </row>
    <row r="4" spans="1:25" ht="12.75" customHeight="1">
      <c r="A4" s="261" t="s">
        <v>34</v>
      </c>
      <c r="B4" s="3"/>
      <c r="C4" s="3"/>
      <c r="D4" s="2" t="s">
        <v>16</v>
      </c>
      <c r="E4" s="260"/>
      <c r="F4" s="268"/>
      <c r="G4" s="369"/>
      <c r="H4" s="369"/>
      <c r="I4" s="369"/>
      <c r="J4" s="369"/>
      <c r="K4" s="369"/>
      <c r="L4" s="260"/>
      <c r="M4" s="260"/>
      <c r="N4" s="5"/>
      <c r="P4" s="4"/>
      <c r="Q4" s="4"/>
      <c r="R4" s="4"/>
      <c r="S4" s="4"/>
    </row>
    <row r="5" spans="1:25" ht="12.75" customHeight="1">
      <c r="A5" s="261" t="s">
        <v>15</v>
      </c>
      <c r="B5" s="3"/>
      <c r="C5" s="3"/>
      <c r="D5" s="2"/>
      <c r="E5" s="6"/>
      <c r="F5" s="6"/>
      <c r="G5" s="6"/>
      <c r="H5" s="6"/>
      <c r="I5" s="6"/>
      <c r="N5" s="5"/>
      <c r="P5" s="4"/>
      <c r="Q5" s="4"/>
      <c r="R5" s="4"/>
      <c r="S5" s="4"/>
    </row>
    <row r="6" spans="1:25" ht="24.75" customHeight="1" thickBot="1">
      <c r="A6" s="255" t="s">
        <v>1741</v>
      </c>
      <c r="D6" s="1"/>
      <c r="N6" s="5"/>
    </row>
    <row r="7" spans="1:25" s="13" customFormat="1" ht="26.25" customHeight="1" thickBot="1">
      <c r="A7" s="275" t="s">
        <v>0</v>
      </c>
      <c r="B7" s="276" t="s">
        <v>1</v>
      </c>
      <c r="C7" s="275" t="s">
        <v>19</v>
      </c>
      <c r="D7" s="277" t="s">
        <v>18</v>
      </c>
      <c r="E7" s="278" t="s">
        <v>9</v>
      </c>
      <c r="F7" s="275" t="s">
        <v>2</v>
      </c>
      <c r="G7" s="279" t="s">
        <v>20</v>
      </c>
      <c r="H7" s="279" t="s">
        <v>405</v>
      </c>
      <c r="I7" s="354" t="s">
        <v>3</v>
      </c>
      <c r="J7" s="280" t="s">
        <v>10</v>
      </c>
      <c r="K7" s="281" t="s">
        <v>11</v>
      </c>
      <c r="L7" s="282" t="s">
        <v>29</v>
      </c>
      <c r="M7" s="283" t="s">
        <v>6</v>
      </c>
      <c r="N7" s="284" t="s">
        <v>147</v>
      </c>
      <c r="O7" s="285" t="s">
        <v>148</v>
      </c>
      <c r="P7" s="286" t="s">
        <v>149</v>
      </c>
      <c r="Q7" s="357" t="s">
        <v>8</v>
      </c>
      <c r="R7" s="280" t="s">
        <v>4</v>
      </c>
      <c r="S7" s="281" t="s">
        <v>5</v>
      </c>
      <c r="T7" s="282" t="s">
        <v>31</v>
      </c>
      <c r="U7" s="275" t="s">
        <v>7</v>
      </c>
      <c r="V7" s="284" t="s">
        <v>150</v>
      </c>
      <c r="W7" s="285" t="s">
        <v>151</v>
      </c>
      <c r="X7" s="286" t="s">
        <v>152</v>
      </c>
      <c r="Y7" s="275" t="s">
        <v>22</v>
      </c>
    </row>
    <row r="8" spans="1:25" s="7" customFormat="1" ht="12" customHeight="1">
      <c r="A8" s="269">
        <v>40238</v>
      </c>
      <c r="B8" s="271">
        <v>359</v>
      </c>
      <c r="C8" s="272" t="s">
        <v>85</v>
      </c>
      <c r="D8" s="272" t="s">
        <v>915</v>
      </c>
      <c r="E8" s="270">
        <v>35</v>
      </c>
      <c r="F8" s="271" t="s">
        <v>932</v>
      </c>
      <c r="G8" s="273">
        <v>34</v>
      </c>
      <c r="H8" s="149">
        <f>E8*G8</f>
        <v>1190</v>
      </c>
      <c r="I8" s="355">
        <v>3.5</v>
      </c>
      <c r="J8" s="249">
        <v>9.1999999999999993</v>
      </c>
      <c r="K8" s="274">
        <v>0</v>
      </c>
      <c r="L8" s="251">
        <v>0</v>
      </c>
      <c r="M8" s="158">
        <f t="shared" ref="M8:M13" si="0">J8+K8</f>
        <v>9.1999999999999993</v>
      </c>
      <c r="N8" s="159">
        <v>0</v>
      </c>
      <c r="O8" s="160">
        <v>0.1</v>
      </c>
      <c r="P8" s="161">
        <v>0</v>
      </c>
      <c r="Q8" s="308">
        <f t="shared" ref="Q8:Q76" si="1">E8*I8</f>
        <v>122.5</v>
      </c>
      <c r="R8" s="162">
        <f t="shared" ref="R8:R76" si="2">E8*J8</f>
        <v>322</v>
      </c>
      <c r="S8" s="163">
        <f t="shared" ref="S8:S76" si="3">E8*K8</f>
        <v>0</v>
      </c>
      <c r="T8" s="164">
        <f t="shared" ref="T8:T76" si="4">E8*L8</f>
        <v>0</v>
      </c>
      <c r="U8" s="158">
        <f t="shared" ref="U8:U76" si="5">E8*M8</f>
        <v>322</v>
      </c>
      <c r="V8" s="159">
        <f t="shared" ref="V8:V76" si="6">N8*E8</f>
        <v>0</v>
      </c>
      <c r="W8" s="160">
        <f t="shared" ref="W8:W76" si="7">O8*E8</f>
        <v>3.5</v>
      </c>
      <c r="X8" s="161">
        <f t="shared" ref="X8:X76" si="8">P8*E8</f>
        <v>0</v>
      </c>
      <c r="Y8" s="252"/>
    </row>
    <row r="9" spans="1:25" s="7" customFormat="1" ht="12" customHeight="1">
      <c r="A9" s="232">
        <v>40238</v>
      </c>
      <c r="B9" s="27">
        <v>360</v>
      </c>
      <c r="C9" s="24" t="s">
        <v>933</v>
      </c>
      <c r="D9" s="24" t="s">
        <v>206</v>
      </c>
      <c r="E9" s="25">
        <v>8</v>
      </c>
      <c r="F9" s="27" t="s">
        <v>934</v>
      </c>
      <c r="G9" s="180">
        <v>40</v>
      </c>
      <c r="H9" s="150">
        <f>E9*G9</f>
        <v>320</v>
      </c>
      <c r="I9" s="306">
        <v>3.5</v>
      </c>
      <c r="J9" s="155">
        <v>5.96</v>
      </c>
      <c r="K9" s="177">
        <v>4</v>
      </c>
      <c r="L9" s="157">
        <v>0.6</v>
      </c>
      <c r="M9" s="165">
        <f t="shared" si="0"/>
        <v>9.9600000000000009</v>
      </c>
      <c r="N9" s="166">
        <v>0.35</v>
      </c>
      <c r="O9" s="167">
        <v>0.1</v>
      </c>
      <c r="P9" s="168">
        <v>0</v>
      </c>
      <c r="Q9" s="309">
        <f t="shared" si="1"/>
        <v>28</v>
      </c>
      <c r="R9" s="152">
        <f t="shared" si="2"/>
        <v>47.68</v>
      </c>
      <c r="S9" s="154">
        <f t="shared" si="3"/>
        <v>32</v>
      </c>
      <c r="T9" s="169">
        <f t="shared" si="4"/>
        <v>4.8</v>
      </c>
      <c r="U9" s="165">
        <f t="shared" si="5"/>
        <v>79.680000000000007</v>
      </c>
      <c r="V9" s="166">
        <f t="shared" si="6"/>
        <v>2.8</v>
      </c>
      <c r="W9" s="167">
        <f t="shared" si="7"/>
        <v>0.8</v>
      </c>
      <c r="X9" s="168">
        <f t="shared" si="8"/>
        <v>0</v>
      </c>
      <c r="Y9" s="14"/>
    </row>
    <row r="10" spans="1:25" s="7" customFormat="1" ht="12" customHeight="1">
      <c r="A10" s="232"/>
      <c r="B10" s="27"/>
      <c r="C10" s="24" t="s">
        <v>933</v>
      </c>
      <c r="D10" s="24" t="s">
        <v>206</v>
      </c>
      <c r="E10" s="25">
        <v>8</v>
      </c>
      <c r="F10" s="27" t="s">
        <v>935</v>
      </c>
      <c r="G10" s="180">
        <v>36</v>
      </c>
      <c r="H10" s="150">
        <f t="shared" ref="H10:H74" si="9">E10*G10</f>
        <v>288</v>
      </c>
      <c r="I10" s="306">
        <v>3.5</v>
      </c>
      <c r="J10" s="155">
        <v>5.96</v>
      </c>
      <c r="K10" s="177">
        <v>4</v>
      </c>
      <c r="L10" s="157">
        <v>0.6</v>
      </c>
      <c r="M10" s="165">
        <f t="shared" si="0"/>
        <v>9.9600000000000009</v>
      </c>
      <c r="N10" s="166">
        <v>0.35</v>
      </c>
      <c r="O10" s="167">
        <v>0.1</v>
      </c>
      <c r="P10" s="168">
        <v>0</v>
      </c>
      <c r="Q10" s="309">
        <f t="shared" si="1"/>
        <v>28</v>
      </c>
      <c r="R10" s="152">
        <f t="shared" si="2"/>
        <v>47.68</v>
      </c>
      <c r="S10" s="154">
        <f t="shared" si="3"/>
        <v>32</v>
      </c>
      <c r="T10" s="169">
        <f t="shared" si="4"/>
        <v>4.8</v>
      </c>
      <c r="U10" s="153">
        <f t="shared" si="5"/>
        <v>79.680000000000007</v>
      </c>
      <c r="V10" s="166">
        <f t="shared" si="6"/>
        <v>2.8</v>
      </c>
      <c r="W10" s="167">
        <f t="shared" si="7"/>
        <v>0.8</v>
      </c>
      <c r="X10" s="168">
        <f t="shared" si="8"/>
        <v>0</v>
      </c>
      <c r="Y10" s="14"/>
    </row>
    <row r="11" spans="1:25" s="7" customFormat="1" ht="12" customHeight="1">
      <c r="A11" s="232"/>
      <c r="B11" s="27"/>
      <c r="C11" s="24" t="s">
        <v>933</v>
      </c>
      <c r="D11" s="24" t="s">
        <v>206</v>
      </c>
      <c r="E11" s="25">
        <v>8</v>
      </c>
      <c r="F11" s="27" t="s">
        <v>936</v>
      </c>
      <c r="G11" s="180">
        <v>40</v>
      </c>
      <c r="H11" s="150">
        <f t="shared" si="9"/>
        <v>320</v>
      </c>
      <c r="I11" s="306">
        <v>3.5</v>
      </c>
      <c r="J11" s="155">
        <v>5.96</v>
      </c>
      <c r="K11" s="177">
        <v>4</v>
      </c>
      <c r="L11" s="157">
        <v>0.6</v>
      </c>
      <c r="M11" s="165">
        <f t="shared" si="0"/>
        <v>9.9600000000000009</v>
      </c>
      <c r="N11" s="166">
        <v>0.35</v>
      </c>
      <c r="O11" s="167">
        <v>0.1</v>
      </c>
      <c r="P11" s="168">
        <v>0</v>
      </c>
      <c r="Q11" s="309">
        <f t="shared" si="1"/>
        <v>28</v>
      </c>
      <c r="R11" s="152">
        <f t="shared" si="2"/>
        <v>47.68</v>
      </c>
      <c r="S11" s="154">
        <f t="shared" si="3"/>
        <v>32</v>
      </c>
      <c r="T11" s="169">
        <f t="shared" si="4"/>
        <v>4.8</v>
      </c>
      <c r="U11" s="153">
        <f t="shared" si="5"/>
        <v>79.680000000000007</v>
      </c>
      <c r="V11" s="166">
        <f t="shared" si="6"/>
        <v>2.8</v>
      </c>
      <c r="W11" s="167">
        <f t="shared" si="7"/>
        <v>0.8</v>
      </c>
      <c r="X11" s="168">
        <f t="shared" si="8"/>
        <v>0</v>
      </c>
      <c r="Y11" s="14"/>
    </row>
    <row r="12" spans="1:25" s="7" customFormat="1" ht="12" customHeight="1">
      <c r="A12" s="232"/>
      <c r="B12" s="27"/>
      <c r="C12" s="24" t="s">
        <v>933</v>
      </c>
      <c r="D12" s="24" t="s">
        <v>206</v>
      </c>
      <c r="E12" s="25">
        <v>8</v>
      </c>
      <c r="F12" s="27" t="s">
        <v>935</v>
      </c>
      <c r="G12" s="180">
        <v>36</v>
      </c>
      <c r="H12" s="150">
        <f t="shared" si="9"/>
        <v>288</v>
      </c>
      <c r="I12" s="306">
        <v>3.5</v>
      </c>
      <c r="J12" s="155">
        <v>5.96</v>
      </c>
      <c r="K12" s="177">
        <v>4</v>
      </c>
      <c r="L12" s="157">
        <v>0.6</v>
      </c>
      <c r="M12" s="165">
        <f t="shared" si="0"/>
        <v>9.9600000000000009</v>
      </c>
      <c r="N12" s="166">
        <v>0.35</v>
      </c>
      <c r="O12" s="167">
        <v>0.1</v>
      </c>
      <c r="P12" s="168">
        <v>0</v>
      </c>
      <c r="Q12" s="309">
        <f t="shared" si="1"/>
        <v>28</v>
      </c>
      <c r="R12" s="152">
        <f t="shared" si="2"/>
        <v>47.68</v>
      </c>
      <c r="S12" s="154">
        <f t="shared" si="3"/>
        <v>32</v>
      </c>
      <c r="T12" s="169">
        <f t="shared" si="4"/>
        <v>4.8</v>
      </c>
      <c r="U12" s="153">
        <f t="shared" si="5"/>
        <v>79.680000000000007</v>
      </c>
      <c r="V12" s="166">
        <f t="shared" si="6"/>
        <v>2.8</v>
      </c>
      <c r="W12" s="167">
        <f t="shared" si="7"/>
        <v>0.8</v>
      </c>
      <c r="X12" s="168">
        <f t="shared" si="8"/>
        <v>0</v>
      </c>
      <c r="Y12" s="14"/>
    </row>
    <row r="13" spans="1:25" s="7" customFormat="1" ht="12" customHeight="1">
      <c r="A13" s="232"/>
      <c r="B13" s="27"/>
      <c r="C13" s="24" t="s">
        <v>933</v>
      </c>
      <c r="D13" s="24" t="s">
        <v>206</v>
      </c>
      <c r="E13" s="25">
        <v>5</v>
      </c>
      <c r="F13" s="27" t="s">
        <v>937</v>
      </c>
      <c r="G13" s="180">
        <v>40</v>
      </c>
      <c r="H13" s="150">
        <f t="shared" si="9"/>
        <v>200</v>
      </c>
      <c r="I13" s="306">
        <v>3.5</v>
      </c>
      <c r="J13" s="155">
        <v>5.96</v>
      </c>
      <c r="K13" s="177">
        <v>4</v>
      </c>
      <c r="L13" s="157">
        <v>0.6</v>
      </c>
      <c r="M13" s="165">
        <f t="shared" si="0"/>
        <v>9.9600000000000009</v>
      </c>
      <c r="N13" s="166">
        <v>0.35</v>
      </c>
      <c r="O13" s="167">
        <v>0.1</v>
      </c>
      <c r="P13" s="168">
        <v>0</v>
      </c>
      <c r="Q13" s="309">
        <f t="shared" si="1"/>
        <v>17.5</v>
      </c>
      <c r="R13" s="152">
        <f t="shared" si="2"/>
        <v>29.8</v>
      </c>
      <c r="S13" s="154">
        <f t="shared" si="3"/>
        <v>20</v>
      </c>
      <c r="T13" s="169">
        <f t="shared" si="4"/>
        <v>3</v>
      </c>
      <c r="U13" s="153">
        <f t="shared" si="5"/>
        <v>49.800000000000004</v>
      </c>
      <c r="V13" s="166">
        <f t="shared" si="6"/>
        <v>1.75</v>
      </c>
      <c r="W13" s="167">
        <f t="shared" si="7"/>
        <v>0.5</v>
      </c>
      <c r="X13" s="168">
        <f t="shared" si="8"/>
        <v>0</v>
      </c>
      <c r="Y13" s="14"/>
    </row>
    <row r="14" spans="1:25" s="7" customFormat="1" ht="12" customHeight="1">
      <c r="A14" s="232"/>
      <c r="B14" s="27"/>
      <c r="C14" s="24"/>
      <c r="D14" s="24" t="s">
        <v>206</v>
      </c>
      <c r="E14" s="25">
        <v>24</v>
      </c>
      <c r="F14" s="27" t="s">
        <v>938</v>
      </c>
      <c r="G14" s="180">
        <v>4.5</v>
      </c>
      <c r="H14" s="150">
        <f t="shared" si="9"/>
        <v>108</v>
      </c>
      <c r="I14" s="306">
        <v>0</v>
      </c>
      <c r="J14" s="155">
        <v>0</v>
      </c>
      <c r="K14" s="156">
        <v>0</v>
      </c>
      <c r="L14" s="157">
        <v>0</v>
      </c>
      <c r="M14" s="165">
        <f t="shared" ref="M14:M71" si="10">J14+K14</f>
        <v>0</v>
      </c>
      <c r="N14" s="166">
        <v>0</v>
      </c>
      <c r="O14" s="167">
        <v>0</v>
      </c>
      <c r="P14" s="168">
        <v>0</v>
      </c>
      <c r="Q14" s="309">
        <f>E14*I14</f>
        <v>0</v>
      </c>
      <c r="R14" s="152">
        <f t="shared" si="2"/>
        <v>0</v>
      </c>
      <c r="S14" s="154">
        <f t="shared" si="3"/>
        <v>0</v>
      </c>
      <c r="T14" s="169">
        <f t="shared" si="4"/>
        <v>0</v>
      </c>
      <c r="U14" s="153">
        <f t="shared" si="5"/>
        <v>0</v>
      </c>
      <c r="V14" s="166">
        <f t="shared" si="6"/>
        <v>0</v>
      </c>
      <c r="W14" s="167">
        <f t="shared" si="7"/>
        <v>0</v>
      </c>
      <c r="X14" s="168">
        <f t="shared" si="8"/>
        <v>0</v>
      </c>
      <c r="Y14" s="14"/>
    </row>
    <row r="15" spans="1:25" s="7" customFormat="1" ht="12" customHeight="1">
      <c r="A15" s="232">
        <v>40239</v>
      </c>
      <c r="B15" s="27">
        <v>361</v>
      </c>
      <c r="C15" s="24" t="s">
        <v>65</v>
      </c>
      <c r="D15" s="24" t="s">
        <v>66</v>
      </c>
      <c r="E15" s="25">
        <f>25+19</f>
        <v>44</v>
      </c>
      <c r="F15" s="27" t="s">
        <v>939</v>
      </c>
      <c r="G15" s="180">
        <v>45</v>
      </c>
      <c r="H15" s="150">
        <f t="shared" si="9"/>
        <v>1980</v>
      </c>
      <c r="I15" s="306">
        <v>4.5</v>
      </c>
      <c r="J15" s="155">
        <v>5.72</v>
      </c>
      <c r="K15" s="156">
        <v>2</v>
      </c>
      <c r="L15" s="157">
        <v>0.3</v>
      </c>
      <c r="M15" s="165">
        <f t="shared" si="10"/>
        <v>7.72</v>
      </c>
      <c r="N15" s="166">
        <v>0.75</v>
      </c>
      <c r="O15" s="167">
        <v>0.1</v>
      </c>
      <c r="P15" s="168">
        <v>0</v>
      </c>
      <c r="Q15" s="309">
        <f t="shared" si="1"/>
        <v>198</v>
      </c>
      <c r="R15" s="152">
        <f t="shared" si="2"/>
        <v>251.67999999999998</v>
      </c>
      <c r="S15" s="154">
        <f t="shared" si="3"/>
        <v>88</v>
      </c>
      <c r="T15" s="169">
        <f t="shared" si="4"/>
        <v>13.2</v>
      </c>
      <c r="U15" s="153">
        <f t="shared" si="5"/>
        <v>339.68</v>
      </c>
      <c r="V15" s="166">
        <f t="shared" si="6"/>
        <v>33</v>
      </c>
      <c r="W15" s="167">
        <f t="shared" si="7"/>
        <v>4.4000000000000004</v>
      </c>
      <c r="X15" s="168">
        <f t="shared" si="8"/>
        <v>0</v>
      </c>
      <c r="Y15" s="14"/>
    </row>
    <row r="16" spans="1:25" s="7" customFormat="1" ht="12" customHeight="1">
      <c r="A16" s="232"/>
      <c r="B16" s="27"/>
      <c r="C16" s="24" t="s">
        <v>65</v>
      </c>
      <c r="D16" s="24" t="s">
        <v>66</v>
      </c>
      <c r="E16" s="25">
        <f>25+12</f>
        <v>37</v>
      </c>
      <c r="F16" s="27" t="s">
        <v>940</v>
      </c>
      <c r="G16" s="180">
        <v>42</v>
      </c>
      <c r="H16" s="150">
        <f t="shared" si="9"/>
        <v>1554</v>
      </c>
      <c r="I16" s="306">
        <v>4.5</v>
      </c>
      <c r="J16" s="155">
        <v>5.22</v>
      </c>
      <c r="K16" s="156">
        <v>2</v>
      </c>
      <c r="L16" s="182">
        <v>0.3</v>
      </c>
      <c r="M16" s="165">
        <f t="shared" si="10"/>
        <v>7.22</v>
      </c>
      <c r="N16" s="166">
        <v>0.75</v>
      </c>
      <c r="O16" s="167">
        <v>0.1</v>
      </c>
      <c r="P16" s="168">
        <v>0</v>
      </c>
      <c r="Q16" s="309">
        <f t="shared" si="1"/>
        <v>166.5</v>
      </c>
      <c r="R16" s="152">
        <f t="shared" si="2"/>
        <v>193.14</v>
      </c>
      <c r="S16" s="154">
        <f t="shared" si="3"/>
        <v>74</v>
      </c>
      <c r="T16" s="183">
        <f t="shared" si="4"/>
        <v>11.1</v>
      </c>
      <c r="U16" s="153">
        <f t="shared" si="5"/>
        <v>267.14</v>
      </c>
      <c r="V16" s="166">
        <f t="shared" si="6"/>
        <v>27.75</v>
      </c>
      <c r="W16" s="167">
        <f t="shared" si="7"/>
        <v>3.7</v>
      </c>
      <c r="X16" s="168">
        <f t="shared" si="8"/>
        <v>0</v>
      </c>
      <c r="Y16" s="14"/>
    </row>
    <row r="17" spans="1:25" s="7" customFormat="1" ht="12" customHeight="1">
      <c r="A17" s="232"/>
      <c r="B17" s="27"/>
      <c r="C17" s="24" t="s">
        <v>65</v>
      </c>
      <c r="D17" s="24" t="s">
        <v>66</v>
      </c>
      <c r="E17" s="25">
        <v>7</v>
      </c>
      <c r="F17" s="27" t="s">
        <v>941</v>
      </c>
      <c r="G17" s="180">
        <v>55</v>
      </c>
      <c r="H17" s="150">
        <f t="shared" si="9"/>
        <v>385</v>
      </c>
      <c r="I17" s="306">
        <v>7.5</v>
      </c>
      <c r="J17" s="155">
        <v>14.96</v>
      </c>
      <c r="K17" s="156">
        <v>5</v>
      </c>
      <c r="L17" s="157">
        <v>0.75</v>
      </c>
      <c r="M17" s="165">
        <f t="shared" si="10"/>
        <v>19.96</v>
      </c>
      <c r="N17" s="166">
        <v>1</v>
      </c>
      <c r="O17" s="167">
        <v>0.1</v>
      </c>
      <c r="P17" s="168">
        <v>0</v>
      </c>
      <c r="Q17" s="309">
        <f t="shared" si="1"/>
        <v>52.5</v>
      </c>
      <c r="R17" s="152">
        <f t="shared" si="2"/>
        <v>104.72</v>
      </c>
      <c r="S17" s="154">
        <f t="shared" si="3"/>
        <v>35</v>
      </c>
      <c r="T17" s="169">
        <f t="shared" si="4"/>
        <v>5.25</v>
      </c>
      <c r="U17" s="153">
        <f t="shared" si="5"/>
        <v>139.72</v>
      </c>
      <c r="V17" s="166">
        <f t="shared" si="6"/>
        <v>7</v>
      </c>
      <c r="W17" s="167">
        <f t="shared" si="7"/>
        <v>0.70000000000000007</v>
      </c>
      <c r="X17" s="168">
        <f t="shared" si="8"/>
        <v>0</v>
      </c>
      <c r="Y17" s="14"/>
    </row>
    <row r="18" spans="1:25" s="7" customFormat="1" ht="12" customHeight="1">
      <c r="A18" s="232"/>
      <c r="B18" s="27"/>
      <c r="C18" s="24" t="s">
        <v>65</v>
      </c>
      <c r="D18" s="24" t="s">
        <v>66</v>
      </c>
      <c r="E18" s="25">
        <v>25</v>
      </c>
      <c r="F18" s="27" t="s">
        <v>942</v>
      </c>
      <c r="G18" s="180">
        <v>150</v>
      </c>
      <c r="H18" s="150">
        <f t="shared" si="9"/>
        <v>3750</v>
      </c>
      <c r="I18" s="306">
        <v>8.5</v>
      </c>
      <c r="J18" s="155">
        <v>7.98</v>
      </c>
      <c r="K18" s="156">
        <v>2</v>
      </c>
      <c r="L18" s="157">
        <v>0.3</v>
      </c>
      <c r="M18" s="153">
        <f t="shared" si="10"/>
        <v>9.98</v>
      </c>
      <c r="N18" s="166">
        <v>0.1</v>
      </c>
      <c r="O18" s="167">
        <v>0.1</v>
      </c>
      <c r="P18" s="168">
        <v>0.1</v>
      </c>
      <c r="Q18" s="309">
        <f t="shared" si="1"/>
        <v>212.5</v>
      </c>
      <c r="R18" s="152">
        <f t="shared" si="2"/>
        <v>199.5</v>
      </c>
      <c r="S18" s="154">
        <f t="shared" si="3"/>
        <v>50</v>
      </c>
      <c r="T18" s="169">
        <f t="shared" si="4"/>
        <v>7.5</v>
      </c>
      <c r="U18" s="153">
        <f t="shared" si="5"/>
        <v>249.5</v>
      </c>
      <c r="V18" s="166">
        <f t="shared" si="6"/>
        <v>2.5</v>
      </c>
      <c r="W18" s="167">
        <f t="shared" si="7"/>
        <v>2.5</v>
      </c>
      <c r="X18" s="168">
        <f t="shared" si="8"/>
        <v>2.5</v>
      </c>
      <c r="Y18" s="14"/>
    </row>
    <row r="19" spans="1:25" s="7" customFormat="1" ht="12" customHeight="1">
      <c r="A19" s="232">
        <v>40239</v>
      </c>
      <c r="B19" s="27">
        <v>362</v>
      </c>
      <c r="C19" s="24" t="s">
        <v>943</v>
      </c>
      <c r="D19" s="24" t="s">
        <v>286</v>
      </c>
      <c r="E19" s="25">
        <v>20</v>
      </c>
      <c r="F19" s="27" t="s">
        <v>1107</v>
      </c>
      <c r="G19" s="180">
        <v>49.5</v>
      </c>
      <c r="H19" s="150">
        <f t="shared" si="9"/>
        <v>990</v>
      </c>
      <c r="I19" s="306">
        <v>3.5</v>
      </c>
      <c r="J19" s="155">
        <v>11</v>
      </c>
      <c r="K19" s="156">
        <v>2</v>
      </c>
      <c r="L19" s="157">
        <v>0.3</v>
      </c>
      <c r="M19" s="165">
        <f t="shared" si="10"/>
        <v>13</v>
      </c>
      <c r="N19" s="166">
        <v>0.5</v>
      </c>
      <c r="O19" s="167">
        <v>0.1</v>
      </c>
      <c r="P19" s="168">
        <v>1</v>
      </c>
      <c r="Q19" s="309">
        <f t="shared" si="1"/>
        <v>70</v>
      </c>
      <c r="R19" s="152">
        <f t="shared" si="2"/>
        <v>220</v>
      </c>
      <c r="S19" s="154">
        <f t="shared" si="3"/>
        <v>40</v>
      </c>
      <c r="T19" s="169">
        <f t="shared" si="4"/>
        <v>6</v>
      </c>
      <c r="U19" s="153">
        <f t="shared" si="5"/>
        <v>260</v>
      </c>
      <c r="V19" s="166">
        <f t="shared" si="6"/>
        <v>10</v>
      </c>
      <c r="W19" s="167">
        <f t="shared" si="7"/>
        <v>2</v>
      </c>
      <c r="X19" s="168">
        <f t="shared" si="8"/>
        <v>20</v>
      </c>
      <c r="Y19" s="14"/>
    </row>
    <row r="20" spans="1:25" s="7" customFormat="1" ht="12" customHeight="1">
      <c r="A20" s="232"/>
      <c r="B20" s="27"/>
      <c r="C20" s="24" t="s">
        <v>943</v>
      </c>
      <c r="D20" s="24" t="s">
        <v>286</v>
      </c>
      <c r="E20" s="25">
        <v>20</v>
      </c>
      <c r="F20" s="27" t="s">
        <v>1106</v>
      </c>
      <c r="G20" s="180">
        <v>49.5</v>
      </c>
      <c r="H20" s="150">
        <f>E20*G20</f>
        <v>990</v>
      </c>
      <c r="I20" s="306">
        <v>3.5</v>
      </c>
      <c r="J20" s="155">
        <v>25.6</v>
      </c>
      <c r="K20" s="156">
        <v>2</v>
      </c>
      <c r="L20" s="157">
        <v>0.3</v>
      </c>
      <c r="M20" s="165">
        <f>J20+K20</f>
        <v>27.6</v>
      </c>
      <c r="N20" s="166">
        <v>0.5</v>
      </c>
      <c r="O20" s="167">
        <v>0.1</v>
      </c>
      <c r="P20" s="168">
        <v>1</v>
      </c>
      <c r="Q20" s="309">
        <f>E20*I20</f>
        <v>70</v>
      </c>
      <c r="R20" s="152">
        <f>E20*J20</f>
        <v>512</v>
      </c>
      <c r="S20" s="154">
        <f>E20*K20</f>
        <v>40</v>
      </c>
      <c r="T20" s="169">
        <f>E20*L20</f>
        <v>6</v>
      </c>
      <c r="U20" s="153">
        <f>E20*M20</f>
        <v>552</v>
      </c>
      <c r="V20" s="166">
        <f>N20*E20</f>
        <v>10</v>
      </c>
      <c r="W20" s="167">
        <f>O20*E20</f>
        <v>2</v>
      </c>
      <c r="X20" s="168">
        <f>P20*E20</f>
        <v>20</v>
      </c>
      <c r="Y20" s="14"/>
    </row>
    <row r="21" spans="1:25" s="7" customFormat="1" ht="12" customHeight="1">
      <c r="A21" s="232">
        <v>40239</v>
      </c>
      <c r="B21" s="27">
        <v>363</v>
      </c>
      <c r="C21" s="24" t="s">
        <v>944</v>
      </c>
      <c r="D21" s="24" t="s">
        <v>523</v>
      </c>
      <c r="E21" s="25">
        <v>10</v>
      </c>
      <c r="F21" s="27" t="s">
        <v>945</v>
      </c>
      <c r="G21" s="180">
        <v>39.5</v>
      </c>
      <c r="H21" s="150">
        <f t="shared" si="9"/>
        <v>395</v>
      </c>
      <c r="I21" s="307">
        <v>3.5</v>
      </c>
      <c r="J21" s="155">
        <v>11.18</v>
      </c>
      <c r="K21" s="177">
        <v>2.5</v>
      </c>
      <c r="L21" s="157">
        <v>0.38</v>
      </c>
      <c r="M21" s="165">
        <f t="shared" si="10"/>
        <v>13.68</v>
      </c>
      <c r="N21" s="166">
        <v>0.35</v>
      </c>
      <c r="O21" s="167">
        <v>0.1</v>
      </c>
      <c r="P21" s="168">
        <v>0.5</v>
      </c>
      <c r="Q21" s="309">
        <f t="shared" si="1"/>
        <v>35</v>
      </c>
      <c r="R21" s="152">
        <f t="shared" si="2"/>
        <v>111.8</v>
      </c>
      <c r="S21" s="154">
        <f t="shared" si="3"/>
        <v>25</v>
      </c>
      <c r="T21" s="169">
        <f t="shared" si="4"/>
        <v>3.8</v>
      </c>
      <c r="U21" s="153">
        <f t="shared" si="5"/>
        <v>136.80000000000001</v>
      </c>
      <c r="V21" s="166">
        <f t="shared" si="6"/>
        <v>3.5</v>
      </c>
      <c r="W21" s="167">
        <f t="shared" si="7"/>
        <v>1</v>
      </c>
      <c r="X21" s="168">
        <f t="shared" si="8"/>
        <v>5</v>
      </c>
      <c r="Y21" s="14"/>
    </row>
    <row r="22" spans="1:25" s="7" customFormat="1" ht="12" customHeight="1">
      <c r="A22" s="232">
        <v>40239</v>
      </c>
      <c r="B22" s="27">
        <v>364</v>
      </c>
      <c r="C22" s="24" t="s">
        <v>85</v>
      </c>
      <c r="D22" s="24" t="s">
        <v>915</v>
      </c>
      <c r="E22" s="25">
        <v>150</v>
      </c>
      <c r="F22" s="27" t="s">
        <v>946</v>
      </c>
      <c r="G22" s="180">
        <v>6.2</v>
      </c>
      <c r="H22" s="150">
        <f t="shared" si="9"/>
        <v>930</v>
      </c>
      <c r="I22" s="307">
        <v>0.4</v>
      </c>
      <c r="J22" s="155">
        <v>0.51</v>
      </c>
      <c r="K22" s="177">
        <v>1.8</v>
      </c>
      <c r="L22" s="157">
        <v>0.27</v>
      </c>
      <c r="M22" s="165">
        <f t="shared" si="10"/>
        <v>2.31</v>
      </c>
      <c r="N22" s="166">
        <v>0.2</v>
      </c>
      <c r="O22" s="167">
        <v>0.1</v>
      </c>
      <c r="P22" s="168">
        <v>0</v>
      </c>
      <c r="Q22" s="309">
        <f t="shared" si="1"/>
        <v>60</v>
      </c>
      <c r="R22" s="152">
        <f t="shared" si="2"/>
        <v>76.5</v>
      </c>
      <c r="S22" s="154">
        <f t="shared" si="3"/>
        <v>270</v>
      </c>
      <c r="T22" s="169">
        <f t="shared" si="4"/>
        <v>40.5</v>
      </c>
      <c r="U22" s="153">
        <f t="shared" si="5"/>
        <v>346.5</v>
      </c>
      <c r="V22" s="166">
        <f t="shared" si="6"/>
        <v>30</v>
      </c>
      <c r="W22" s="167">
        <f t="shared" si="7"/>
        <v>15</v>
      </c>
      <c r="X22" s="168">
        <f t="shared" si="8"/>
        <v>0</v>
      </c>
      <c r="Y22" s="14"/>
    </row>
    <row r="23" spans="1:25" s="7" customFormat="1" ht="12" customHeight="1">
      <c r="A23" s="232"/>
      <c r="B23" s="27"/>
      <c r="C23" s="24" t="s">
        <v>85</v>
      </c>
      <c r="D23" s="24" t="s">
        <v>915</v>
      </c>
      <c r="E23" s="25">
        <v>2</v>
      </c>
      <c r="F23" s="27" t="s">
        <v>947</v>
      </c>
      <c r="G23" s="180">
        <v>200</v>
      </c>
      <c r="H23" s="150">
        <f t="shared" si="9"/>
        <v>400</v>
      </c>
      <c r="I23" s="307">
        <v>5</v>
      </c>
      <c r="J23" s="155">
        <v>10</v>
      </c>
      <c r="K23" s="177">
        <v>0</v>
      </c>
      <c r="L23" s="157">
        <v>0</v>
      </c>
      <c r="M23" s="165">
        <f t="shared" si="10"/>
        <v>10</v>
      </c>
      <c r="N23" s="166">
        <v>0</v>
      </c>
      <c r="O23" s="167">
        <v>0.5</v>
      </c>
      <c r="P23" s="168">
        <v>1</v>
      </c>
      <c r="Q23" s="309">
        <f t="shared" si="1"/>
        <v>10</v>
      </c>
      <c r="R23" s="152">
        <f t="shared" si="2"/>
        <v>20</v>
      </c>
      <c r="S23" s="154">
        <f t="shared" si="3"/>
        <v>0</v>
      </c>
      <c r="T23" s="169">
        <f t="shared" si="4"/>
        <v>0</v>
      </c>
      <c r="U23" s="153">
        <f t="shared" si="5"/>
        <v>20</v>
      </c>
      <c r="V23" s="166">
        <f t="shared" si="6"/>
        <v>0</v>
      </c>
      <c r="W23" s="167">
        <f t="shared" si="7"/>
        <v>1</v>
      </c>
      <c r="X23" s="168">
        <f t="shared" si="8"/>
        <v>2</v>
      </c>
      <c r="Y23" s="14" t="s">
        <v>1108</v>
      </c>
    </row>
    <row r="24" spans="1:25" s="7" customFormat="1" ht="12" customHeight="1">
      <c r="A24" s="232">
        <v>40241</v>
      </c>
      <c r="B24" s="27">
        <v>365</v>
      </c>
      <c r="C24" s="24" t="s">
        <v>948</v>
      </c>
      <c r="D24" s="24" t="s">
        <v>486</v>
      </c>
      <c r="E24" s="25">
        <v>24</v>
      </c>
      <c r="F24" s="27" t="s">
        <v>949</v>
      </c>
      <c r="G24" s="180">
        <v>42.5</v>
      </c>
      <c r="H24" s="150">
        <f t="shared" si="9"/>
        <v>1020</v>
      </c>
      <c r="I24" s="307">
        <v>3.5</v>
      </c>
      <c r="J24" s="155">
        <v>9.42</v>
      </c>
      <c r="K24" s="177">
        <v>3</v>
      </c>
      <c r="L24" s="157">
        <v>0.15</v>
      </c>
      <c r="M24" s="165">
        <f t="shared" si="10"/>
        <v>12.42</v>
      </c>
      <c r="N24" s="166">
        <v>0.35</v>
      </c>
      <c r="O24" s="167">
        <v>0.1</v>
      </c>
      <c r="P24" s="168">
        <v>1</v>
      </c>
      <c r="Q24" s="309">
        <f t="shared" si="1"/>
        <v>84</v>
      </c>
      <c r="R24" s="152">
        <f t="shared" si="2"/>
        <v>226.07999999999998</v>
      </c>
      <c r="S24" s="154">
        <f t="shared" si="3"/>
        <v>72</v>
      </c>
      <c r="T24" s="169">
        <f t="shared" si="4"/>
        <v>3.5999999999999996</v>
      </c>
      <c r="U24" s="153">
        <f t="shared" si="5"/>
        <v>298.08</v>
      </c>
      <c r="V24" s="166">
        <f t="shared" si="6"/>
        <v>8.3999999999999986</v>
      </c>
      <c r="W24" s="167">
        <f t="shared" si="7"/>
        <v>2.4000000000000004</v>
      </c>
      <c r="X24" s="168">
        <f t="shared" si="8"/>
        <v>24</v>
      </c>
      <c r="Y24" s="14"/>
    </row>
    <row r="25" spans="1:25" s="7" customFormat="1" ht="12" customHeight="1">
      <c r="A25" s="232"/>
      <c r="B25" s="27"/>
      <c r="C25" s="24" t="s">
        <v>948</v>
      </c>
      <c r="D25" s="24" t="s">
        <v>486</v>
      </c>
      <c r="E25" s="25">
        <v>48</v>
      </c>
      <c r="F25" s="27" t="s">
        <v>950</v>
      </c>
      <c r="G25" s="180">
        <v>39.5</v>
      </c>
      <c r="H25" s="150">
        <f t="shared" si="9"/>
        <v>1896</v>
      </c>
      <c r="I25" s="306">
        <v>3.5</v>
      </c>
      <c r="J25" s="155">
        <v>12.35</v>
      </c>
      <c r="K25" s="156">
        <v>3</v>
      </c>
      <c r="L25" s="157">
        <v>0.45</v>
      </c>
      <c r="M25" s="165">
        <f t="shared" si="10"/>
        <v>15.35</v>
      </c>
      <c r="N25" s="166">
        <v>0.35</v>
      </c>
      <c r="O25" s="167">
        <v>0.1</v>
      </c>
      <c r="P25" s="168">
        <v>1</v>
      </c>
      <c r="Q25" s="309">
        <f t="shared" si="1"/>
        <v>168</v>
      </c>
      <c r="R25" s="152">
        <f t="shared" si="2"/>
        <v>592.79999999999995</v>
      </c>
      <c r="S25" s="154">
        <f t="shared" si="3"/>
        <v>144</v>
      </c>
      <c r="T25" s="169">
        <f t="shared" si="4"/>
        <v>21.6</v>
      </c>
      <c r="U25" s="153">
        <f t="shared" si="5"/>
        <v>736.8</v>
      </c>
      <c r="V25" s="166">
        <f t="shared" si="6"/>
        <v>16.799999999999997</v>
      </c>
      <c r="W25" s="167">
        <f t="shared" si="7"/>
        <v>4.8000000000000007</v>
      </c>
      <c r="X25" s="168">
        <f t="shared" si="8"/>
        <v>48</v>
      </c>
      <c r="Y25" s="14"/>
    </row>
    <row r="26" spans="1:25" s="7" customFormat="1" ht="12" customHeight="1">
      <c r="A26" s="232">
        <v>40241</v>
      </c>
      <c r="B26" s="27">
        <v>366</v>
      </c>
      <c r="C26" s="24" t="s">
        <v>951</v>
      </c>
      <c r="D26" s="24" t="s">
        <v>952</v>
      </c>
      <c r="E26" s="25">
        <v>12</v>
      </c>
      <c r="F26" s="27" t="s">
        <v>953</v>
      </c>
      <c r="G26" s="180">
        <v>38.5</v>
      </c>
      <c r="H26" s="150">
        <f t="shared" si="9"/>
        <v>462</v>
      </c>
      <c r="I26" s="306">
        <v>3.5</v>
      </c>
      <c r="J26" s="155">
        <v>7.11</v>
      </c>
      <c r="K26" s="177">
        <v>4</v>
      </c>
      <c r="L26" s="157">
        <v>0.6</v>
      </c>
      <c r="M26" s="165">
        <f t="shared" si="10"/>
        <v>11.11</v>
      </c>
      <c r="N26" s="166">
        <v>0.35</v>
      </c>
      <c r="O26" s="167">
        <v>0.1</v>
      </c>
      <c r="P26" s="168">
        <v>0</v>
      </c>
      <c r="Q26" s="309">
        <f t="shared" si="1"/>
        <v>42</v>
      </c>
      <c r="R26" s="152">
        <f t="shared" si="2"/>
        <v>85.320000000000007</v>
      </c>
      <c r="S26" s="154">
        <f t="shared" si="3"/>
        <v>48</v>
      </c>
      <c r="T26" s="169">
        <f t="shared" si="4"/>
        <v>7.1999999999999993</v>
      </c>
      <c r="U26" s="153">
        <f t="shared" si="5"/>
        <v>133.32</v>
      </c>
      <c r="V26" s="166">
        <f t="shared" si="6"/>
        <v>4.1999999999999993</v>
      </c>
      <c r="W26" s="167">
        <f t="shared" si="7"/>
        <v>1.2000000000000002</v>
      </c>
      <c r="X26" s="168">
        <f t="shared" si="8"/>
        <v>0</v>
      </c>
      <c r="Y26" s="14"/>
    </row>
    <row r="27" spans="1:25" s="7" customFormat="1" ht="12" customHeight="1">
      <c r="A27" s="232">
        <v>40245</v>
      </c>
      <c r="B27" s="27">
        <v>367</v>
      </c>
      <c r="C27" s="24" t="s">
        <v>23</v>
      </c>
      <c r="D27" s="24" t="s">
        <v>24</v>
      </c>
      <c r="E27" s="25">
        <v>33</v>
      </c>
      <c r="F27" s="27" t="s">
        <v>954</v>
      </c>
      <c r="G27" s="180">
        <v>38</v>
      </c>
      <c r="H27" s="150">
        <f t="shared" si="9"/>
        <v>1254</v>
      </c>
      <c r="I27" s="306">
        <v>3.5</v>
      </c>
      <c r="J27" s="155">
        <v>1.53</v>
      </c>
      <c r="K27" s="177">
        <v>1</v>
      </c>
      <c r="L27" s="157">
        <v>0.15</v>
      </c>
      <c r="M27" s="165">
        <f t="shared" si="10"/>
        <v>2.5300000000000002</v>
      </c>
      <c r="N27" s="166">
        <v>0.35</v>
      </c>
      <c r="O27" s="167">
        <v>0.1</v>
      </c>
      <c r="P27" s="168">
        <v>0</v>
      </c>
      <c r="Q27" s="309">
        <f t="shared" si="1"/>
        <v>115.5</v>
      </c>
      <c r="R27" s="152">
        <f t="shared" si="2"/>
        <v>50.49</v>
      </c>
      <c r="S27" s="154">
        <f t="shared" si="3"/>
        <v>33</v>
      </c>
      <c r="T27" s="169">
        <f t="shared" si="4"/>
        <v>4.95</v>
      </c>
      <c r="U27" s="153">
        <f t="shared" si="5"/>
        <v>83.490000000000009</v>
      </c>
      <c r="V27" s="166">
        <f t="shared" si="6"/>
        <v>11.549999999999999</v>
      </c>
      <c r="W27" s="167">
        <f t="shared" si="7"/>
        <v>3.3000000000000003</v>
      </c>
      <c r="X27" s="168">
        <f t="shared" si="8"/>
        <v>0</v>
      </c>
      <c r="Y27" s="14"/>
    </row>
    <row r="28" spans="1:25" s="7" customFormat="1" ht="12" customHeight="1">
      <c r="A28" s="232"/>
      <c r="B28" s="27"/>
      <c r="C28" s="24" t="s">
        <v>23</v>
      </c>
      <c r="D28" s="24" t="s">
        <v>24</v>
      </c>
      <c r="E28" s="25">
        <v>6</v>
      </c>
      <c r="F28" s="27" t="s">
        <v>955</v>
      </c>
      <c r="G28" s="180">
        <v>34</v>
      </c>
      <c r="H28" s="150">
        <f t="shared" si="9"/>
        <v>204</v>
      </c>
      <c r="I28" s="306">
        <v>3.5</v>
      </c>
      <c r="J28" s="155">
        <v>3.73</v>
      </c>
      <c r="K28" s="156">
        <v>1</v>
      </c>
      <c r="L28" s="157">
        <v>0.15</v>
      </c>
      <c r="M28" s="165">
        <f t="shared" si="10"/>
        <v>4.7300000000000004</v>
      </c>
      <c r="N28" s="166">
        <v>0.35</v>
      </c>
      <c r="O28" s="167">
        <v>0.1</v>
      </c>
      <c r="P28" s="168">
        <v>0</v>
      </c>
      <c r="Q28" s="309">
        <f t="shared" si="1"/>
        <v>21</v>
      </c>
      <c r="R28" s="152">
        <f t="shared" si="2"/>
        <v>22.38</v>
      </c>
      <c r="S28" s="154">
        <f t="shared" si="3"/>
        <v>6</v>
      </c>
      <c r="T28" s="169">
        <f t="shared" si="4"/>
        <v>0.89999999999999991</v>
      </c>
      <c r="U28" s="153">
        <f t="shared" si="5"/>
        <v>28.380000000000003</v>
      </c>
      <c r="V28" s="166">
        <f t="shared" si="6"/>
        <v>2.0999999999999996</v>
      </c>
      <c r="W28" s="167">
        <f t="shared" si="7"/>
        <v>0.60000000000000009</v>
      </c>
      <c r="X28" s="168">
        <f t="shared" si="8"/>
        <v>0</v>
      </c>
      <c r="Y28" s="14"/>
    </row>
    <row r="29" spans="1:25" s="7" customFormat="1" ht="12" customHeight="1">
      <c r="A29" s="232"/>
      <c r="B29" s="24"/>
      <c r="C29" s="24" t="s">
        <v>23</v>
      </c>
      <c r="D29" s="24" t="s">
        <v>24</v>
      </c>
      <c r="E29" s="25">
        <v>33</v>
      </c>
      <c r="F29" s="24" t="s">
        <v>956</v>
      </c>
      <c r="G29" s="180">
        <v>12.5</v>
      </c>
      <c r="H29" s="150">
        <f t="shared" si="9"/>
        <v>412.5</v>
      </c>
      <c r="I29" s="306">
        <v>0.5</v>
      </c>
      <c r="J29" s="155">
        <v>1.51</v>
      </c>
      <c r="K29" s="156">
        <v>1</v>
      </c>
      <c r="L29" s="157">
        <v>0.15</v>
      </c>
      <c r="M29" s="153">
        <f t="shared" si="10"/>
        <v>2.5099999999999998</v>
      </c>
      <c r="N29" s="166">
        <v>0.5</v>
      </c>
      <c r="O29" s="167">
        <v>0.25</v>
      </c>
      <c r="P29" s="168">
        <v>0.2</v>
      </c>
      <c r="Q29" s="309">
        <f t="shared" si="1"/>
        <v>16.5</v>
      </c>
      <c r="R29" s="152">
        <f t="shared" si="2"/>
        <v>49.83</v>
      </c>
      <c r="S29" s="154">
        <f t="shared" si="3"/>
        <v>33</v>
      </c>
      <c r="T29" s="169">
        <f t="shared" si="4"/>
        <v>4.95</v>
      </c>
      <c r="U29" s="153">
        <f t="shared" si="5"/>
        <v>82.83</v>
      </c>
      <c r="V29" s="166">
        <f t="shared" si="6"/>
        <v>16.5</v>
      </c>
      <c r="W29" s="167">
        <f t="shared" si="7"/>
        <v>8.25</v>
      </c>
      <c r="X29" s="168">
        <f t="shared" si="8"/>
        <v>6.6000000000000005</v>
      </c>
      <c r="Y29" s="14"/>
    </row>
    <row r="30" spans="1:25" s="7" customFormat="1" ht="12" customHeight="1">
      <c r="A30" s="232"/>
      <c r="B30" s="24"/>
      <c r="C30" s="24" t="s">
        <v>23</v>
      </c>
      <c r="D30" s="24" t="s">
        <v>24</v>
      </c>
      <c r="E30" s="25">
        <v>6</v>
      </c>
      <c r="F30" s="27" t="s">
        <v>957</v>
      </c>
      <c r="G30" s="180">
        <v>49.5</v>
      </c>
      <c r="H30" s="150">
        <f t="shared" si="9"/>
        <v>297</v>
      </c>
      <c r="I30" s="306">
        <v>3.5</v>
      </c>
      <c r="J30" s="155">
        <v>16.8</v>
      </c>
      <c r="K30" s="156">
        <v>1</v>
      </c>
      <c r="L30" s="157">
        <v>0.15</v>
      </c>
      <c r="M30" s="165">
        <f t="shared" si="10"/>
        <v>17.8</v>
      </c>
      <c r="N30" s="166">
        <v>0.35</v>
      </c>
      <c r="O30" s="167">
        <v>0.1</v>
      </c>
      <c r="P30" s="168">
        <v>0</v>
      </c>
      <c r="Q30" s="309">
        <f t="shared" si="1"/>
        <v>21</v>
      </c>
      <c r="R30" s="152">
        <f t="shared" si="2"/>
        <v>100.80000000000001</v>
      </c>
      <c r="S30" s="154">
        <f t="shared" si="3"/>
        <v>6</v>
      </c>
      <c r="T30" s="169">
        <f t="shared" si="4"/>
        <v>0.89999999999999991</v>
      </c>
      <c r="U30" s="153">
        <f t="shared" si="5"/>
        <v>106.80000000000001</v>
      </c>
      <c r="V30" s="166">
        <f t="shared" si="6"/>
        <v>2.0999999999999996</v>
      </c>
      <c r="W30" s="167">
        <f t="shared" si="7"/>
        <v>0.60000000000000009</v>
      </c>
      <c r="X30" s="168">
        <f t="shared" si="8"/>
        <v>0</v>
      </c>
      <c r="Y30" s="14"/>
    </row>
    <row r="31" spans="1:25" s="7" customFormat="1" ht="12" customHeight="1">
      <c r="A31" s="232"/>
      <c r="B31" s="27"/>
      <c r="C31" s="24" t="s">
        <v>23</v>
      </c>
      <c r="D31" s="24" t="s">
        <v>24</v>
      </c>
      <c r="E31" s="25">
        <v>3</v>
      </c>
      <c r="F31" s="27" t="s">
        <v>958</v>
      </c>
      <c r="G31" s="180">
        <v>49.5</v>
      </c>
      <c r="H31" s="150">
        <f t="shared" si="9"/>
        <v>148.5</v>
      </c>
      <c r="I31" s="306">
        <v>3.5</v>
      </c>
      <c r="J31" s="155">
        <v>19.3</v>
      </c>
      <c r="K31" s="156">
        <v>1</v>
      </c>
      <c r="L31" s="157">
        <v>0.15</v>
      </c>
      <c r="M31" s="165">
        <f t="shared" si="10"/>
        <v>20.3</v>
      </c>
      <c r="N31" s="166">
        <v>0.35</v>
      </c>
      <c r="O31" s="167">
        <v>0.1</v>
      </c>
      <c r="P31" s="168">
        <v>0</v>
      </c>
      <c r="Q31" s="309">
        <f t="shared" si="1"/>
        <v>10.5</v>
      </c>
      <c r="R31" s="152">
        <f t="shared" si="2"/>
        <v>57.900000000000006</v>
      </c>
      <c r="S31" s="154">
        <f t="shared" si="3"/>
        <v>3</v>
      </c>
      <c r="T31" s="169">
        <f t="shared" si="4"/>
        <v>0.44999999999999996</v>
      </c>
      <c r="U31" s="153">
        <f t="shared" si="5"/>
        <v>60.900000000000006</v>
      </c>
      <c r="V31" s="166">
        <f t="shared" si="6"/>
        <v>1.0499999999999998</v>
      </c>
      <c r="W31" s="167">
        <f t="shared" si="7"/>
        <v>0.30000000000000004</v>
      </c>
      <c r="X31" s="168">
        <f t="shared" si="8"/>
        <v>0</v>
      </c>
      <c r="Y31" s="14"/>
    </row>
    <row r="32" spans="1:25" s="7" customFormat="1" ht="12" customHeight="1">
      <c r="A32" s="232"/>
      <c r="B32" s="27"/>
      <c r="C32" s="24" t="s">
        <v>23</v>
      </c>
      <c r="D32" s="24" t="s">
        <v>24</v>
      </c>
      <c r="E32" s="25">
        <v>3</v>
      </c>
      <c r="F32" s="27" t="s">
        <v>959</v>
      </c>
      <c r="G32" s="180">
        <v>40</v>
      </c>
      <c r="H32" s="150">
        <f t="shared" si="9"/>
        <v>120</v>
      </c>
      <c r="I32" s="306">
        <v>3.5</v>
      </c>
      <c r="J32" s="155">
        <v>6</v>
      </c>
      <c r="K32" s="156">
        <v>0</v>
      </c>
      <c r="L32" s="157">
        <v>0</v>
      </c>
      <c r="M32" s="165">
        <f t="shared" si="10"/>
        <v>6</v>
      </c>
      <c r="N32" s="166">
        <v>0</v>
      </c>
      <c r="O32" s="167">
        <v>0.3</v>
      </c>
      <c r="P32" s="168">
        <v>0.2</v>
      </c>
      <c r="Q32" s="309">
        <f t="shared" si="1"/>
        <v>10.5</v>
      </c>
      <c r="R32" s="152">
        <f t="shared" si="2"/>
        <v>18</v>
      </c>
      <c r="S32" s="154">
        <f t="shared" si="3"/>
        <v>0</v>
      </c>
      <c r="T32" s="169">
        <f t="shared" si="4"/>
        <v>0</v>
      </c>
      <c r="U32" s="153">
        <f t="shared" si="5"/>
        <v>18</v>
      </c>
      <c r="V32" s="166">
        <f t="shared" si="6"/>
        <v>0</v>
      </c>
      <c r="W32" s="167">
        <f t="shared" si="7"/>
        <v>0.89999999999999991</v>
      </c>
      <c r="X32" s="168">
        <f t="shared" si="8"/>
        <v>0.60000000000000009</v>
      </c>
      <c r="Y32" s="14"/>
    </row>
    <row r="33" spans="1:25" s="7" customFormat="1" ht="12" customHeight="1">
      <c r="A33" s="232">
        <v>40245</v>
      </c>
      <c r="B33" s="27">
        <v>368</v>
      </c>
      <c r="C33" s="24" t="s">
        <v>960</v>
      </c>
      <c r="D33" s="24" t="s">
        <v>210</v>
      </c>
      <c r="E33" s="25">
        <v>4</v>
      </c>
      <c r="F33" s="27" t="s">
        <v>961</v>
      </c>
      <c r="G33" s="180">
        <v>35</v>
      </c>
      <c r="H33" s="150">
        <f t="shared" si="9"/>
        <v>140</v>
      </c>
      <c r="I33" s="306">
        <v>4.5</v>
      </c>
      <c r="J33" s="155">
        <v>5.05</v>
      </c>
      <c r="K33" s="156">
        <v>2</v>
      </c>
      <c r="L33" s="157">
        <v>0.3</v>
      </c>
      <c r="M33" s="165">
        <f t="shared" si="10"/>
        <v>7.05</v>
      </c>
      <c r="N33" s="166">
        <v>0.75</v>
      </c>
      <c r="O33" s="167">
        <v>0.1</v>
      </c>
      <c r="P33" s="168">
        <v>1</v>
      </c>
      <c r="Q33" s="309">
        <f t="shared" si="1"/>
        <v>18</v>
      </c>
      <c r="R33" s="152">
        <f t="shared" si="2"/>
        <v>20.2</v>
      </c>
      <c r="S33" s="154">
        <f t="shared" si="3"/>
        <v>8</v>
      </c>
      <c r="T33" s="169">
        <f t="shared" si="4"/>
        <v>1.2</v>
      </c>
      <c r="U33" s="153">
        <f t="shared" si="5"/>
        <v>28.2</v>
      </c>
      <c r="V33" s="166">
        <f t="shared" si="6"/>
        <v>3</v>
      </c>
      <c r="W33" s="167">
        <f t="shared" si="7"/>
        <v>0.4</v>
      </c>
      <c r="X33" s="168">
        <f t="shared" si="8"/>
        <v>4</v>
      </c>
      <c r="Y33" s="14"/>
    </row>
    <row r="34" spans="1:25" s="7" customFormat="1" ht="12" customHeight="1">
      <c r="A34" s="232"/>
      <c r="B34" s="27"/>
      <c r="C34" s="24" t="s">
        <v>960</v>
      </c>
      <c r="D34" s="24" t="s">
        <v>210</v>
      </c>
      <c r="E34" s="25">
        <v>4</v>
      </c>
      <c r="F34" s="27" t="s">
        <v>962</v>
      </c>
      <c r="G34" s="180">
        <v>40</v>
      </c>
      <c r="H34" s="150">
        <f t="shared" si="9"/>
        <v>160</v>
      </c>
      <c r="I34" s="306">
        <v>3.5</v>
      </c>
      <c r="J34" s="155">
        <v>6</v>
      </c>
      <c r="K34" s="156">
        <v>0</v>
      </c>
      <c r="L34" s="157">
        <v>0</v>
      </c>
      <c r="M34" s="165">
        <f t="shared" si="10"/>
        <v>6</v>
      </c>
      <c r="N34" s="166">
        <v>0</v>
      </c>
      <c r="O34" s="167">
        <v>0.3</v>
      </c>
      <c r="P34" s="168">
        <v>0.2</v>
      </c>
      <c r="Q34" s="309">
        <f t="shared" si="1"/>
        <v>14</v>
      </c>
      <c r="R34" s="152">
        <f t="shared" si="2"/>
        <v>24</v>
      </c>
      <c r="S34" s="154">
        <f t="shared" si="3"/>
        <v>0</v>
      </c>
      <c r="T34" s="169">
        <f t="shared" si="4"/>
        <v>0</v>
      </c>
      <c r="U34" s="153">
        <f t="shared" si="5"/>
        <v>24</v>
      </c>
      <c r="V34" s="166">
        <f t="shared" si="6"/>
        <v>0</v>
      </c>
      <c r="W34" s="167">
        <f t="shared" si="7"/>
        <v>1.2</v>
      </c>
      <c r="X34" s="168">
        <f t="shared" si="8"/>
        <v>0.8</v>
      </c>
      <c r="Y34" s="14"/>
    </row>
    <row r="35" spans="1:25" s="7" customFormat="1" ht="12" customHeight="1">
      <c r="A35" s="232">
        <v>40245</v>
      </c>
      <c r="B35" s="25">
        <v>369</v>
      </c>
      <c r="C35" s="24" t="s">
        <v>794</v>
      </c>
      <c r="D35" s="24" t="s">
        <v>794</v>
      </c>
      <c r="E35" s="25">
        <v>204</v>
      </c>
      <c r="F35" s="27" t="s">
        <v>963</v>
      </c>
      <c r="G35" s="180">
        <v>20</v>
      </c>
      <c r="H35" s="150">
        <f t="shared" si="9"/>
        <v>4080</v>
      </c>
      <c r="I35" s="307">
        <v>0</v>
      </c>
      <c r="J35" s="155">
        <v>0</v>
      </c>
      <c r="K35" s="156">
        <v>0</v>
      </c>
      <c r="L35" s="157">
        <v>0</v>
      </c>
      <c r="M35" s="165">
        <f t="shared" si="10"/>
        <v>0</v>
      </c>
      <c r="N35" s="166">
        <v>0</v>
      </c>
      <c r="O35" s="167">
        <v>0</v>
      </c>
      <c r="P35" s="168">
        <v>0</v>
      </c>
      <c r="Q35" s="309">
        <f t="shared" si="1"/>
        <v>0</v>
      </c>
      <c r="R35" s="152">
        <f t="shared" si="2"/>
        <v>0</v>
      </c>
      <c r="S35" s="154">
        <f t="shared" si="3"/>
        <v>0</v>
      </c>
      <c r="T35" s="169">
        <f t="shared" si="4"/>
        <v>0</v>
      </c>
      <c r="U35" s="153">
        <f t="shared" si="5"/>
        <v>0</v>
      </c>
      <c r="V35" s="166">
        <f t="shared" si="6"/>
        <v>0</v>
      </c>
      <c r="W35" s="167">
        <f t="shared" si="7"/>
        <v>0</v>
      </c>
      <c r="X35" s="168">
        <f t="shared" si="8"/>
        <v>0</v>
      </c>
      <c r="Y35" s="14" t="s">
        <v>1109</v>
      </c>
    </row>
    <row r="36" spans="1:25" s="7" customFormat="1" ht="12" customHeight="1">
      <c r="A36" s="232"/>
      <c r="B36" s="27"/>
      <c r="C36" s="24" t="s">
        <v>794</v>
      </c>
      <c r="D36" s="24" t="s">
        <v>794</v>
      </c>
      <c r="E36" s="25">
        <v>110</v>
      </c>
      <c r="F36" s="27" t="s">
        <v>964</v>
      </c>
      <c r="G36" s="180">
        <v>35</v>
      </c>
      <c r="H36" s="150">
        <f t="shared" si="9"/>
        <v>3850</v>
      </c>
      <c r="I36" s="306">
        <v>0</v>
      </c>
      <c r="J36" s="155">
        <v>0</v>
      </c>
      <c r="K36" s="156">
        <v>0</v>
      </c>
      <c r="L36" s="157">
        <v>0</v>
      </c>
      <c r="M36" s="153">
        <f t="shared" si="10"/>
        <v>0</v>
      </c>
      <c r="N36" s="166">
        <v>0</v>
      </c>
      <c r="O36" s="167">
        <v>0</v>
      </c>
      <c r="P36" s="168">
        <v>0</v>
      </c>
      <c r="Q36" s="309">
        <f t="shared" si="1"/>
        <v>0</v>
      </c>
      <c r="R36" s="152">
        <f t="shared" si="2"/>
        <v>0</v>
      </c>
      <c r="S36" s="154">
        <f t="shared" si="3"/>
        <v>0</v>
      </c>
      <c r="T36" s="169">
        <f t="shared" si="4"/>
        <v>0</v>
      </c>
      <c r="U36" s="153">
        <f t="shared" si="5"/>
        <v>0</v>
      </c>
      <c r="V36" s="166">
        <f t="shared" si="6"/>
        <v>0</v>
      </c>
      <c r="W36" s="167">
        <f t="shared" si="7"/>
        <v>0</v>
      </c>
      <c r="X36" s="168">
        <f t="shared" si="8"/>
        <v>0</v>
      </c>
      <c r="Y36" s="14" t="s">
        <v>1109</v>
      </c>
    </row>
    <row r="37" spans="1:25" s="7" customFormat="1" ht="12" customHeight="1">
      <c r="A37" s="232">
        <v>40245</v>
      </c>
      <c r="B37" s="27">
        <v>370</v>
      </c>
      <c r="C37" s="24" t="s">
        <v>469</v>
      </c>
      <c r="D37" s="24" t="s">
        <v>59</v>
      </c>
      <c r="E37" s="25">
        <v>7</v>
      </c>
      <c r="F37" s="27" t="s">
        <v>965</v>
      </c>
      <c r="G37" s="180">
        <v>49</v>
      </c>
      <c r="H37" s="150">
        <f t="shared" si="9"/>
        <v>343</v>
      </c>
      <c r="I37" s="306">
        <v>3.5</v>
      </c>
      <c r="J37" s="155">
        <v>8.67</v>
      </c>
      <c r="K37" s="156">
        <v>1.5</v>
      </c>
      <c r="L37" s="157">
        <v>0.23</v>
      </c>
      <c r="M37" s="153">
        <f t="shared" si="10"/>
        <v>10.17</v>
      </c>
      <c r="N37" s="166">
        <v>0.35</v>
      </c>
      <c r="O37" s="167">
        <v>0.1</v>
      </c>
      <c r="P37" s="168">
        <v>0.1</v>
      </c>
      <c r="Q37" s="309">
        <f t="shared" si="1"/>
        <v>24.5</v>
      </c>
      <c r="R37" s="152">
        <f t="shared" si="2"/>
        <v>60.69</v>
      </c>
      <c r="S37" s="154">
        <f t="shared" si="3"/>
        <v>10.5</v>
      </c>
      <c r="T37" s="169">
        <f t="shared" si="4"/>
        <v>1.61</v>
      </c>
      <c r="U37" s="153">
        <f t="shared" si="5"/>
        <v>71.19</v>
      </c>
      <c r="V37" s="166">
        <f t="shared" si="6"/>
        <v>2.4499999999999997</v>
      </c>
      <c r="W37" s="167">
        <f t="shared" si="7"/>
        <v>0.70000000000000007</v>
      </c>
      <c r="X37" s="168">
        <f t="shared" si="8"/>
        <v>0.70000000000000007</v>
      </c>
      <c r="Y37" s="14"/>
    </row>
    <row r="38" spans="1:25" s="7" customFormat="1" ht="12" customHeight="1">
      <c r="A38" s="232">
        <v>40245</v>
      </c>
      <c r="B38" s="27">
        <v>371</v>
      </c>
      <c r="C38" s="24" t="s">
        <v>966</v>
      </c>
      <c r="D38" s="24" t="s">
        <v>967</v>
      </c>
      <c r="E38" s="25">
        <v>32</v>
      </c>
      <c r="F38" s="27" t="s">
        <v>968</v>
      </c>
      <c r="G38" s="180">
        <v>38</v>
      </c>
      <c r="H38" s="150">
        <f t="shared" si="9"/>
        <v>1216</v>
      </c>
      <c r="I38" s="306">
        <v>3.5</v>
      </c>
      <c r="J38" s="155">
        <v>4.59</v>
      </c>
      <c r="K38" s="156">
        <v>3</v>
      </c>
      <c r="L38" s="157">
        <v>0.45</v>
      </c>
      <c r="M38" s="153">
        <f t="shared" si="10"/>
        <v>7.59</v>
      </c>
      <c r="N38" s="166">
        <v>0.35</v>
      </c>
      <c r="O38" s="167">
        <v>0.1</v>
      </c>
      <c r="P38" s="168">
        <v>0</v>
      </c>
      <c r="Q38" s="309">
        <f t="shared" si="1"/>
        <v>112</v>
      </c>
      <c r="R38" s="152">
        <f t="shared" si="2"/>
        <v>146.88</v>
      </c>
      <c r="S38" s="154">
        <f t="shared" si="3"/>
        <v>96</v>
      </c>
      <c r="T38" s="169">
        <f t="shared" si="4"/>
        <v>14.4</v>
      </c>
      <c r="U38" s="153">
        <f t="shared" si="5"/>
        <v>242.88</v>
      </c>
      <c r="V38" s="166">
        <f t="shared" si="6"/>
        <v>11.2</v>
      </c>
      <c r="W38" s="167">
        <f t="shared" si="7"/>
        <v>3.2</v>
      </c>
      <c r="X38" s="168">
        <f t="shared" si="8"/>
        <v>0</v>
      </c>
      <c r="Y38" s="14"/>
    </row>
    <row r="39" spans="1:25" s="7" customFormat="1" ht="12" customHeight="1">
      <c r="A39" s="232"/>
      <c r="B39" s="27"/>
      <c r="C39" s="24" t="s">
        <v>966</v>
      </c>
      <c r="D39" s="24" t="s">
        <v>967</v>
      </c>
      <c r="E39" s="25">
        <v>32</v>
      </c>
      <c r="F39" s="27" t="s">
        <v>969</v>
      </c>
      <c r="G39" s="180">
        <v>34</v>
      </c>
      <c r="H39" s="150">
        <f t="shared" si="9"/>
        <v>1088</v>
      </c>
      <c r="I39" s="306">
        <v>3.5</v>
      </c>
      <c r="J39" s="155">
        <v>2.2599999999999998</v>
      </c>
      <c r="K39" s="156">
        <v>3</v>
      </c>
      <c r="L39" s="157">
        <v>0.45</v>
      </c>
      <c r="M39" s="153">
        <f t="shared" si="10"/>
        <v>5.26</v>
      </c>
      <c r="N39" s="166">
        <v>0.35</v>
      </c>
      <c r="O39" s="167">
        <v>0.1</v>
      </c>
      <c r="P39" s="168">
        <v>0</v>
      </c>
      <c r="Q39" s="309">
        <f t="shared" si="1"/>
        <v>112</v>
      </c>
      <c r="R39" s="152">
        <f t="shared" si="2"/>
        <v>72.319999999999993</v>
      </c>
      <c r="S39" s="154">
        <f t="shared" si="3"/>
        <v>96</v>
      </c>
      <c r="T39" s="169">
        <f t="shared" si="4"/>
        <v>14.4</v>
      </c>
      <c r="U39" s="153">
        <f t="shared" si="5"/>
        <v>168.32</v>
      </c>
      <c r="V39" s="166">
        <f t="shared" si="6"/>
        <v>11.2</v>
      </c>
      <c r="W39" s="167">
        <f t="shared" si="7"/>
        <v>3.2</v>
      </c>
      <c r="X39" s="168">
        <f t="shared" si="8"/>
        <v>0</v>
      </c>
      <c r="Y39" s="14"/>
    </row>
    <row r="40" spans="1:25" s="7" customFormat="1" ht="12" customHeight="1">
      <c r="A40" s="232" t="s">
        <v>38</v>
      </c>
      <c r="B40" s="27">
        <v>372</v>
      </c>
      <c r="C40" s="24" t="s">
        <v>970</v>
      </c>
      <c r="D40" s="24" t="s">
        <v>970</v>
      </c>
      <c r="E40" s="25">
        <v>550</v>
      </c>
      <c r="F40" s="27" t="s">
        <v>971</v>
      </c>
      <c r="G40" s="180">
        <v>5</v>
      </c>
      <c r="H40" s="150">
        <f t="shared" si="9"/>
        <v>2750</v>
      </c>
      <c r="I40" s="306">
        <v>0.4</v>
      </c>
      <c r="J40" s="155">
        <v>-1.39</v>
      </c>
      <c r="K40" s="156">
        <v>2.8</v>
      </c>
      <c r="L40" s="157">
        <v>0.17</v>
      </c>
      <c r="M40" s="153">
        <f t="shared" si="10"/>
        <v>1.41</v>
      </c>
      <c r="N40" s="166">
        <v>0.1</v>
      </c>
      <c r="O40" s="167">
        <v>0.05</v>
      </c>
      <c r="P40" s="168">
        <v>0.05</v>
      </c>
      <c r="Q40" s="309">
        <f t="shared" si="1"/>
        <v>220</v>
      </c>
      <c r="R40" s="152">
        <f t="shared" si="2"/>
        <v>-764.5</v>
      </c>
      <c r="S40" s="154">
        <f t="shared" si="3"/>
        <v>1540</v>
      </c>
      <c r="T40" s="169">
        <f t="shared" si="4"/>
        <v>93.5</v>
      </c>
      <c r="U40" s="153">
        <f t="shared" si="5"/>
        <v>775.5</v>
      </c>
      <c r="V40" s="166">
        <f t="shared" si="6"/>
        <v>55</v>
      </c>
      <c r="W40" s="167">
        <f t="shared" si="7"/>
        <v>27.5</v>
      </c>
      <c r="X40" s="168">
        <f t="shared" si="8"/>
        <v>27.5</v>
      </c>
      <c r="Y40" s="14"/>
    </row>
    <row r="41" spans="1:25" s="7" customFormat="1" ht="12" customHeight="1">
      <c r="A41" s="232">
        <v>40246</v>
      </c>
      <c r="B41" s="27">
        <v>373</v>
      </c>
      <c r="C41" s="24" t="s">
        <v>972</v>
      </c>
      <c r="D41" s="24" t="s">
        <v>210</v>
      </c>
      <c r="E41" s="25">
        <v>57</v>
      </c>
      <c r="F41" s="27" t="s">
        <v>973</v>
      </c>
      <c r="G41" s="180">
        <v>40.799999999999997</v>
      </c>
      <c r="H41" s="150">
        <f t="shared" si="9"/>
        <v>2325.6</v>
      </c>
      <c r="I41" s="306">
        <v>3.5</v>
      </c>
      <c r="J41" s="155">
        <v>6.37</v>
      </c>
      <c r="K41" s="156">
        <v>6</v>
      </c>
      <c r="L41" s="157">
        <v>0.9</v>
      </c>
      <c r="M41" s="153">
        <f t="shared" si="10"/>
        <v>12.370000000000001</v>
      </c>
      <c r="N41" s="166">
        <v>0.35</v>
      </c>
      <c r="O41" s="167">
        <v>0.1</v>
      </c>
      <c r="P41" s="168">
        <v>0</v>
      </c>
      <c r="Q41" s="309">
        <f t="shared" si="1"/>
        <v>199.5</v>
      </c>
      <c r="R41" s="152">
        <f t="shared" si="2"/>
        <v>363.09000000000003</v>
      </c>
      <c r="S41" s="154">
        <f t="shared" si="3"/>
        <v>342</v>
      </c>
      <c r="T41" s="169">
        <f t="shared" si="4"/>
        <v>51.300000000000004</v>
      </c>
      <c r="U41" s="153">
        <f t="shared" si="5"/>
        <v>705.09</v>
      </c>
      <c r="V41" s="166">
        <f t="shared" si="6"/>
        <v>19.95</v>
      </c>
      <c r="W41" s="167">
        <f t="shared" si="7"/>
        <v>5.7</v>
      </c>
      <c r="X41" s="168">
        <f t="shared" si="8"/>
        <v>0</v>
      </c>
      <c r="Y41" s="14"/>
    </row>
    <row r="42" spans="1:25" s="7" customFormat="1" ht="12" customHeight="1">
      <c r="A42" s="232"/>
      <c r="B42" s="27"/>
      <c r="C42" s="24" t="s">
        <v>972</v>
      </c>
      <c r="D42" s="24" t="s">
        <v>210</v>
      </c>
      <c r="E42" s="25">
        <v>26</v>
      </c>
      <c r="F42" s="27" t="s">
        <v>974</v>
      </c>
      <c r="G42" s="180">
        <v>44.8</v>
      </c>
      <c r="H42" s="150">
        <f t="shared" si="9"/>
        <v>1164.8</v>
      </c>
      <c r="I42" s="306">
        <v>3.5</v>
      </c>
      <c r="J42" s="155">
        <v>5.13</v>
      </c>
      <c r="K42" s="156">
        <v>6</v>
      </c>
      <c r="L42" s="157">
        <v>0.9</v>
      </c>
      <c r="M42" s="153">
        <f t="shared" si="10"/>
        <v>11.129999999999999</v>
      </c>
      <c r="N42" s="166">
        <v>0.35</v>
      </c>
      <c r="O42" s="167">
        <v>0.1</v>
      </c>
      <c r="P42" s="168">
        <v>0</v>
      </c>
      <c r="Q42" s="309">
        <f t="shared" si="1"/>
        <v>91</v>
      </c>
      <c r="R42" s="152">
        <f t="shared" si="2"/>
        <v>133.38</v>
      </c>
      <c r="S42" s="154">
        <f t="shared" si="3"/>
        <v>156</v>
      </c>
      <c r="T42" s="169">
        <f t="shared" si="4"/>
        <v>23.400000000000002</v>
      </c>
      <c r="U42" s="153">
        <f t="shared" si="5"/>
        <v>289.38</v>
      </c>
      <c r="V42" s="166">
        <f t="shared" si="6"/>
        <v>9.1</v>
      </c>
      <c r="W42" s="167">
        <f t="shared" si="7"/>
        <v>2.6</v>
      </c>
      <c r="X42" s="168">
        <f t="shared" si="8"/>
        <v>0</v>
      </c>
      <c r="Y42" s="14"/>
    </row>
    <row r="43" spans="1:25" s="7" customFormat="1" ht="12" customHeight="1">
      <c r="A43" s="232">
        <v>40246</v>
      </c>
      <c r="B43" s="27">
        <v>374</v>
      </c>
      <c r="C43" s="24" t="s">
        <v>966</v>
      </c>
      <c r="D43" s="24" t="s">
        <v>967</v>
      </c>
      <c r="E43" s="25">
        <v>22</v>
      </c>
      <c r="F43" s="27" t="s">
        <v>975</v>
      </c>
      <c r="G43" s="180">
        <v>38</v>
      </c>
      <c r="H43" s="150">
        <f t="shared" si="9"/>
        <v>836</v>
      </c>
      <c r="I43" s="306">
        <v>3.5</v>
      </c>
      <c r="J43" s="155">
        <v>2.4300000000000002</v>
      </c>
      <c r="K43" s="156">
        <v>3</v>
      </c>
      <c r="L43" s="157">
        <v>0.45</v>
      </c>
      <c r="M43" s="153">
        <f t="shared" si="10"/>
        <v>5.43</v>
      </c>
      <c r="N43" s="166">
        <v>0.35</v>
      </c>
      <c r="O43" s="167">
        <v>0.1</v>
      </c>
      <c r="P43" s="168">
        <v>0</v>
      </c>
      <c r="Q43" s="309">
        <f t="shared" si="1"/>
        <v>77</v>
      </c>
      <c r="R43" s="152">
        <f t="shared" si="2"/>
        <v>53.46</v>
      </c>
      <c r="S43" s="154">
        <f t="shared" si="3"/>
        <v>66</v>
      </c>
      <c r="T43" s="169">
        <f t="shared" si="4"/>
        <v>9.9</v>
      </c>
      <c r="U43" s="153">
        <f t="shared" si="5"/>
        <v>119.46</v>
      </c>
      <c r="V43" s="166">
        <f t="shared" si="6"/>
        <v>7.6999999999999993</v>
      </c>
      <c r="W43" s="167">
        <f t="shared" si="7"/>
        <v>2.2000000000000002</v>
      </c>
      <c r="X43" s="168">
        <f t="shared" si="8"/>
        <v>0</v>
      </c>
      <c r="Y43" s="14"/>
    </row>
    <row r="44" spans="1:25" s="7" customFormat="1" ht="12" customHeight="1">
      <c r="A44" s="232"/>
      <c r="B44" s="27"/>
      <c r="C44" s="24" t="s">
        <v>966</v>
      </c>
      <c r="D44" s="24" t="s">
        <v>967</v>
      </c>
      <c r="E44" s="25">
        <v>19</v>
      </c>
      <c r="F44" s="27" t="s">
        <v>976</v>
      </c>
      <c r="G44" s="180">
        <v>34</v>
      </c>
      <c r="H44" s="150">
        <f t="shared" si="9"/>
        <v>646</v>
      </c>
      <c r="I44" s="306">
        <v>3.5</v>
      </c>
      <c r="J44" s="155">
        <v>0.1</v>
      </c>
      <c r="K44" s="156">
        <v>3</v>
      </c>
      <c r="L44" s="157">
        <v>0.45</v>
      </c>
      <c r="M44" s="153">
        <f t="shared" si="10"/>
        <v>3.1</v>
      </c>
      <c r="N44" s="166">
        <v>0.35</v>
      </c>
      <c r="O44" s="167">
        <v>0.1</v>
      </c>
      <c r="P44" s="168">
        <v>0</v>
      </c>
      <c r="Q44" s="309">
        <f t="shared" si="1"/>
        <v>66.5</v>
      </c>
      <c r="R44" s="152">
        <f t="shared" si="2"/>
        <v>1.9000000000000001</v>
      </c>
      <c r="S44" s="154">
        <f t="shared" si="3"/>
        <v>57</v>
      </c>
      <c r="T44" s="169">
        <f t="shared" si="4"/>
        <v>8.5500000000000007</v>
      </c>
      <c r="U44" s="153">
        <f t="shared" si="5"/>
        <v>58.9</v>
      </c>
      <c r="V44" s="166">
        <f t="shared" si="6"/>
        <v>6.6499999999999995</v>
      </c>
      <c r="W44" s="167">
        <f t="shared" si="7"/>
        <v>1.9000000000000001</v>
      </c>
      <c r="X44" s="168">
        <f t="shared" si="8"/>
        <v>0</v>
      </c>
      <c r="Y44" s="14"/>
    </row>
    <row r="45" spans="1:25" s="7" customFormat="1" ht="12" customHeight="1">
      <c r="A45" s="232">
        <v>40246</v>
      </c>
      <c r="B45" s="27">
        <v>375</v>
      </c>
      <c r="C45" s="24" t="s">
        <v>85</v>
      </c>
      <c r="D45" s="24" t="s">
        <v>523</v>
      </c>
      <c r="E45" s="25">
        <v>45</v>
      </c>
      <c r="F45" s="27" t="s">
        <v>977</v>
      </c>
      <c r="G45" s="180">
        <v>37.700000000000003</v>
      </c>
      <c r="H45" s="150">
        <f t="shared" si="9"/>
        <v>1696.5000000000002</v>
      </c>
      <c r="I45" s="306">
        <v>3.5</v>
      </c>
      <c r="J45" s="155">
        <v>3.69</v>
      </c>
      <c r="K45" s="156">
        <v>3</v>
      </c>
      <c r="L45" s="157">
        <v>0.45</v>
      </c>
      <c r="M45" s="153">
        <f t="shared" si="10"/>
        <v>6.6899999999999995</v>
      </c>
      <c r="N45" s="166">
        <v>0.35</v>
      </c>
      <c r="O45" s="167">
        <v>0.1</v>
      </c>
      <c r="P45" s="168">
        <v>0</v>
      </c>
      <c r="Q45" s="309">
        <f t="shared" si="1"/>
        <v>157.5</v>
      </c>
      <c r="R45" s="152">
        <f t="shared" si="2"/>
        <v>166.05</v>
      </c>
      <c r="S45" s="154">
        <f t="shared" si="3"/>
        <v>135</v>
      </c>
      <c r="T45" s="169">
        <f t="shared" si="4"/>
        <v>20.25</v>
      </c>
      <c r="U45" s="153">
        <f t="shared" si="5"/>
        <v>301.04999999999995</v>
      </c>
      <c r="V45" s="166">
        <f t="shared" si="6"/>
        <v>15.749999999999998</v>
      </c>
      <c r="W45" s="167">
        <f t="shared" si="7"/>
        <v>4.5</v>
      </c>
      <c r="X45" s="168">
        <f t="shared" si="8"/>
        <v>0</v>
      </c>
      <c r="Y45" s="14"/>
    </row>
    <row r="46" spans="1:25" s="7" customFormat="1" ht="12" customHeight="1">
      <c r="A46" s="232">
        <v>40247</v>
      </c>
      <c r="B46" s="27">
        <v>376</v>
      </c>
      <c r="C46" s="24" t="s">
        <v>933</v>
      </c>
      <c r="D46" s="24" t="s">
        <v>978</v>
      </c>
      <c r="E46" s="25">
        <v>71</v>
      </c>
      <c r="F46" s="27" t="s">
        <v>979</v>
      </c>
      <c r="G46" s="180">
        <v>32</v>
      </c>
      <c r="H46" s="150">
        <f t="shared" si="9"/>
        <v>2272</v>
      </c>
      <c r="I46" s="306">
        <v>3.5</v>
      </c>
      <c r="J46" s="155">
        <v>8.7899999999999991</v>
      </c>
      <c r="K46" s="156">
        <v>1</v>
      </c>
      <c r="L46" s="157">
        <v>0.15</v>
      </c>
      <c r="M46" s="153">
        <f t="shared" si="10"/>
        <v>9.7899999999999991</v>
      </c>
      <c r="N46" s="166">
        <v>0.35</v>
      </c>
      <c r="O46" s="167">
        <v>0.1</v>
      </c>
      <c r="P46" s="168">
        <v>0</v>
      </c>
      <c r="Q46" s="309">
        <f t="shared" si="1"/>
        <v>248.5</v>
      </c>
      <c r="R46" s="152">
        <f t="shared" si="2"/>
        <v>624.08999999999992</v>
      </c>
      <c r="S46" s="154">
        <f t="shared" si="3"/>
        <v>71</v>
      </c>
      <c r="T46" s="169">
        <f t="shared" si="4"/>
        <v>10.65</v>
      </c>
      <c r="U46" s="153">
        <f t="shared" si="5"/>
        <v>695.08999999999992</v>
      </c>
      <c r="V46" s="166">
        <f>N46*E46</f>
        <v>24.849999999999998</v>
      </c>
      <c r="W46" s="167">
        <f>O46*E46</f>
        <v>7.1000000000000005</v>
      </c>
      <c r="X46" s="168">
        <f>P46*E46</f>
        <v>0</v>
      </c>
      <c r="Y46" s="14"/>
    </row>
    <row r="47" spans="1:25" s="7" customFormat="1" ht="12" customHeight="1">
      <c r="A47" s="232"/>
      <c r="B47" s="27"/>
      <c r="C47" s="24" t="s">
        <v>933</v>
      </c>
      <c r="D47" s="24" t="s">
        <v>978</v>
      </c>
      <c r="E47" s="25">
        <v>4</v>
      </c>
      <c r="F47" s="27" t="s">
        <v>980</v>
      </c>
      <c r="G47" s="180">
        <v>35</v>
      </c>
      <c r="H47" s="150">
        <f t="shared" si="9"/>
        <v>140</v>
      </c>
      <c r="I47" s="306">
        <v>3.5</v>
      </c>
      <c r="J47" s="155">
        <v>6.35</v>
      </c>
      <c r="K47" s="156">
        <v>1</v>
      </c>
      <c r="L47" s="157">
        <v>0.15</v>
      </c>
      <c r="M47" s="153">
        <f t="shared" si="10"/>
        <v>7.35</v>
      </c>
      <c r="N47" s="166">
        <v>0.35</v>
      </c>
      <c r="O47" s="167">
        <v>0.1</v>
      </c>
      <c r="P47" s="168">
        <v>0</v>
      </c>
      <c r="Q47" s="309">
        <f t="shared" si="1"/>
        <v>14</v>
      </c>
      <c r="R47" s="152">
        <f t="shared" si="2"/>
        <v>25.4</v>
      </c>
      <c r="S47" s="154">
        <f t="shared" si="3"/>
        <v>4</v>
      </c>
      <c r="T47" s="169">
        <f t="shared" si="4"/>
        <v>0.6</v>
      </c>
      <c r="U47" s="153">
        <f t="shared" si="5"/>
        <v>29.4</v>
      </c>
      <c r="V47" s="166">
        <f t="shared" si="6"/>
        <v>1.4</v>
      </c>
      <c r="W47" s="167">
        <f t="shared" si="7"/>
        <v>0.4</v>
      </c>
      <c r="X47" s="168">
        <f t="shared" si="8"/>
        <v>0</v>
      </c>
      <c r="Y47" s="14"/>
    </row>
    <row r="48" spans="1:25" s="7" customFormat="1" ht="12" customHeight="1">
      <c r="A48" s="232">
        <v>40247</v>
      </c>
      <c r="B48" s="27">
        <v>377</v>
      </c>
      <c r="C48" s="24" t="s">
        <v>981</v>
      </c>
      <c r="D48" s="24" t="s">
        <v>982</v>
      </c>
      <c r="E48" s="25">
        <v>8</v>
      </c>
      <c r="F48" s="27" t="s">
        <v>983</v>
      </c>
      <c r="G48" s="180">
        <v>38.5</v>
      </c>
      <c r="H48" s="150">
        <f t="shared" si="9"/>
        <v>308</v>
      </c>
      <c r="I48" s="306">
        <v>3.5</v>
      </c>
      <c r="J48" s="155">
        <v>6.45</v>
      </c>
      <c r="K48" s="156">
        <v>2</v>
      </c>
      <c r="L48" s="157">
        <v>0.3</v>
      </c>
      <c r="M48" s="153">
        <f t="shared" si="10"/>
        <v>8.4499999999999993</v>
      </c>
      <c r="N48" s="166">
        <v>0.35</v>
      </c>
      <c r="O48" s="167">
        <v>0.1</v>
      </c>
      <c r="P48" s="168">
        <v>0</v>
      </c>
      <c r="Q48" s="309">
        <f t="shared" si="1"/>
        <v>28</v>
      </c>
      <c r="R48" s="152">
        <f t="shared" si="2"/>
        <v>51.6</v>
      </c>
      <c r="S48" s="154">
        <f t="shared" si="3"/>
        <v>16</v>
      </c>
      <c r="T48" s="169">
        <f t="shared" si="4"/>
        <v>2.4</v>
      </c>
      <c r="U48" s="153">
        <f t="shared" si="5"/>
        <v>67.599999999999994</v>
      </c>
      <c r="V48" s="166">
        <f>N48*E48</f>
        <v>2.8</v>
      </c>
      <c r="W48" s="167">
        <f>O48*E48</f>
        <v>0.8</v>
      </c>
      <c r="X48" s="168">
        <f>P48*E48</f>
        <v>0</v>
      </c>
      <c r="Y48" s="14"/>
    </row>
    <row r="49" spans="1:25" s="7" customFormat="1" ht="12" customHeight="1">
      <c r="A49" s="232"/>
      <c r="B49" s="27"/>
      <c r="C49" s="24" t="s">
        <v>981</v>
      </c>
      <c r="D49" s="24" t="s">
        <v>982</v>
      </c>
      <c r="E49" s="25">
        <v>4</v>
      </c>
      <c r="F49" s="27" t="s">
        <v>984</v>
      </c>
      <c r="G49" s="180">
        <v>38.5</v>
      </c>
      <c r="H49" s="150">
        <f t="shared" si="9"/>
        <v>154</v>
      </c>
      <c r="I49" s="306">
        <v>3.5</v>
      </c>
      <c r="J49" s="155">
        <v>5.97</v>
      </c>
      <c r="K49" s="156">
        <v>2</v>
      </c>
      <c r="L49" s="157">
        <v>0.3</v>
      </c>
      <c r="M49" s="153">
        <f t="shared" si="10"/>
        <v>7.97</v>
      </c>
      <c r="N49" s="166">
        <v>0.35</v>
      </c>
      <c r="O49" s="167">
        <v>0.1</v>
      </c>
      <c r="P49" s="168">
        <v>0</v>
      </c>
      <c r="Q49" s="309">
        <f t="shared" si="1"/>
        <v>14</v>
      </c>
      <c r="R49" s="152">
        <f t="shared" si="2"/>
        <v>23.88</v>
      </c>
      <c r="S49" s="154">
        <f t="shared" si="3"/>
        <v>8</v>
      </c>
      <c r="T49" s="169">
        <f t="shared" si="4"/>
        <v>1.2</v>
      </c>
      <c r="U49" s="153">
        <f t="shared" si="5"/>
        <v>31.88</v>
      </c>
      <c r="V49" s="166">
        <f t="shared" si="6"/>
        <v>1.4</v>
      </c>
      <c r="W49" s="167">
        <f t="shared" si="7"/>
        <v>0.4</v>
      </c>
      <c r="X49" s="168">
        <f t="shared" si="8"/>
        <v>0</v>
      </c>
      <c r="Y49" s="14"/>
    </row>
    <row r="50" spans="1:25" s="7" customFormat="1" ht="12" customHeight="1">
      <c r="A50" s="232"/>
      <c r="B50" s="27"/>
      <c r="C50" s="24" t="s">
        <v>981</v>
      </c>
      <c r="D50" s="24" t="s">
        <v>982</v>
      </c>
      <c r="E50" s="25">
        <v>8</v>
      </c>
      <c r="F50" s="27" t="s">
        <v>985</v>
      </c>
      <c r="G50" s="180">
        <v>38.5</v>
      </c>
      <c r="H50" s="150">
        <f t="shared" si="9"/>
        <v>308</v>
      </c>
      <c r="I50" s="306">
        <v>3.5</v>
      </c>
      <c r="J50" s="155">
        <v>6.45</v>
      </c>
      <c r="K50" s="156">
        <v>2</v>
      </c>
      <c r="L50" s="157">
        <v>0.3</v>
      </c>
      <c r="M50" s="153">
        <f t="shared" si="10"/>
        <v>8.4499999999999993</v>
      </c>
      <c r="N50" s="166">
        <v>0.35</v>
      </c>
      <c r="O50" s="167">
        <v>0.1</v>
      </c>
      <c r="P50" s="168">
        <v>0</v>
      </c>
      <c r="Q50" s="309">
        <f t="shared" si="1"/>
        <v>28</v>
      </c>
      <c r="R50" s="152">
        <f t="shared" si="2"/>
        <v>51.6</v>
      </c>
      <c r="S50" s="154">
        <f t="shared" si="3"/>
        <v>16</v>
      </c>
      <c r="T50" s="169">
        <f t="shared" si="4"/>
        <v>2.4</v>
      </c>
      <c r="U50" s="153">
        <f t="shared" si="5"/>
        <v>67.599999999999994</v>
      </c>
      <c r="V50" s="166">
        <f t="shared" si="6"/>
        <v>2.8</v>
      </c>
      <c r="W50" s="167">
        <f t="shared" si="7"/>
        <v>0.8</v>
      </c>
      <c r="X50" s="168">
        <f t="shared" si="8"/>
        <v>0</v>
      </c>
      <c r="Y50" s="14"/>
    </row>
    <row r="51" spans="1:25" s="7" customFormat="1" ht="12" customHeight="1">
      <c r="A51" s="232"/>
      <c r="B51" s="27"/>
      <c r="C51" s="24" t="s">
        <v>981</v>
      </c>
      <c r="D51" s="24" t="s">
        <v>982</v>
      </c>
      <c r="E51" s="25">
        <v>4</v>
      </c>
      <c r="F51" s="27" t="s">
        <v>986</v>
      </c>
      <c r="G51" s="180">
        <v>38.5</v>
      </c>
      <c r="H51" s="150">
        <f t="shared" si="9"/>
        <v>154</v>
      </c>
      <c r="I51" s="306">
        <v>3.5</v>
      </c>
      <c r="J51" s="155">
        <v>5.97</v>
      </c>
      <c r="K51" s="156">
        <v>2</v>
      </c>
      <c r="L51" s="157">
        <v>0.3</v>
      </c>
      <c r="M51" s="153">
        <f t="shared" si="10"/>
        <v>7.97</v>
      </c>
      <c r="N51" s="166">
        <v>0.35</v>
      </c>
      <c r="O51" s="167">
        <v>0.1</v>
      </c>
      <c r="P51" s="168">
        <v>0</v>
      </c>
      <c r="Q51" s="309">
        <f t="shared" si="1"/>
        <v>14</v>
      </c>
      <c r="R51" s="152">
        <f t="shared" si="2"/>
        <v>23.88</v>
      </c>
      <c r="S51" s="154">
        <f t="shared" si="3"/>
        <v>8</v>
      </c>
      <c r="T51" s="169">
        <f t="shared" si="4"/>
        <v>1.2</v>
      </c>
      <c r="U51" s="153">
        <f t="shared" si="5"/>
        <v>31.88</v>
      </c>
      <c r="V51" s="166">
        <f t="shared" si="6"/>
        <v>1.4</v>
      </c>
      <c r="W51" s="167">
        <f t="shared" si="7"/>
        <v>0.4</v>
      </c>
      <c r="X51" s="168">
        <f t="shared" si="8"/>
        <v>0</v>
      </c>
      <c r="Y51" s="14"/>
    </row>
    <row r="52" spans="1:25" s="7" customFormat="1" ht="12" customHeight="1">
      <c r="A52" s="232"/>
      <c r="B52" s="27"/>
      <c r="C52" s="24" t="s">
        <v>981</v>
      </c>
      <c r="D52" s="24" t="s">
        <v>982</v>
      </c>
      <c r="E52" s="25">
        <v>2</v>
      </c>
      <c r="F52" s="27" t="s">
        <v>987</v>
      </c>
      <c r="G52" s="180">
        <v>43.5</v>
      </c>
      <c r="H52" s="150">
        <f t="shared" si="9"/>
        <v>87</v>
      </c>
      <c r="I52" s="306">
        <v>3.5</v>
      </c>
      <c r="J52" s="155">
        <v>7.01</v>
      </c>
      <c r="K52" s="156">
        <v>2</v>
      </c>
      <c r="L52" s="157">
        <v>0.3</v>
      </c>
      <c r="M52" s="153">
        <f t="shared" si="10"/>
        <v>9.01</v>
      </c>
      <c r="N52" s="166">
        <v>0.35</v>
      </c>
      <c r="O52" s="167">
        <v>0.1</v>
      </c>
      <c r="P52" s="168">
        <v>0</v>
      </c>
      <c r="Q52" s="309">
        <f t="shared" si="1"/>
        <v>7</v>
      </c>
      <c r="R52" s="152">
        <f t="shared" si="2"/>
        <v>14.02</v>
      </c>
      <c r="S52" s="154">
        <f t="shared" si="3"/>
        <v>4</v>
      </c>
      <c r="T52" s="169">
        <f t="shared" si="4"/>
        <v>0.6</v>
      </c>
      <c r="U52" s="153">
        <f t="shared" si="5"/>
        <v>18.02</v>
      </c>
      <c r="V52" s="166">
        <f t="shared" si="6"/>
        <v>0.7</v>
      </c>
      <c r="W52" s="167">
        <f t="shared" si="7"/>
        <v>0.2</v>
      </c>
      <c r="X52" s="168">
        <f t="shared" si="8"/>
        <v>0</v>
      </c>
      <c r="Y52" s="14"/>
    </row>
    <row r="53" spans="1:25" s="7" customFormat="1" ht="12" customHeight="1">
      <c r="A53" s="232">
        <v>40248</v>
      </c>
      <c r="B53" s="27">
        <v>378</v>
      </c>
      <c r="C53" s="24"/>
      <c r="D53" s="24" t="s">
        <v>988</v>
      </c>
      <c r="E53" s="25">
        <v>30</v>
      </c>
      <c r="F53" s="27" t="s">
        <v>989</v>
      </c>
      <c r="G53" s="180">
        <v>16</v>
      </c>
      <c r="H53" s="150">
        <f t="shared" si="9"/>
        <v>480</v>
      </c>
      <c r="I53" s="306">
        <v>0.4</v>
      </c>
      <c r="J53" s="155">
        <v>3.41</v>
      </c>
      <c r="K53" s="156">
        <v>1.2</v>
      </c>
      <c r="L53" s="157">
        <v>0.18</v>
      </c>
      <c r="M53" s="153">
        <f t="shared" si="10"/>
        <v>4.6100000000000003</v>
      </c>
      <c r="N53" s="166">
        <v>0.2</v>
      </c>
      <c r="O53" s="167">
        <v>0.1</v>
      </c>
      <c r="P53" s="168">
        <v>0</v>
      </c>
      <c r="Q53" s="309">
        <f t="shared" si="1"/>
        <v>12</v>
      </c>
      <c r="R53" s="152">
        <f t="shared" si="2"/>
        <v>102.30000000000001</v>
      </c>
      <c r="S53" s="154">
        <f t="shared" si="3"/>
        <v>36</v>
      </c>
      <c r="T53" s="169">
        <f t="shared" si="4"/>
        <v>5.3999999999999995</v>
      </c>
      <c r="U53" s="153">
        <f t="shared" si="5"/>
        <v>138.30000000000001</v>
      </c>
      <c r="V53" s="166">
        <f t="shared" si="6"/>
        <v>6</v>
      </c>
      <c r="W53" s="167">
        <f t="shared" si="7"/>
        <v>3</v>
      </c>
      <c r="X53" s="168">
        <f t="shared" si="8"/>
        <v>0</v>
      </c>
      <c r="Y53" s="14"/>
    </row>
    <row r="54" spans="1:25" s="7" customFormat="1" ht="12" customHeight="1">
      <c r="A54" s="232"/>
      <c r="B54" s="27"/>
      <c r="C54" s="24"/>
      <c r="D54" s="24" t="s">
        <v>988</v>
      </c>
      <c r="E54" s="25">
        <v>40</v>
      </c>
      <c r="F54" s="27" t="s">
        <v>990</v>
      </c>
      <c r="G54" s="180">
        <v>17</v>
      </c>
      <c r="H54" s="150">
        <f t="shared" si="9"/>
        <v>680</v>
      </c>
      <c r="I54" s="306">
        <v>0.4</v>
      </c>
      <c r="J54" s="155">
        <v>3.85</v>
      </c>
      <c r="K54" s="156">
        <v>1.2</v>
      </c>
      <c r="L54" s="157">
        <v>0.18</v>
      </c>
      <c r="M54" s="153">
        <f t="shared" si="10"/>
        <v>5.05</v>
      </c>
      <c r="N54" s="166">
        <v>0.2</v>
      </c>
      <c r="O54" s="167">
        <v>0.1</v>
      </c>
      <c r="P54" s="168">
        <v>0</v>
      </c>
      <c r="Q54" s="309">
        <f t="shared" si="1"/>
        <v>16</v>
      </c>
      <c r="R54" s="178">
        <f t="shared" si="2"/>
        <v>154</v>
      </c>
      <c r="S54" s="154">
        <f t="shared" si="3"/>
        <v>48</v>
      </c>
      <c r="T54" s="169">
        <f t="shared" si="4"/>
        <v>7.1999999999999993</v>
      </c>
      <c r="U54" s="179">
        <f t="shared" si="5"/>
        <v>202</v>
      </c>
      <c r="V54" s="166">
        <f t="shared" si="6"/>
        <v>8</v>
      </c>
      <c r="W54" s="167">
        <f t="shared" si="7"/>
        <v>4</v>
      </c>
      <c r="X54" s="168">
        <f t="shared" si="8"/>
        <v>0</v>
      </c>
      <c r="Y54" s="14"/>
    </row>
    <row r="55" spans="1:25" s="7" customFormat="1" ht="12" customHeight="1">
      <c r="A55" s="232">
        <v>40248</v>
      </c>
      <c r="B55" s="27">
        <v>379</v>
      </c>
      <c r="C55" s="24" t="s">
        <v>991</v>
      </c>
      <c r="D55" s="24" t="s">
        <v>991</v>
      </c>
      <c r="E55" s="25">
        <v>7</v>
      </c>
      <c r="F55" s="27" t="s">
        <v>992</v>
      </c>
      <c r="G55" s="180">
        <v>45</v>
      </c>
      <c r="H55" s="150">
        <f t="shared" si="9"/>
        <v>315</v>
      </c>
      <c r="I55" s="306">
        <v>0</v>
      </c>
      <c r="J55" s="155">
        <v>0</v>
      </c>
      <c r="K55" s="156">
        <v>8</v>
      </c>
      <c r="L55" s="157">
        <v>1.2</v>
      </c>
      <c r="M55" s="153">
        <f t="shared" si="10"/>
        <v>8</v>
      </c>
      <c r="N55" s="166">
        <v>0</v>
      </c>
      <c r="O55" s="167">
        <v>0.1</v>
      </c>
      <c r="P55" s="168">
        <v>0.1</v>
      </c>
      <c r="Q55" s="309">
        <f t="shared" si="1"/>
        <v>0</v>
      </c>
      <c r="R55" s="152">
        <f t="shared" si="2"/>
        <v>0</v>
      </c>
      <c r="S55" s="154">
        <f t="shared" si="3"/>
        <v>56</v>
      </c>
      <c r="T55" s="169">
        <f t="shared" si="4"/>
        <v>8.4</v>
      </c>
      <c r="U55" s="153">
        <f t="shared" si="5"/>
        <v>56</v>
      </c>
      <c r="V55" s="166">
        <f t="shared" si="6"/>
        <v>0</v>
      </c>
      <c r="W55" s="167">
        <f t="shared" si="7"/>
        <v>0.70000000000000007</v>
      </c>
      <c r="X55" s="168">
        <f t="shared" si="8"/>
        <v>0.70000000000000007</v>
      </c>
      <c r="Y55" s="14" t="s">
        <v>1108</v>
      </c>
    </row>
    <row r="56" spans="1:25" s="7" customFormat="1" ht="12" customHeight="1">
      <c r="A56" s="232">
        <v>40248</v>
      </c>
      <c r="B56" s="27">
        <v>379</v>
      </c>
      <c r="C56" s="24" t="s">
        <v>991</v>
      </c>
      <c r="D56" s="24" t="s">
        <v>991</v>
      </c>
      <c r="E56" s="25">
        <v>5</v>
      </c>
      <c r="F56" s="27" t="s">
        <v>993</v>
      </c>
      <c r="G56" s="180">
        <v>45</v>
      </c>
      <c r="H56" s="150">
        <f t="shared" si="9"/>
        <v>225</v>
      </c>
      <c r="I56" s="306">
        <v>0</v>
      </c>
      <c r="J56" s="155">
        <v>0</v>
      </c>
      <c r="K56" s="156">
        <v>8</v>
      </c>
      <c r="L56" s="157">
        <v>1.2</v>
      </c>
      <c r="M56" s="153">
        <f t="shared" si="10"/>
        <v>8</v>
      </c>
      <c r="N56" s="166">
        <v>0</v>
      </c>
      <c r="O56" s="167">
        <v>0.1</v>
      </c>
      <c r="P56" s="168">
        <v>0.1</v>
      </c>
      <c r="Q56" s="309">
        <f t="shared" si="1"/>
        <v>0</v>
      </c>
      <c r="R56" s="152">
        <f t="shared" si="2"/>
        <v>0</v>
      </c>
      <c r="S56" s="154">
        <f t="shared" si="3"/>
        <v>40</v>
      </c>
      <c r="T56" s="169">
        <f t="shared" si="4"/>
        <v>6</v>
      </c>
      <c r="U56" s="153">
        <f t="shared" si="5"/>
        <v>40</v>
      </c>
      <c r="V56" s="166">
        <f t="shared" si="6"/>
        <v>0</v>
      </c>
      <c r="W56" s="167">
        <f t="shared" si="7"/>
        <v>0.5</v>
      </c>
      <c r="X56" s="168">
        <f t="shared" si="8"/>
        <v>0.5</v>
      </c>
      <c r="Y56" s="14" t="s">
        <v>1108</v>
      </c>
    </row>
    <row r="57" spans="1:25" s="7" customFormat="1" ht="12" customHeight="1">
      <c r="A57" s="232">
        <v>40248</v>
      </c>
      <c r="B57" s="27">
        <v>379</v>
      </c>
      <c r="C57" s="184" t="s">
        <v>991</v>
      </c>
      <c r="D57" s="184" t="s">
        <v>991</v>
      </c>
      <c r="E57" s="185">
        <v>8</v>
      </c>
      <c r="F57" s="186" t="s">
        <v>994</v>
      </c>
      <c r="G57" s="187">
        <v>50</v>
      </c>
      <c r="H57" s="150">
        <f t="shared" si="9"/>
        <v>400</v>
      </c>
      <c r="I57" s="306">
        <v>3.5</v>
      </c>
      <c r="J57" s="155">
        <v>11.03</v>
      </c>
      <c r="K57" s="156">
        <v>8</v>
      </c>
      <c r="L57" s="157">
        <v>1.2</v>
      </c>
      <c r="M57" s="153">
        <f t="shared" si="10"/>
        <v>19.03</v>
      </c>
      <c r="N57" s="166">
        <v>0.35</v>
      </c>
      <c r="O57" s="167">
        <v>0.1</v>
      </c>
      <c r="P57" s="168">
        <v>0</v>
      </c>
      <c r="Q57" s="309">
        <f t="shared" si="1"/>
        <v>28</v>
      </c>
      <c r="R57" s="152">
        <f t="shared" si="2"/>
        <v>88.24</v>
      </c>
      <c r="S57" s="154">
        <f t="shared" si="3"/>
        <v>64</v>
      </c>
      <c r="T57" s="169">
        <f t="shared" si="4"/>
        <v>9.6</v>
      </c>
      <c r="U57" s="153">
        <f t="shared" si="5"/>
        <v>152.24</v>
      </c>
      <c r="V57" s="166">
        <f t="shared" si="6"/>
        <v>2.8</v>
      </c>
      <c r="W57" s="167">
        <f t="shared" si="7"/>
        <v>0.8</v>
      </c>
      <c r="X57" s="168">
        <f t="shared" si="8"/>
        <v>0</v>
      </c>
      <c r="Y57" s="14"/>
    </row>
    <row r="58" spans="1:25" s="7" customFormat="1" ht="12" customHeight="1">
      <c r="A58" s="234"/>
      <c r="B58" s="186"/>
      <c r="C58" s="184" t="s">
        <v>991</v>
      </c>
      <c r="D58" s="184" t="s">
        <v>991</v>
      </c>
      <c r="E58" s="185">
        <v>8</v>
      </c>
      <c r="F58" s="186" t="s">
        <v>995</v>
      </c>
      <c r="G58" s="187">
        <v>50</v>
      </c>
      <c r="H58" s="150">
        <f t="shared" si="9"/>
        <v>400</v>
      </c>
      <c r="I58" s="306">
        <v>3.5</v>
      </c>
      <c r="J58" s="155">
        <v>14.03</v>
      </c>
      <c r="K58" s="156">
        <v>8</v>
      </c>
      <c r="L58" s="157">
        <v>1.2</v>
      </c>
      <c r="M58" s="153">
        <f t="shared" si="10"/>
        <v>22.03</v>
      </c>
      <c r="N58" s="166">
        <v>0.35</v>
      </c>
      <c r="O58" s="167">
        <v>0.1</v>
      </c>
      <c r="P58" s="168">
        <v>0</v>
      </c>
      <c r="Q58" s="309">
        <f t="shared" si="1"/>
        <v>28</v>
      </c>
      <c r="R58" s="152">
        <f t="shared" si="2"/>
        <v>112.24</v>
      </c>
      <c r="S58" s="154">
        <f t="shared" si="3"/>
        <v>64</v>
      </c>
      <c r="T58" s="169">
        <f t="shared" si="4"/>
        <v>9.6</v>
      </c>
      <c r="U58" s="153">
        <f t="shared" si="5"/>
        <v>176.24</v>
      </c>
      <c r="V58" s="166">
        <f t="shared" si="6"/>
        <v>2.8</v>
      </c>
      <c r="W58" s="167">
        <f t="shared" si="7"/>
        <v>0.8</v>
      </c>
      <c r="X58" s="168">
        <f t="shared" si="8"/>
        <v>0</v>
      </c>
      <c r="Y58" s="14"/>
    </row>
    <row r="59" spans="1:25" ht="12" customHeight="1">
      <c r="A59" s="232">
        <v>40249</v>
      </c>
      <c r="B59" s="27">
        <v>380</v>
      </c>
      <c r="C59" s="24" t="s">
        <v>346</v>
      </c>
      <c r="D59" s="24" t="s">
        <v>996</v>
      </c>
      <c r="E59" s="25">
        <f>24+12</f>
        <v>36</v>
      </c>
      <c r="F59" s="27" t="s">
        <v>997</v>
      </c>
      <c r="G59" s="180">
        <v>28</v>
      </c>
      <c r="H59" s="150">
        <f t="shared" si="9"/>
        <v>1008</v>
      </c>
      <c r="I59" s="306">
        <v>3.5</v>
      </c>
      <c r="J59" s="155">
        <v>7.86</v>
      </c>
      <c r="K59" s="156">
        <v>3.5</v>
      </c>
      <c r="L59" s="157">
        <v>0.53</v>
      </c>
      <c r="M59" s="153">
        <f t="shared" si="10"/>
        <v>11.36</v>
      </c>
      <c r="N59" s="166">
        <v>0.35</v>
      </c>
      <c r="O59" s="167">
        <v>0.1</v>
      </c>
      <c r="P59" s="168">
        <v>0</v>
      </c>
      <c r="Q59" s="309">
        <f t="shared" si="1"/>
        <v>126</v>
      </c>
      <c r="R59" s="152">
        <f t="shared" si="2"/>
        <v>282.96000000000004</v>
      </c>
      <c r="S59" s="154">
        <f t="shared" si="3"/>
        <v>126</v>
      </c>
      <c r="T59" s="169">
        <f t="shared" si="4"/>
        <v>19.080000000000002</v>
      </c>
      <c r="U59" s="153">
        <f t="shared" si="5"/>
        <v>408.96</v>
      </c>
      <c r="V59" s="166">
        <f t="shared" si="6"/>
        <v>12.6</v>
      </c>
      <c r="W59" s="167">
        <f t="shared" si="7"/>
        <v>3.6</v>
      </c>
      <c r="X59" s="168">
        <f t="shared" si="8"/>
        <v>0</v>
      </c>
      <c r="Y59" s="14"/>
    </row>
    <row r="60" spans="1:25" ht="12" customHeight="1">
      <c r="A60" s="232"/>
      <c r="B60" s="27"/>
      <c r="C60" s="24" t="s">
        <v>346</v>
      </c>
      <c r="D60" s="24" t="s">
        <v>996</v>
      </c>
      <c r="E60" s="25">
        <f>24+6</f>
        <v>30</v>
      </c>
      <c r="F60" s="27" t="s">
        <v>998</v>
      </c>
      <c r="G60" s="180">
        <v>32</v>
      </c>
      <c r="H60" s="150">
        <f t="shared" si="9"/>
        <v>960</v>
      </c>
      <c r="I60" s="306">
        <v>3.5</v>
      </c>
      <c r="J60" s="155">
        <v>7.86</v>
      </c>
      <c r="K60" s="156">
        <v>3.5</v>
      </c>
      <c r="L60" s="157">
        <v>0.53</v>
      </c>
      <c r="M60" s="153">
        <f t="shared" si="10"/>
        <v>11.36</v>
      </c>
      <c r="N60" s="166">
        <v>0.35</v>
      </c>
      <c r="O60" s="167">
        <v>0.1</v>
      </c>
      <c r="P60" s="168">
        <v>0</v>
      </c>
      <c r="Q60" s="309">
        <f t="shared" si="1"/>
        <v>105</v>
      </c>
      <c r="R60" s="152">
        <f t="shared" si="2"/>
        <v>235.8</v>
      </c>
      <c r="S60" s="154">
        <f t="shared" si="3"/>
        <v>105</v>
      </c>
      <c r="T60" s="169">
        <f t="shared" si="4"/>
        <v>15.9</v>
      </c>
      <c r="U60" s="153">
        <f t="shared" si="5"/>
        <v>340.79999999999995</v>
      </c>
      <c r="V60" s="166">
        <f t="shared" si="6"/>
        <v>10.5</v>
      </c>
      <c r="W60" s="167">
        <f t="shared" si="7"/>
        <v>3</v>
      </c>
      <c r="X60" s="168">
        <f t="shared" si="8"/>
        <v>0</v>
      </c>
      <c r="Y60" s="14"/>
    </row>
    <row r="61" spans="1:25" ht="12" customHeight="1">
      <c r="A61" s="232"/>
      <c r="B61" s="27"/>
      <c r="C61" s="24" t="s">
        <v>346</v>
      </c>
      <c r="D61" s="24" t="s">
        <v>996</v>
      </c>
      <c r="E61" s="25">
        <f>12+6</f>
        <v>18</v>
      </c>
      <c r="F61" s="27" t="s">
        <v>999</v>
      </c>
      <c r="G61" s="180">
        <v>35</v>
      </c>
      <c r="H61" s="150">
        <f t="shared" si="9"/>
        <v>630</v>
      </c>
      <c r="I61" s="306">
        <v>3.5</v>
      </c>
      <c r="J61" s="155">
        <v>7.86</v>
      </c>
      <c r="K61" s="156">
        <v>3.5</v>
      </c>
      <c r="L61" s="157">
        <v>0.53</v>
      </c>
      <c r="M61" s="153">
        <f t="shared" si="10"/>
        <v>11.36</v>
      </c>
      <c r="N61" s="166">
        <v>0.35</v>
      </c>
      <c r="O61" s="167">
        <v>0.1</v>
      </c>
      <c r="P61" s="168">
        <v>0</v>
      </c>
      <c r="Q61" s="309">
        <f t="shared" si="1"/>
        <v>63</v>
      </c>
      <c r="R61" s="152">
        <f t="shared" si="2"/>
        <v>141.48000000000002</v>
      </c>
      <c r="S61" s="154">
        <f t="shared" si="3"/>
        <v>63</v>
      </c>
      <c r="T61" s="169">
        <f t="shared" si="4"/>
        <v>9.5400000000000009</v>
      </c>
      <c r="U61" s="153">
        <f t="shared" si="5"/>
        <v>204.48</v>
      </c>
      <c r="V61" s="166">
        <f t="shared" si="6"/>
        <v>6.3</v>
      </c>
      <c r="W61" s="167">
        <f t="shared" si="7"/>
        <v>1.8</v>
      </c>
      <c r="X61" s="168">
        <f t="shared" si="8"/>
        <v>0</v>
      </c>
      <c r="Y61" s="14"/>
    </row>
    <row r="62" spans="1:25" ht="12" customHeight="1">
      <c r="A62" s="232"/>
      <c r="B62" s="27"/>
      <c r="C62" s="24" t="s">
        <v>346</v>
      </c>
      <c r="D62" s="24" t="s">
        <v>996</v>
      </c>
      <c r="E62" s="25">
        <f>36+12</f>
        <v>48</v>
      </c>
      <c r="F62" s="27" t="s">
        <v>1000</v>
      </c>
      <c r="G62" s="180">
        <v>38.5</v>
      </c>
      <c r="H62" s="150">
        <f t="shared" si="9"/>
        <v>1848</v>
      </c>
      <c r="I62" s="306">
        <v>3.5</v>
      </c>
      <c r="J62" s="155">
        <v>7.86</v>
      </c>
      <c r="K62" s="156">
        <v>3.5</v>
      </c>
      <c r="L62" s="157">
        <v>0.53</v>
      </c>
      <c r="M62" s="153">
        <f t="shared" si="10"/>
        <v>11.36</v>
      </c>
      <c r="N62" s="166">
        <v>0.35</v>
      </c>
      <c r="O62" s="167">
        <v>0.1</v>
      </c>
      <c r="P62" s="168">
        <v>0</v>
      </c>
      <c r="Q62" s="309">
        <f t="shared" si="1"/>
        <v>168</v>
      </c>
      <c r="R62" s="152">
        <f t="shared" si="2"/>
        <v>377.28000000000003</v>
      </c>
      <c r="S62" s="154">
        <f t="shared" si="3"/>
        <v>168</v>
      </c>
      <c r="T62" s="169">
        <f t="shared" si="4"/>
        <v>25.44</v>
      </c>
      <c r="U62" s="153">
        <f t="shared" si="5"/>
        <v>545.28</v>
      </c>
      <c r="V62" s="166">
        <f t="shared" si="6"/>
        <v>16.799999999999997</v>
      </c>
      <c r="W62" s="167">
        <f t="shared" si="7"/>
        <v>4.8000000000000007</v>
      </c>
      <c r="X62" s="168">
        <f t="shared" si="8"/>
        <v>0</v>
      </c>
      <c r="Y62" s="14"/>
    </row>
    <row r="63" spans="1:25" ht="12" customHeight="1">
      <c r="A63" s="232"/>
      <c r="B63" s="27"/>
      <c r="C63" s="24" t="s">
        <v>346</v>
      </c>
      <c r="D63" s="24" t="s">
        <v>996</v>
      </c>
      <c r="E63" s="25">
        <f>24+12</f>
        <v>36</v>
      </c>
      <c r="F63" s="27" t="s">
        <v>1001</v>
      </c>
      <c r="G63" s="180">
        <v>18</v>
      </c>
      <c r="H63" s="150">
        <f t="shared" si="9"/>
        <v>648</v>
      </c>
      <c r="I63" s="306">
        <v>4</v>
      </c>
      <c r="J63" s="155">
        <v>2.34</v>
      </c>
      <c r="K63" s="177">
        <v>1</v>
      </c>
      <c r="L63" s="157">
        <v>0.15</v>
      </c>
      <c r="M63" s="179">
        <f t="shared" si="10"/>
        <v>3.34</v>
      </c>
      <c r="N63" s="166">
        <v>0.35</v>
      </c>
      <c r="O63" s="167">
        <v>0.1</v>
      </c>
      <c r="P63" s="168">
        <v>0</v>
      </c>
      <c r="Q63" s="309">
        <f t="shared" si="1"/>
        <v>144</v>
      </c>
      <c r="R63" s="152">
        <f t="shared" si="2"/>
        <v>84.24</v>
      </c>
      <c r="S63" s="154">
        <f t="shared" si="3"/>
        <v>36</v>
      </c>
      <c r="T63" s="169">
        <f t="shared" si="4"/>
        <v>5.3999999999999995</v>
      </c>
      <c r="U63" s="153">
        <f t="shared" si="5"/>
        <v>120.24</v>
      </c>
      <c r="V63" s="166">
        <f t="shared" si="6"/>
        <v>12.6</v>
      </c>
      <c r="W63" s="167">
        <f t="shared" si="7"/>
        <v>3.6</v>
      </c>
      <c r="X63" s="168">
        <f t="shared" si="8"/>
        <v>0</v>
      </c>
      <c r="Y63" s="14"/>
    </row>
    <row r="64" spans="1:25" ht="12" customHeight="1">
      <c r="A64" s="232"/>
      <c r="B64" s="27"/>
      <c r="C64" s="24" t="s">
        <v>346</v>
      </c>
      <c r="D64" s="24" t="s">
        <v>996</v>
      </c>
      <c r="E64" s="25">
        <f>24+6</f>
        <v>30</v>
      </c>
      <c r="F64" s="27" t="s">
        <v>1002</v>
      </c>
      <c r="G64" s="180">
        <v>20</v>
      </c>
      <c r="H64" s="150">
        <f t="shared" si="9"/>
        <v>600</v>
      </c>
      <c r="I64" s="306">
        <v>4</v>
      </c>
      <c r="J64" s="155">
        <v>2.34</v>
      </c>
      <c r="K64" s="156">
        <v>1</v>
      </c>
      <c r="L64" s="157">
        <v>0.15</v>
      </c>
      <c r="M64" s="153">
        <f t="shared" si="10"/>
        <v>3.34</v>
      </c>
      <c r="N64" s="166">
        <v>0.35</v>
      </c>
      <c r="O64" s="167">
        <v>0.1</v>
      </c>
      <c r="P64" s="168">
        <v>0</v>
      </c>
      <c r="Q64" s="309">
        <f t="shared" si="1"/>
        <v>120</v>
      </c>
      <c r="R64" s="152">
        <f t="shared" si="2"/>
        <v>70.199999999999989</v>
      </c>
      <c r="S64" s="154">
        <f t="shared" si="3"/>
        <v>30</v>
      </c>
      <c r="T64" s="169">
        <f t="shared" si="4"/>
        <v>4.5</v>
      </c>
      <c r="U64" s="153">
        <f t="shared" si="5"/>
        <v>100.19999999999999</v>
      </c>
      <c r="V64" s="166">
        <f t="shared" si="6"/>
        <v>10.5</v>
      </c>
      <c r="W64" s="167">
        <f t="shared" si="7"/>
        <v>3</v>
      </c>
      <c r="X64" s="168">
        <f t="shared" si="8"/>
        <v>0</v>
      </c>
      <c r="Y64" s="14"/>
    </row>
    <row r="65" spans="1:25" ht="12" customHeight="1">
      <c r="A65" s="232"/>
      <c r="B65" s="27"/>
      <c r="C65" s="24" t="s">
        <v>346</v>
      </c>
      <c r="D65" s="24" t="s">
        <v>996</v>
      </c>
      <c r="E65" s="25">
        <f>12+6</f>
        <v>18</v>
      </c>
      <c r="F65" s="27" t="s">
        <v>1003</v>
      </c>
      <c r="G65" s="180">
        <v>22</v>
      </c>
      <c r="H65" s="150">
        <f t="shared" si="9"/>
        <v>396</v>
      </c>
      <c r="I65" s="306">
        <v>4</v>
      </c>
      <c r="J65" s="155">
        <v>2.34</v>
      </c>
      <c r="K65" s="156">
        <v>1</v>
      </c>
      <c r="L65" s="157">
        <v>0.15</v>
      </c>
      <c r="M65" s="153">
        <f t="shared" si="10"/>
        <v>3.34</v>
      </c>
      <c r="N65" s="166">
        <v>0.35</v>
      </c>
      <c r="O65" s="167">
        <v>0.1</v>
      </c>
      <c r="P65" s="168">
        <v>0</v>
      </c>
      <c r="Q65" s="309">
        <f t="shared" si="1"/>
        <v>72</v>
      </c>
      <c r="R65" s="152">
        <f t="shared" si="2"/>
        <v>42.12</v>
      </c>
      <c r="S65" s="154">
        <f t="shared" si="3"/>
        <v>18</v>
      </c>
      <c r="T65" s="169">
        <f t="shared" si="4"/>
        <v>2.6999999999999997</v>
      </c>
      <c r="U65" s="153">
        <f t="shared" si="5"/>
        <v>60.12</v>
      </c>
      <c r="V65" s="166">
        <f t="shared" si="6"/>
        <v>6.3</v>
      </c>
      <c r="W65" s="167">
        <f t="shared" si="7"/>
        <v>1.8</v>
      </c>
      <c r="X65" s="168">
        <f t="shared" si="8"/>
        <v>0</v>
      </c>
      <c r="Y65" s="14"/>
    </row>
    <row r="66" spans="1:25" ht="12" customHeight="1">
      <c r="A66" s="232"/>
      <c r="B66" s="27"/>
      <c r="C66" s="24" t="s">
        <v>346</v>
      </c>
      <c r="D66" s="24" t="s">
        <v>996</v>
      </c>
      <c r="E66" s="25">
        <f>36+12</f>
        <v>48</v>
      </c>
      <c r="F66" s="27" t="s">
        <v>1004</v>
      </c>
      <c r="G66" s="180">
        <v>25</v>
      </c>
      <c r="H66" s="150">
        <f t="shared" si="9"/>
        <v>1200</v>
      </c>
      <c r="I66" s="306">
        <v>4</v>
      </c>
      <c r="J66" s="155">
        <v>2.34</v>
      </c>
      <c r="K66" s="156">
        <v>1</v>
      </c>
      <c r="L66" s="157">
        <v>0.15</v>
      </c>
      <c r="M66" s="153">
        <f t="shared" si="10"/>
        <v>3.34</v>
      </c>
      <c r="N66" s="166">
        <v>0.35</v>
      </c>
      <c r="O66" s="167">
        <v>0.1</v>
      </c>
      <c r="P66" s="168">
        <v>0</v>
      </c>
      <c r="Q66" s="309">
        <f t="shared" si="1"/>
        <v>192</v>
      </c>
      <c r="R66" s="152">
        <f t="shared" si="2"/>
        <v>112.32</v>
      </c>
      <c r="S66" s="154">
        <f t="shared" si="3"/>
        <v>48</v>
      </c>
      <c r="T66" s="169">
        <f t="shared" si="4"/>
        <v>7.1999999999999993</v>
      </c>
      <c r="U66" s="153">
        <f t="shared" si="5"/>
        <v>160.32</v>
      </c>
      <c r="V66" s="166">
        <f t="shared" si="6"/>
        <v>16.799999999999997</v>
      </c>
      <c r="W66" s="167">
        <f t="shared" si="7"/>
        <v>4.8000000000000007</v>
      </c>
      <c r="X66" s="168">
        <f t="shared" si="8"/>
        <v>0</v>
      </c>
      <c r="Y66" s="14"/>
    </row>
    <row r="67" spans="1:25" ht="12" customHeight="1">
      <c r="A67" s="232">
        <v>40252</v>
      </c>
      <c r="B67" s="27">
        <v>381</v>
      </c>
      <c r="C67" s="24" t="s">
        <v>137</v>
      </c>
      <c r="D67" s="24" t="s">
        <v>138</v>
      </c>
      <c r="E67" s="25">
        <v>192</v>
      </c>
      <c r="F67" s="27" t="s">
        <v>1005</v>
      </c>
      <c r="G67" s="180">
        <v>8</v>
      </c>
      <c r="H67" s="150">
        <f t="shared" si="9"/>
        <v>1536</v>
      </c>
      <c r="I67" s="306">
        <v>0</v>
      </c>
      <c r="J67" s="155">
        <v>1.8</v>
      </c>
      <c r="K67" s="156">
        <v>4.5</v>
      </c>
      <c r="L67" s="157">
        <v>0.68</v>
      </c>
      <c r="M67" s="153">
        <f t="shared" si="10"/>
        <v>6.3</v>
      </c>
      <c r="N67" s="166">
        <v>0.35</v>
      </c>
      <c r="O67" s="167">
        <v>0.1</v>
      </c>
      <c r="P67" s="168">
        <v>0</v>
      </c>
      <c r="Q67" s="309">
        <f t="shared" si="1"/>
        <v>0</v>
      </c>
      <c r="R67" s="152">
        <f t="shared" si="2"/>
        <v>345.6</v>
      </c>
      <c r="S67" s="154">
        <f t="shared" si="3"/>
        <v>864</v>
      </c>
      <c r="T67" s="169">
        <f t="shared" si="4"/>
        <v>130.56</v>
      </c>
      <c r="U67" s="153">
        <f t="shared" si="5"/>
        <v>1209.5999999999999</v>
      </c>
      <c r="V67" s="166">
        <f t="shared" si="6"/>
        <v>67.199999999999989</v>
      </c>
      <c r="W67" s="167">
        <f t="shared" si="7"/>
        <v>19.200000000000003</v>
      </c>
      <c r="X67" s="168">
        <f t="shared" si="8"/>
        <v>0</v>
      </c>
      <c r="Y67" s="14"/>
    </row>
    <row r="68" spans="1:25" ht="12" customHeight="1">
      <c r="A68" s="232">
        <v>40252</v>
      </c>
      <c r="B68" s="27">
        <v>382</v>
      </c>
      <c r="C68" s="24" t="s">
        <v>872</v>
      </c>
      <c r="D68" s="24" t="s">
        <v>213</v>
      </c>
      <c r="E68" s="25">
        <v>5</v>
      </c>
      <c r="F68" s="27" t="s">
        <v>1006</v>
      </c>
      <c r="G68" s="180">
        <v>85</v>
      </c>
      <c r="H68" s="150">
        <f t="shared" si="9"/>
        <v>425</v>
      </c>
      <c r="I68" s="306">
        <v>8.5</v>
      </c>
      <c r="J68" s="155">
        <v>16.010000000000002</v>
      </c>
      <c r="K68" s="156">
        <v>4</v>
      </c>
      <c r="L68" s="157">
        <v>0.6</v>
      </c>
      <c r="M68" s="153">
        <f t="shared" si="10"/>
        <v>20.010000000000002</v>
      </c>
      <c r="N68" s="166">
        <v>0.35</v>
      </c>
      <c r="O68" s="167">
        <v>1</v>
      </c>
      <c r="P68" s="168">
        <v>0</v>
      </c>
      <c r="Q68" s="309">
        <f t="shared" si="1"/>
        <v>42.5</v>
      </c>
      <c r="R68" s="152">
        <f t="shared" si="2"/>
        <v>80.050000000000011</v>
      </c>
      <c r="S68" s="154">
        <f t="shared" si="3"/>
        <v>20</v>
      </c>
      <c r="T68" s="169">
        <f t="shared" si="4"/>
        <v>3</v>
      </c>
      <c r="U68" s="153">
        <f t="shared" si="5"/>
        <v>100.05000000000001</v>
      </c>
      <c r="V68" s="166">
        <f t="shared" si="6"/>
        <v>1.75</v>
      </c>
      <c r="W68" s="167">
        <f t="shared" si="7"/>
        <v>5</v>
      </c>
      <c r="X68" s="168">
        <f t="shared" si="8"/>
        <v>0</v>
      </c>
      <c r="Y68" s="14"/>
    </row>
    <row r="69" spans="1:25" ht="12" customHeight="1">
      <c r="A69" s="232"/>
      <c r="B69" s="27"/>
      <c r="C69" s="24" t="s">
        <v>872</v>
      </c>
      <c r="D69" s="24" t="s">
        <v>213</v>
      </c>
      <c r="E69" s="25">
        <v>5</v>
      </c>
      <c r="F69" s="27" t="s">
        <v>1007</v>
      </c>
      <c r="G69" s="180">
        <v>80</v>
      </c>
      <c r="H69" s="150">
        <f t="shared" si="9"/>
        <v>400</v>
      </c>
      <c r="I69" s="306">
        <v>8.5</v>
      </c>
      <c r="J69" s="155">
        <v>13.85</v>
      </c>
      <c r="K69" s="156">
        <v>4</v>
      </c>
      <c r="L69" s="157">
        <v>0.6</v>
      </c>
      <c r="M69" s="153">
        <f t="shared" si="10"/>
        <v>17.850000000000001</v>
      </c>
      <c r="N69" s="166">
        <v>0.35</v>
      </c>
      <c r="O69" s="167">
        <v>1</v>
      </c>
      <c r="P69" s="168">
        <v>0</v>
      </c>
      <c r="Q69" s="309">
        <f t="shared" si="1"/>
        <v>42.5</v>
      </c>
      <c r="R69" s="152">
        <f t="shared" si="2"/>
        <v>69.25</v>
      </c>
      <c r="S69" s="154">
        <f t="shared" si="3"/>
        <v>20</v>
      </c>
      <c r="T69" s="169">
        <f t="shared" si="4"/>
        <v>3</v>
      </c>
      <c r="U69" s="153">
        <f t="shared" si="5"/>
        <v>89.25</v>
      </c>
      <c r="V69" s="166">
        <f t="shared" si="6"/>
        <v>1.75</v>
      </c>
      <c r="W69" s="167">
        <f t="shared" si="7"/>
        <v>5</v>
      </c>
      <c r="X69" s="168">
        <f t="shared" si="8"/>
        <v>0</v>
      </c>
      <c r="Y69" s="14"/>
    </row>
    <row r="70" spans="1:25" ht="12" customHeight="1">
      <c r="A70" s="232">
        <v>40253</v>
      </c>
      <c r="B70" s="27">
        <v>383</v>
      </c>
      <c r="C70" s="24" t="s">
        <v>1008</v>
      </c>
      <c r="D70" s="24" t="s">
        <v>1009</v>
      </c>
      <c r="E70" s="25">
        <v>24</v>
      </c>
      <c r="F70" s="27" t="s">
        <v>1010</v>
      </c>
      <c r="G70" s="180">
        <v>43.5</v>
      </c>
      <c r="H70" s="150">
        <f t="shared" si="9"/>
        <v>1044</v>
      </c>
      <c r="I70" s="306">
        <v>3.5</v>
      </c>
      <c r="J70" s="155">
        <v>8.9600000000000009</v>
      </c>
      <c r="K70" s="156">
        <v>4</v>
      </c>
      <c r="L70" s="157">
        <v>0.6</v>
      </c>
      <c r="M70" s="153">
        <f t="shared" si="10"/>
        <v>12.96</v>
      </c>
      <c r="N70" s="166">
        <v>0.35</v>
      </c>
      <c r="O70" s="167">
        <v>0.1</v>
      </c>
      <c r="P70" s="168">
        <v>0</v>
      </c>
      <c r="Q70" s="309">
        <f t="shared" si="1"/>
        <v>84</v>
      </c>
      <c r="R70" s="152">
        <f t="shared" si="2"/>
        <v>215.04000000000002</v>
      </c>
      <c r="S70" s="154">
        <f t="shared" si="3"/>
        <v>96</v>
      </c>
      <c r="T70" s="169">
        <f t="shared" si="4"/>
        <v>14.399999999999999</v>
      </c>
      <c r="U70" s="153">
        <f t="shared" si="5"/>
        <v>311.04000000000002</v>
      </c>
      <c r="V70" s="166">
        <f t="shared" si="6"/>
        <v>8.3999999999999986</v>
      </c>
      <c r="W70" s="167">
        <f t="shared" si="7"/>
        <v>2.4000000000000004</v>
      </c>
      <c r="X70" s="168">
        <f t="shared" si="8"/>
        <v>0</v>
      </c>
      <c r="Y70" s="14"/>
    </row>
    <row r="71" spans="1:25" ht="12" customHeight="1">
      <c r="A71" s="232">
        <v>40253</v>
      </c>
      <c r="B71" s="27">
        <v>384</v>
      </c>
      <c r="C71" s="24" t="s">
        <v>518</v>
      </c>
      <c r="D71" s="24" t="s">
        <v>42</v>
      </c>
      <c r="E71" s="25">
        <v>21</v>
      </c>
      <c r="F71" s="27" t="s">
        <v>1011</v>
      </c>
      <c r="G71" s="180">
        <v>38</v>
      </c>
      <c r="H71" s="150">
        <f t="shared" si="9"/>
        <v>798</v>
      </c>
      <c r="I71" s="306">
        <v>3.5</v>
      </c>
      <c r="J71" s="155">
        <v>5.21</v>
      </c>
      <c r="K71" s="156">
        <v>3.5</v>
      </c>
      <c r="L71" s="157">
        <v>0.53</v>
      </c>
      <c r="M71" s="153">
        <f t="shared" si="10"/>
        <v>8.7100000000000009</v>
      </c>
      <c r="N71" s="166">
        <v>0.35</v>
      </c>
      <c r="O71" s="167">
        <v>0.1</v>
      </c>
      <c r="P71" s="168">
        <v>0</v>
      </c>
      <c r="Q71" s="309">
        <f t="shared" si="1"/>
        <v>73.5</v>
      </c>
      <c r="R71" s="152">
        <f t="shared" si="2"/>
        <v>109.41</v>
      </c>
      <c r="S71" s="154">
        <f t="shared" si="3"/>
        <v>73.5</v>
      </c>
      <c r="T71" s="169">
        <f t="shared" si="4"/>
        <v>11.13</v>
      </c>
      <c r="U71" s="153">
        <f t="shared" si="5"/>
        <v>182.91000000000003</v>
      </c>
      <c r="V71" s="166">
        <f t="shared" si="6"/>
        <v>7.35</v>
      </c>
      <c r="W71" s="167">
        <f t="shared" si="7"/>
        <v>2.1</v>
      </c>
      <c r="X71" s="168">
        <f t="shared" si="8"/>
        <v>0</v>
      </c>
      <c r="Y71" s="14"/>
    </row>
    <row r="72" spans="1:25" ht="12" customHeight="1">
      <c r="A72" s="232"/>
      <c r="B72" s="27"/>
      <c r="C72" s="24" t="s">
        <v>518</v>
      </c>
      <c r="D72" s="24" t="s">
        <v>42</v>
      </c>
      <c r="E72" s="25">
        <v>3</v>
      </c>
      <c r="F72" s="27" t="s">
        <v>1012</v>
      </c>
      <c r="G72" s="180">
        <v>38</v>
      </c>
      <c r="H72" s="150">
        <f t="shared" si="9"/>
        <v>114</v>
      </c>
      <c r="I72" s="306">
        <v>3.5</v>
      </c>
      <c r="J72" s="155">
        <v>9.11</v>
      </c>
      <c r="K72" s="156">
        <v>3.5</v>
      </c>
      <c r="L72" s="157">
        <v>1.53</v>
      </c>
      <c r="M72" s="153">
        <f t="shared" ref="M72:M82" si="11">J72+K72</f>
        <v>12.61</v>
      </c>
      <c r="N72" s="166">
        <v>0.35</v>
      </c>
      <c r="O72" s="167">
        <v>0.1</v>
      </c>
      <c r="P72" s="168">
        <v>0</v>
      </c>
      <c r="Q72" s="309">
        <f t="shared" si="1"/>
        <v>10.5</v>
      </c>
      <c r="R72" s="152">
        <f t="shared" si="2"/>
        <v>27.33</v>
      </c>
      <c r="S72" s="154">
        <f t="shared" si="3"/>
        <v>10.5</v>
      </c>
      <c r="T72" s="169">
        <f t="shared" si="4"/>
        <v>4.59</v>
      </c>
      <c r="U72" s="153">
        <f t="shared" si="5"/>
        <v>37.83</v>
      </c>
      <c r="V72" s="166">
        <f t="shared" si="6"/>
        <v>1.0499999999999998</v>
      </c>
      <c r="W72" s="167">
        <f t="shared" si="7"/>
        <v>0.30000000000000004</v>
      </c>
      <c r="X72" s="168">
        <f t="shared" si="8"/>
        <v>0</v>
      </c>
      <c r="Y72" s="15"/>
    </row>
    <row r="73" spans="1:25" ht="12" customHeight="1">
      <c r="A73" s="232"/>
      <c r="B73" s="27"/>
      <c r="C73" s="24" t="s">
        <v>518</v>
      </c>
      <c r="D73" s="24" t="s">
        <v>42</v>
      </c>
      <c r="E73" s="25">
        <v>21</v>
      </c>
      <c r="F73" s="27" t="s">
        <v>1013</v>
      </c>
      <c r="G73" s="180">
        <v>38</v>
      </c>
      <c r="H73" s="150">
        <f t="shared" si="9"/>
        <v>798</v>
      </c>
      <c r="I73" s="306">
        <v>3.5</v>
      </c>
      <c r="J73" s="155">
        <v>5.21</v>
      </c>
      <c r="K73" s="156">
        <v>3.5</v>
      </c>
      <c r="L73" s="157">
        <v>2.5299999999999998</v>
      </c>
      <c r="M73" s="153">
        <f t="shared" si="11"/>
        <v>8.7100000000000009</v>
      </c>
      <c r="N73" s="166">
        <v>0.35</v>
      </c>
      <c r="O73" s="167">
        <v>0.1</v>
      </c>
      <c r="P73" s="168">
        <v>0</v>
      </c>
      <c r="Q73" s="309">
        <f t="shared" si="1"/>
        <v>73.5</v>
      </c>
      <c r="R73" s="152">
        <f t="shared" si="2"/>
        <v>109.41</v>
      </c>
      <c r="S73" s="154">
        <f t="shared" si="3"/>
        <v>73.5</v>
      </c>
      <c r="T73" s="169">
        <f t="shared" si="4"/>
        <v>53.129999999999995</v>
      </c>
      <c r="U73" s="153">
        <f t="shared" si="5"/>
        <v>182.91000000000003</v>
      </c>
      <c r="V73" s="166">
        <f t="shared" si="6"/>
        <v>7.35</v>
      </c>
      <c r="W73" s="167">
        <f t="shared" si="7"/>
        <v>2.1</v>
      </c>
      <c r="X73" s="168">
        <f t="shared" si="8"/>
        <v>0</v>
      </c>
      <c r="Y73" s="14"/>
    </row>
    <row r="74" spans="1:25" ht="12" customHeight="1">
      <c r="A74" s="232"/>
      <c r="B74" s="27"/>
      <c r="C74" s="24" t="s">
        <v>518</v>
      </c>
      <c r="D74" s="24" t="s">
        <v>42</v>
      </c>
      <c r="E74" s="25">
        <v>3</v>
      </c>
      <c r="F74" s="27" t="s">
        <v>1014</v>
      </c>
      <c r="G74" s="180">
        <v>38</v>
      </c>
      <c r="H74" s="150">
        <f t="shared" si="9"/>
        <v>114</v>
      </c>
      <c r="I74" s="306">
        <v>3.5</v>
      </c>
      <c r="J74" s="155">
        <v>9.11</v>
      </c>
      <c r="K74" s="156">
        <v>3.5</v>
      </c>
      <c r="L74" s="157">
        <v>3.53</v>
      </c>
      <c r="M74" s="153">
        <f t="shared" si="11"/>
        <v>12.61</v>
      </c>
      <c r="N74" s="166">
        <v>0.35</v>
      </c>
      <c r="O74" s="167">
        <v>0.1</v>
      </c>
      <c r="P74" s="168">
        <v>0</v>
      </c>
      <c r="Q74" s="309">
        <f t="shared" si="1"/>
        <v>10.5</v>
      </c>
      <c r="R74" s="152">
        <f t="shared" si="2"/>
        <v>27.33</v>
      </c>
      <c r="S74" s="154">
        <f t="shared" si="3"/>
        <v>10.5</v>
      </c>
      <c r="T74" s="169">
        <f t="shared" si="4"/>
        <v>10.59</v>
      </c>
      <c r="U74" s="153">
        <f t="shared" si="5"/>
        <v>37.83</v>
      </c>
      <c r="V74" s="166">
        <f t="shared" si="6"/>
        <v>1.0499999999999998</v>
      </c>
      <c r="W74" s="167">
        <f t="shared" si="7"/>
        <v>0.30000000000000004</v>
      </c>
      <c r="X74" s="168">
        <f t="shared" si="8"/>
        <v>0</v>
      </c>
      <c r="Y74" s="14"/>
    </row>
    <row r="75" spans="1:25" ht="12" customHeight="1">
      <c r="A75" s="232"/>
      <c r="B75" s="27"/>
      <c r="C75" s="24" t="s">
        <v>518</v>
      </c>
      <c r="D75" s="24" t="s">
        <v>42</v>
      </c>
      <c r="E75" s="25">
        <v>24</v>
      </c>
      <c r="F75" s="27" t="s">
        <v>1015</v>
      </c>
      <c r="G75" s="180">
        <v>38</v>
      </c>
      <c r="H75" s="150">
        <f t="shared" ref="H75:H98" si="12">E75*G75</f>
        <v>912</v>
      </c>
      <c r="I75" s="306">
        <v>3.5</v>
      </c>
      <c r="J75" s="155">
        <v>5.21</v>
      </c>
      <c r="K75" s="156">
        <v>3.5</v>
      </c>
      <c r="L75" s="157">
        <v>4.53</v>
      </c>
      <c r="M75" s="153">
        <f t="shared" si="11"/>
        <v>8.7100000000000009</v>
      </c>
      <c r="N75" s="166">
        <v>0.35</v>
      </c>
      <c r="O75" s="167">
        <v>0.1</v>
      </c>
      <c r="P75" s="168">
        <v>0</v>
      </c>
      <c r="Q75" s="309">
        <f t="shared" si="1"/>
        <v>84</v>
      </c>
      <c r="R75" s="152">
        <f t="shared" si="2"/>
        <v>125.03999999999999</v>
      </c>
      <c r="S75" s="154">
        <f t="shared" si="3"/>
        <v>84</v>
      </c>
      <c r="T75" s="169">
        <f t="shared" si="4"/>
        <v>108.72</v>
      </c>
      <c r="U75" s="153">
        <f t="shared" si="5"/>
        <v>209.04000000000002</v>
      </c>
      <c r="V75" s="166">
        <f t="shared" si="6"/>
        <v>8.3999999999999986</v>
      </c>
      <c r="W75" s="167">
        <f t="shared" si="7"/>
        <v>2.4000000000000004</v>
      </c>
      <c r="X75" s="168">
        <f t="shared" si="8"/>
        <v>0</v>
      </c>
      <c r="Y75" s="14"/>
    </row>
    <row r="76" spans="1:25" ht="12" customHeight="1">
      <c r="A76" s="232"/>
      <c r="B76" s="27"/>
      <c r="C76" s="24" t="s">
        <v>518</v>
      </c>
      <c r="D76" s="24" t="s">
        <v>42</v>
      </c>
      <c r="E76" s="25">
        <v>21</v>
      </c>
      <c r="F76" s="27" t="s">
        <v>1016</v>
      </c>
      <c r="G76" s="180">
        <v>38</v>
      </c>
      <c r="H76" s="150">
        <f t="shared" si="12"/>
        <v>798</v>
      </c>
      <c r="I76" s="306">
        <v>3.5</v>
      </c>
      <c r="J76" s="155">
        <v>5.21</v>
      </c>
      <c r="K76" s="156">
        <v>3.5</v>
      </c>
      <c r="L76" s="157">
        <v>5.53</v>
      </c>
      <c r="M76" s="153">
        <f t="shared" si="11"/>
        <v>8.7100000000000009</v>
      </c>
      <c r="N76" s="166">
        <v>0.35</v>
      </c>
      <c r="O76" s="167">
        <v>0.1</v>
      </c>
      <c r="P76" s="168">
        <v>0</v>
      </c>
      <c r="Q76" s="309">
        <f t="shared" si="1"/>
        <v>73.5</v>
      </c>
      <c r="R76" s="152">
        <f t="shared" si="2"/>
        <v>109.41</v>
      </c>
      <c r="S76" s="154">
        <f t="shared" si="3"/>
        <v>73.5</v>
      </c>
      <c r="T76" s="169">
        <f t="shared" si="4"/>
        <v>116.13000000000001</v>
      </c>
      <c r="U76" s="153">
        <f t="shared" si="5"/>
        <v>182.91000000000003</v>
      </c>
      <c r="V76" s="166">
        <f t="shared" si="6"/>
        <v>7.35</v>
      </c>
      <c r="W76" s="167">
        <f t="shared" si="7"/>
        <v>2.1</v>
      </c>
      <c r="X76" s="168">
        <f t="shared" si="8"/>
        <v>0</v>
      </c>
      <c r="Y76" s="14"/>
    </row>
    <row r="77" spans="1:25" ht="12" customHeight="1">
      <c r="A77" s="232"/>
      <c r="B77" s="27"/>
      <c r="C77" s="24" t="s">
        <v>518</v>
      </c>
      <c r="D77" s="24" t="s">
        <v>42</v>
      </c>
      <c r="E77" s="25">
        <v>3</v>
      </c>
      <c r="F77" s="27" t="s">
        <v>1017</v>
      </c>
      <c r="G77" s="180">
        <v>38</v>
      </c>
      <c r="H77" s="150">
        <f t="shared" si="12"/>
        <v>114</v>
      </c>
      <c r="I77" s="306">
        <v>3.5</v>
      </c>
      <c r="J77" s="155">
        <v>9.11</v>
      </c>
      <c r="K77" s="156">
        <v>3.5</v>
      </c>
      <c r="L77" s="157">
        <v>6.53</v>
      </c>
      <c r="M77" s="153">
        <f t="shared" si="11"/>
        <v>12.61</v>
      </c>
      <c r="N77" s="166">
        <v>0.35</v>
      </c>
      <c r="O77" s="167">
        <v>0.1</v>
      </c>
      <c r="P77" s="168">
        <v>0</v>
      </c>
      <c r="Q77" s="309">
        <f t="shared" ref="Q77:Q98" si="13">E77*I77</f>
        <v>10.5</v>
      </c>
      <c r="R77" s="152">
        <f t="shared" ref="R77:R98" si="14">E77*J77</f>
        <v>27.33</v>
      </c>
      <c r="S77" s="154">
        <f t="shared" ref="S77:S98" si="15">E77*K77</f>
        <v>10.5</v>
      </c>
      <c r="T77" s="169">
        <f t="shared" ref="T77:T98" si="16">E77*L77</f>
        <v>19.59</v>
      </c>
      <c r="U77" s="153">
        <f t="shared" ref="U77:U98" si="17">E77*M77</f>
        <v>37.83</v>
      </c>
      <c r="V77" s="166">
        <f t="shared" ref="V77:V98" si="18">N77*E77</f>
        <v>1.0499999999999998</v>
      </c>
      <c r="W77" s="167">
        <f t="shared" ref="W77:W98" si="19">O77*E77</f>
        <v>0.30000000000000004</v>
      </c>
      <c r="X77" s="168">
        <f t="shared" ref="X77:X98" si="20">P77*E77</f>
        <v>0</v>
      </c>
      <c r="Y77" s="14"/>
    </row>
    <row r="78" spans="1:25" ht="12" customHeight="1">
      <c r="A78" s="232"/>
      <c r="B78" s="27"/>
      <c r="C78" s="24" t="s">
        <v>518</v>
      </c>
      <c r="D78" s="24" t="s">
        <v>42</v>
      </c>
      <c r="E78" s="25">
        <v>18</v>
      </c>
      <c r="F78" s="27" t="s">
        <v>1018</v>
      </c>
      <c r="G78" s="180">
        <v>38</v>
      </c>
      <c r="H78" s="150">
        <f t="shared" si="12"/>
        <v>684</v>
      </c>
      <c r="I78" s="306">
        <v>3.5</v>
      </c>
      <c r="J78" s="155">
        <v>5.21</v>
      </c>
      <c r="K78" s="156">
        <v>3.5</v>
      </c>
      <c r="L78" s="157">
        <v>7.53</v>
      </c>
      <c r="M78" s="153">
        <f t="shared" si="11"/>
        <v>8.7100000000000009</v>
      </c>
      <c r="N78" s="166">
        <v>0.35</v>
      </c>
      <c r="O78" s="167">
        <v>0.1</v>
      </c>
      <c r="P78" s="168">
        <v>0</v>
      </c>
      <c r="Q78" s="309">
        <f t="shared" si="13"/>
        <v>63</v>
      </c>
      <c r="R78" s="178">
        <f t="shared" si="14"/>
        <v>93.78</v>
      </c>
      <c r="S78" s="154">
        <f t="shared" si="15"/>
        <v>63</v>
      </c>
      <c r="T78" s="169">
        <f t="shared" si="16"/>
        <v>135.54</v>
      </c>
      <c r="U78" s="179">
        <f t="shared" si="17"/>
        <v>156.78000000000003</v>
      </c>
      <c r="V78" s="166">
        <f t="shared" si="18"/>
        <v>6.3</v>
      </c>
      <c r="W78" s="167">
        <f t="shared" si="19"/>
        <v>1.8</v>
      </c>
      <c r="X78" s="168">
        <f t="shared" si="20"/>
        <v>0</v>
      </c>
      <c r="Y78" s="14"/>
    </row>
    <row r="79" spans="1:25" ht="12" customHeight="1">
      <c r="A79" s="232"/>
      <c r="B79" s="27"/>
      <c r="C79" s="24" t="s">
        <v>518</v>
      </c>
      <c r="D79" s="24" t="s">
        <v>42</v>
      </c>
      <c r="E79" s="25">
        <v>6</v>
      </c>
      <c r="F79" s="27" t="s">
        <v>1019</v>
      </c>
      <c r="G79" s="180">
        <v>38</v>
      </c>
      <c r="H79" s="150">
        <f t="shared" si="12"/>
        <v>228</v>
      </c>
      <c r="I79" s="306">
        <v>3.5</v>
      </c>
      <c r="J79" s="155">
        <v>9.11</v>
      </c>
      <c r="K79" s="156">
        <v>3.5</v>
      </c>
      <c r="L79" s="157">
        <v>8.5299999999999994</v>
      </c>
      <c r="M79" s="153">
        <f t="shared" si="11"/>
        <v>12.61</v>
      </c>
      <c r="N79" s="166">
        <v>0.35</v>
      </c>
      <c r="O79" s="167">
        <v>0.1</v>
      </c>
      <c r="P79" s="168">
        <v>0</v>
      </c>
      <c r="Q79" s="309">
        <f t="shared" si="13"/>
        <v>21</v>
      </c>
      <c r="R79" s="152">
        <f t="shared" si="14"/>
        <v>54.66</v>
      </c>
      <c r="S79" s="154">
        <f t="shared" si="15"/>
        <v>21</v>
      </c>
      <c r="T79" s="169">
        <f t="shared" si="16"/>
        <v>51.179999999999993</v>
      </c>
      <c r="U79" s="153">
        <f t="shared" si="17"/>
        <v>75.66</v>
      </c>
      <c r="V79" s="166">
        <f t="shared" si="18"/>
        <v>2.0999999999999996</v>
      </c>
      <c r="W79" s="167">
        <f t="shared" si="19"/>
        <v>0.60000000000000009</v>
      </c>
      <c r="X79" s="168">
        <f t="shared" si="20"/>
        <v>0</v>
      </c>
      <c r="Y79" s="14"/>
    </row>
    <row r="80" spans="1:25" ht="12" customHeight="1">
      <c r="A80" s="232"/>
      <c r="B80" s="27"/>
      <c r="C80" s="24" t="s">
        <v>518</v>
      </c>
      <c r="D80" s="24" t="s">
        <v>42</v>
      </c>
      <c r="E80" s="25">
        <v>12</v>
      </c>
      <c r="F80" s="27" t="s">
        <v>1020</v>
      </c>
      <c r="G80" s="180">
        <v>38</v>
      </c>
      <c r="H80" s="150">
        <f t="shared" si="12"/>
        <v>456</v>
      </c>
      <c r="I80" s="306">
        <v>3.5</v>
      </c>
      <c r="J80" s="155">
        <v>5.21</v>
      </c>
      <c r="K80" s="156">
        <v>3.5</v>
      </c>
      <c r="L80" s="157">
        <v>9.5299999999999994</v>
      </c>
      <c r="M80" s="153">
        <f t="shared" si="11"/>
        <v>8.7100000000000009</v>
      </c>
      <c r="N80" s="166">
        <v>0.35</v>
      </c>
      <c r="O80" s="167">
        <v>0.1</v>
      </c>
      <c r="P80" s="168">
        <v>0</v>
      </c>
      <c r="Q80" s="309">
        <f t="shared" si="13"/>
        <v>42</v>
      </c>
      <c r="R80" s="152">
        <f t="shared" si="14"/>
        <v>62.519999999999996</v>
      </c>
      <c r="S80" s="154">
        <f t="shared" si="15"/>
        <v>42</v>
      </c>
      <c r="T80" s="169">
        <f t="shared" si="16"/>
        <v>114.35999999999999</v>
      </c>
      <c r="U80" s="153">
        <f t="shared" si="17"/>
        <v>104.52000000000001</v>
      </c>
      <c r="V80" s="166">
        <f t="shared" si="18"/>
        <v>4.1999999999999993</v>
      </c>
      <c r="W80" s="167">
        <f t="shared" si="19"/>
        <v>1.2000000000000002</v>
      </c>
      <c r="X80" s="168">
        <f t="shared" si="20"/>
        <v>0</v>
      </c>
      <c r="Y80" s="14"/>
    </row>
    <row r="81" spans="1:25" ht="12" customHeight="1">
      <c r="A81" s="232"/>
      <c r="B81" s="27"/>
      <c r="C81" s="24" t="s">
        <v>518</v>
      </c>
      <c r="D81" s="24" t="s">
        <v>42</v>
      </c>
      <c r="E81" s="25">
        <f>9+1</f>
        <v>10</v>
      </c>
      <c r="F81" s="27" t="s">
        <v>1021</v>
      </c>
      <c r="G81" s="180">
        <v>38</v>
      </c>
      <c r="H81" s="150">
        <f t="shared" si="12"/>
        <v>380</v>
      </c>
      <c r="I81" s="306">
        <v>3.5</v>
      </c>
      <c r="J81" s="155">
        <v>5.21</v>
      </c>
      <c r="K81" s="156">
        <v>3.5</v>
      </c>
      <c r="L81" s="182">
        <v>10.53</v>
      </c>
      <c r="M81" s="153">
        <f t="shared" si="11"/>
        <v>8.7100000000000009</v>
      </c>
      <c r="N81" s="166">
        <v>0.35</v>
      </c>
      <c r="O81" s="167">
        <v>0.1</v>
      </c>
      <c r="P81" s="168">
        <v>0</v>
      </c>
      <c r="Q81" s="309">
        <f t="shared" si="13"/>
        <v>35</v>
      </c>
      <c r="R81" s="152">
        <f t="shared" si="14"/>
        <v>52.1</v>
      </c>
      <c r="S81" s="154">
        <f t="shared" si="15"/>
        <v>35</v>
      </c>
      <c r="T81" s="169">
        <f t="shared" si="16"/>
        <v>105.3</v>
      </c>
      <c r="U81" s="153">
        <f t="shared" si="17"/>
        <v>87.100000000000009</v>
      </c>
      <c r="V81" s="166">
        <f t="shared" si="18"/>
        <v>3.5</v>
      </c>
      <c r="W81" s="167">
        <f t="shared" si="19"/>
        <v>1</v>
      </c>
      <c r="X81" s="168">
        <f t="shared" si="20"/>
        <v>0</v>
      </c>
      <c r="Y81" s="14"/>
    </row>
    <row r="82" spans="1:25" ht="12" customHeight="1">
      <c r="A82" s="232"/>
      <c r="B82" s="27"/>
      <c r="C82" s="24" t="s">
        <v>518</v>
      </c>
      <c r="D82" s="24" t="s">
        <v>42</v>
      </c>
      <c r="E82" s="25">
        <v>6</v>
      </c>
      <c r="F82" s="27" t="s">
        <v>1022</v>
      </c>
      <c r="G82" s="180">
        <v>38</v>
      </c>
      <c r="H82" s="150">
        <f t="shared" si="12"/>
        <v>228</v>
      </c>
      <c r="I82" s="307">
        <v>3.5</v>
      </c>
      <c r="J82" s="155">
        <v>9.11</v>
      </c>
      <c r="K82" s="156">
        <v>3.5</v>
      </c>
      <c r="L82" s="182">
        <v>11.53</v>
      </c>
      <c r="M82" s="153">
        <f t="shared" si="11"/>
        <v>12.61</v>
      </c>
      <c r="N82" s="166">
        <v>0.35</v>
      </c>
      <c r="O82" s="167">
        <v>0.1</v>
      </c>
      <c r="P82" s="168">
        <v>0</v>
      </c>
      <c r="Q82" s="309">
        <f t="shared" si="13"/>
        <v>21</v>
      </c>
      <c r="R82" s="152">
        <f t="shared" si="14"/>
        <v>54.66</v>
      </c>
      <c r="S82" s="154">
        <f t="shared" si="15"/>
        <v>21</v>
      </c>
      <c r="T82" s="169">
        <f t="shared" si="16"/>
        <v>69.179999999999993</v>
      </c>
      <c r="U82" s="153">
        <f t="shared" si="17"/>
        <v>75.66</v>
      </c>
      <c r="V82" s="166">
        <f t="shared" si="18"/>
        <v>2.0999999999999996</v>
      </c>
      <c r="W82" s="167">
        <f t="shared" si="19"/>
        <v>0.60000000000000009</v>
      </c>
      <c r="X82" s="168">
        <f t="shared" si="20"/>
        <v>0</v>
      </c>
      <c r="Y82" s="14"/>
    </row>
    <row r="83" spans="1:25" ht="12" customHeight="1">
      <c r="A83" s="232"/>
      <c r="B83" s="27"/>
      <c r="C83" s="24" t="s">
        <v>518</v>
      </c>
      <c r="D83" s="24" t="s">
        <v>42</v>
      </c>
      <c r="E83" s="25">
        <v>8</v>
      </c>
      <c r="F83" s="27" t="s">
        <v>1023</v>
      </c>
      <c r="G83" s="180">
        <v>16.5</v>
      </c>
      <c r="H83" s="150">
        <f t="shared" si="12"/>
        <v>132</v>
      </c>
      <c r="I83" s="306">
        <v>1</v>
      </c>
      <c r="J83" s="155">
        <v>2.92</v>
      </c>
      <c r="K83" s="156">
        <v>2.5</v>
      </c>
      <c r="L83" s="157">
        <v>0.38</v>
      </c>
      <c r="M83" s="153">
        <f>J83+K83</f>
        <v>5.42</v>
      </c>
      <c r="N83" s="166">
        <v>0.1</v>
      </c>
      <c r="O83" s="167">
        <v>0.1</v>
      </c>
      <c r="P83" s="168">
        <v>0</v>
      </c>
      <c r="Q83" s="309">
        <f t="shared" si="13"/>
        <v>8</v>
      </c>
      <c r="R83" s="152">
        <f t="shared" si="14"/>
        <v>23.36</v>
      </c>
      <c r="S83" s="154">
        <f t="shared" si="15"/>
        <v>20</v>
      </c>
      <c r="T83" s="169">
        <f t="shared" si="16"/>
        <v>3.04</v>
      </c>
      <c r="U83" s="153">
        <f t="shared" si="17"/>
        <v>43.36</v>
      </c>
      <c r="V83" s="166">
        <f t="shared" si="18"/>
        <v>0.8</v>
      </c>
      <c r="W83" s="167">
        <f t="shared" si="19"/>
        <v>0.8</v>
      </c>
      <c r="X83" s="168">
        <f t="shared" si="20"/>
        <v>0</v>
      </c>
      <c r="Y83" s="14"/>
    </row>
    <row r="84" spans="1:25" ht="12" customHeight="1">
      <c r="A84" s="232"/>
      <c r="B84" s="27"/>
      <c r="C84" s="24" t="s">
        <v>518</v>
      </c>
      <c r="D84" s="24" t="s">
        <v>42</v>
      </c>
      <c r="E84" s="25">
        <v>8</v>
      </c>
      <c r="F84" s="27" t="s">
        <v>1024</v>
      </c>
      <c r="G84" s="180">
        <v>16.5</v>
      </c>
      <c r="H84" s="150">
        <f t="shared" si="12"/>
        <v>132</v>
      </c>
      <c r="I84" s="306">
        <v>1</v>
      </c>
      <c r="J84" s="155">
        <v>2.92</v>
      </c>
      <c r="K84" s="156">
        <v>2.5</v>
      </c>
      <c r="L84" s="157">
        <v>0.38</v>
      </c>
      <c r="M84" s="153">
        <f t="shared" ref="M84:M89" si="21">J84+K84</f>
        <v>5.42</v>
      </c>
      <c r="N84" s="166">
        <v>0.1</v>
      </c>
      <c r="O84" s="167">
        <v>0.1</v>
      </c>
      <c r="P84" s="168">
        <v>0</v>
      </c>
      <c r="Q84" s="309">
        <f t="shared" si="13"/>
        <v>8</v>
      </c>
      <c r="R84" s="152">
        <f t="shared" si="14"/>
        <v>23.36</v>
      </c>
      <c r="S84" s="154">
        <f t="shared" si="15"/>
        <v>20</v>
      </c>
      <c r="T84" s="169">
        <f t="shared" si="16"/>
        <v>3.04</v>
      </c>
      <c r="U84" s="153">
        <f t="shared" si="17"/>
        <v>43.36</v>
      </c>
      <c r="V84" s="166">
        <f t="shared" si="18"/>
        <v>0.8</v>
      </c>
      <c r="W84" s="167">
        <f t="shared" si="19"/>
        <v>0.8</v>
      </c>
      <c r="X84" s="168">
        <f t="shared" si="20"/>
        <v>0</v>
      </c>
      <c r="Y84" s="14"/>
    </row>
    <row r="85" spans="1:25" ht="12" customHeight="1">
      <c r="A85" s="232"/>
      <c r="B85" s="27"/>
      <c r="C85" s="24" t="s">
        <v>518</v>
      </c>
      <c r="D85" s="24" t="s">
        <v>42</v>
      </c>
      <c r="E85" s="25">
        <v>8</v>
      </c>
      <c r="F85" s="27" t="s">
        <v>1025</v>
      </c>
      <c r="G85" s="180">
        <v>16.5</v>
      </c>
      <c r="H85" s="150">
        <f t="shared" si="12"/>
        <v>132</v>
      </c>
      <c r="I85" s="306">
        <v>1</v>
      </c>
      <c r="J85" s="155">
        <v>2.92</v>
      </c>
      <c r="K85" s="156">
        <v>2.5</v>
      </c>
      <c r="L85" s="157">
        <v>0.38</v>
      </c>
      <c r="M85" s="153">
        <f t="shared" si="21"/>
        <v>5.42</v>
      </c>
      <c r="N85" s="166">
        <v>0.1</v>
      </c>
      <c r="O85" s="167">
        <v>0.1</v>
      </c>
      <c r="P85" s="168">
        <v>0</v>
      </c>
      <c r="Q85" s="309">
        <f t="shared" si="13"/>
        <v>8</v>
      </c>
      <c r="R85" s="178">
        <f t="shared" si="14"/>
        <v>23.36</v>
      </c>
      <c r="S85" s="154">
        <f t="shared" si="15"/>
        <v>20</v>
      </c>
      <c r="T85" s="169">
        <f t="shared" si="16"/>
        <v>3.04</v>
      </c>
      <c r="U85" s="179">
        <f t="shared" si="17"/>
        <v>43.36</v>
      </c>
      <c r="V85" s="166">
        <f t="shared" si="18"/>
        <v>0.8</v>
      </c>
      <c r="W85" s="167">
        <f t="shared" si="19"/>
        <v>0.8</v>
      </c>
      <c r="X85" s="168">
        <f t="shared" si="20"/>
        <v>0</v>
      </c>
      <c r="Y85" s="14"/>
    </row>
    <row r="86" spans="1:25" ht="12" customHeight="1">
      <c r="A86" s="232"/>
      <c r="B86" s="27"/>
      <c r="C86" s="24" t="s">
        <v>518</v>
      </c>
      <c r="D86" s="24" t="s">
        <v>42</v>
      </c>
      <c r="E86" s="25">
        <v>8</v>
      </c>
      <c r="F86" s="27" t="s">
        <v>1026</v>
      </c>
      <c r="G86" s="180">
        <v>16.5</v>
      </c>
      <c r="H86" s="150">
        <f t="shared" si="12"/>
        <v>132</v>
      </c>
      <c r="I86" s="306">
        <v>1</v>
      </c>
      <c r="J86" s="155">
        <v>2.92</v>
      </c>
      <c r="K86" s="156">
        <v>2.5</v>
      </c>
      <c r="L86" s="157">
        <v>0.38</v>
      </c>
      <c r="M86" s="153">
        <f t="shared" si="21"/>
        <v>5.42</v>
      </c>
      <c r="N86" s="166">
        <v>0.1</v>
      </c>
      <c r="O86" s="167">
        <v>0.1</v>
      </c>
      <c r="P86" s="168">
        <v>0</v>
      </c>
      <c r="Q86" s="309">
        <f t="shared" si="13"/>
        <v>8</v>
      </c>
      <c r="R86" s="152">
        <f t="shared" si="14"/>
        <v>23.36</v>
      </c>
      <c r="S86" s="154">
        <f t="shared" si="15"/>
        <v>20</v>
      </c>
      <c r="T86" s="169">
        <f t="shared" si="16"/>
        <v>3.04</v>
      </c>
      <c r="U86" s="153">
        <f t="shared" si="17"/>
        <v>43.36</v>
      </c>
      <c r="V86" s="166">
        <f t="shared" si="18"/>
        <v>0.8</v>
      </c>
      <c r="W86" s="167">
        <f t="shared" si="19"/>
        <v>0.8</v>
      </c>
      <c r="X86" s="168">
        <f t="shared" si="20"/>
        <v>0</v>
      </c>
      <c r="Y86" s="14"/>
    </row>
    <row r="87" spans="1:25" ht="12" customHeight="1">
      <c r="A87" s="232"/>
      <c r="B87" s="27"/>
      <c r="C87" s="24" t="s">
        <v>518</v>
      </c>
      <c r="D87" s="24" t="s">
        <v>42</v>
      </c>
      <c r="E87" s="25">
        <v>8</v>
      </c>
      <c r="F87" s="27" t="s">
        <v>1027</v>
      </c>
      <c r="G87" s="180">
        <v>16.5</v>
      </c>
      <c r="H87" s="150">
        <f t="shared" si="12"/>
        <v>132</v>
      </c>
      <c r="I87" s="306">
        <v>1</v>
      </c>
      <c r="J87" s="155">
        <v>2.92</v>
      </c>
      <c r="K87" s="156">
        <v>2.5</v>
      </c>
      <c r="L87" s="157">
        <v>0.38</v>
      </c>
      <c r="M87" s="153">
        <f t="shared" si="21"/>
        <v>5.42</v>
      </c>
      <c r="N87" s="166">
        <v>0.1</v>
      </c>
      <c r="O87" s="167">
        <v>0.1</v>
      </c>
      <c r="P87" s="168">
        <v>0</v>
      </c>
      <c r="Q87" s="309">
        <f t="shared" si="13"/>
        <v>8</v>
      </c>
      <c r="R87" s="152">
        <f t="shared" si="14"/>
        <v>23.36</v>
      </c>
      <c r="S87" s="154">
        <f t="shared" si="15"/>
        <v>20</v>
      </c>
      <c r="T87" s="169">
        <f t="shared" si="16"/>
        <v>3.04</v>
      </c>
      <c r="U87" s="153">
        <f t="shared" si="17"/>
        <v>43.36</v>
      </c>
      <c r="V87" s="166">
        <f t="shared" si="18"/>
        <v>0.8</v>
      </c>
      <c r="W87" s="167">
        <f t="shared" si="19"/>
        <v>0.8</v>
      </c>
      <c r="X87" s="168">
        <f t="shared" si="20"/>
        <v>0</v>
      </c>
      <c r="Y87" s="14"/>
    </row>
    <row r="88" spans="1:25" ht="12" customHeight="1">
      <c r="A88" s="232"/>
      <c r="B88" s="27"/>
      <c r="C88" s="24" t="s">
        <v>518</v>
      </c>
      <c r="D88" s="24" t="s">
        <v>42</v>
      </c>
      <c r="E88" s="25">
        <v>4</v>
      </c>
      <c r="F88" s="27" t="s">
        <v>1028</v>
      </c>
      <c r="G88" s="180">
        <v>16.5</v>
      </c>
      <c r="H88" s="150">
        <f t="shared" si="12"/>
        <v>66</v>
      </c>
      <c r="I88" s="306">
        <v>1</v>
      </c>
      <c r="J88" s="155">
        <v>2.92</v>
      </c>
      <c r="K88" s="156">
        <v>2.5</v>
      </c>
      <c r="L88" s="157">
        <v>0.38</v>
      </c>
      <c r="M88" s="153">
        <f t="shared" si="21"/>
        <v>5.42</v>
      </c>
      <c r="N88" s="166">
        <v>0.1</v>
      </c>
      <c r="O88" s="167">
        <v>0.1</v>
      </c>
      <c r="P88" s="168">
        <v>0</v>
      </c>
      <c r="Q88" s="309">
        <f t="shared" si="13"/>
        <v>4</v>
      </c>
      <c r="R88" s="152">
        <f t="shared" si="14"/>
        <v>11.68</v>
      </c>
      <c r="S88" s="154">
        <f t="shared" si="15"/>
        <v>10</v>
      </c>
      <c r="T88" s="169">
        <f t="shared" si="16"/>
        <v>1.52</v>
      </c>
      <c r="U88" s="153">
        <f t="shared" si="17"/>
        <v>21.68</v>
      </c>
      <c r="V88" s="166">
        <f t="shared" si="18"/>
        <v>0.4</v>
      </c>
      <c r="W88" s="167">
        <f t="shared" si="19"/>
        <v>0.4</v>
      </c>
      <c r="X88" s="168">
        <f t="shared" si="20"/>
        <v>0</v>
      </c>
      <c r="Y88" s="14"/>
    </row>
    <row r="89" spans="1:25" ht="12" customHeight="1">
      <c r="A89" s="232"/>
      <c r="B89" s="27"/>
      <c r="C89" s="24" t="s">
        <v>518</v>
      </c>
      <c r="D89" s="24" t="s">
        <v>42</v>
      </c>
      <c r="E89" s="25">
        <f>5+1+1</f>
        <v>7</v>
      </c>
      <c r="F89" s="27" t="s">
        <v>1029</v>
      </c>
      <c r="G89" s="180">
        <v>16.5</v>
      </c>
      <c r="H89" s="150">
        <f t="shared" si="12"/>
        <v>115.5</v>
      </c>
      <c r="I89" s="306">
        <v>1</v>
      </c>
      <c r="J89" s="155">
        <v>2.92</v>
      </c>
      <c r="K89" s="156">
        <v>2.5</v>
      </c>
      <c r="L89" s="157">
        <v>0.38</v>
      </c>
      <c r="M89" s="153">
        <f t="shared" si="21"/>
        <v>5.42</v>
      </c>
      <c r="N89" s="166">
        <v>0.1</v>
      </c>
      <c r="O89" s="167">
        <v>0.1</v>
      </c>
      <c r="P89" s="168">
        <v>0</v>
      </c>
      <c r="Q89" s="309">
        <f t="shared" si="13"/>
        <v>7</v>
      </c>
      <c r="R89" s="152">
        <f t="shared" si="14"/>
        <v>20.439999999999998</v>
      </c>
      <c r="S89" s="154">
        <f t="shared" si="15"/>
        <v>17.5</v>
      </c>
      <c r="T89" s="169">
        <f t="shared" si="16"/>
        <v>2.66</v>
      </c>
      <c r="U89" s="153">
        <f t="shared" si="17"/>
        <v>37.94</v>
      </c>
      <c r="V89" s="166">
        <f t="shared" si="18"/>
        <v>0.70000000000000007</v>
      </c>
      <c r="W89" s="167">
        <f t="shared" si="19"/>
        <v>0.70000000000000007</v>
      </c>
      <c r="X89" s="168">
        <f t="shared" si="20"/>
        <v>0</v>
      </c>
      <c r="Y89" s="14"/>
    </row>
    <row r="90" spans="1:25" ht="12" customHeight="1">
      <c r="A90" s="232">
        <v>40253</v>
      </c>
      <c r="B90" s="27">
        <v>385</v>
      </c>
      <c r="C90" s="24" t="s">
        <v>259</v>
      </c>
      <c r="D90" s="24" t="s">
        <v>113</v>
      </c>
      <c r="E90" s="25">
        <v>100</v>
      </c>
      <c r="F90" s="27" t="s">
        <v>1030</v>
      </c>
      <c r="G90" s="180">
        <v>12.5</v>
      </c>
      <c r="H90" s="150">
        <f t="shared" si="12"/>
        <v>1250</v>
      </c>
      <c r="I90" s="306">
        <v>1.5</v>
      </c>
      <c r="J90" s="155">
        <v>1.75</v>
      </c>
      <c r="K90" s="156">
        <v>1.2</v>
      </c>
      <c r="L90" s="157">
        <v>0</v>
      </c>
      <c r="M90" s="153">
        <f t="shared" ref="M90:M98" si="22">J90+K90</f>
        <v>2.95</v>
      </c>
      <c r="N90" s="166">
        <v>0.25</v>
      </c>
      <c r="O90" s="167">
        <v>0</v>
      </c>
      <c r="P90" s="168">
        <v>0</v>
      </c>
      <c r="Q90" s="309">
        <f t="shared" si="13"/>
        <v>150</v>
      </c>
      <c r="R90" s="152">
        <f t="shared" si="14"/>
        <v>175</v>
      </c>
      <c r="S90" s="154">
        <f t="shared" si="15"/>
        <v>120</v>
      </c>
      <c r="T90" s="169">
        <f t="shared" si="16"/>
        <v>0</v>
      </c>
      <c r="U90" s="153">
        <f t="shared" si="17"/>
        <v>295</v>
      </c>
      <c r="V90" s="166">
        <f t="shared" si="18"/>
        <v>25</v>
      </c>
      <c r="W90" s="167">
        <f t="shared" si="19"/>
        <v>0</v>
      </c>
      <c r="X90" s="168">
        <f t="shared" si="20"/>
        <v>0</v>
      </c>
      <c r="Y90" s="14"/>
    </row>
    <row r="91" spans="1:25" ht="12" customHeight="1">
      <c r="A91" s="232">
        <v>40253</v>
      </c>
      <c r="B91" s="27">
        <v>386</v>
      </c>
      <c r="C91" s="24" t="s">
        <v>1031</v>
      </c>
      <c r="D91" s="24" t="s">
        <v>1032</v>
      </c>
      <c r="E91" s="25">
        <v>40</v>
      </c>
      <c r="F91" s="27" t="s">
        <v>1033</v>
      </c>
      <c r="G91" s="180">
        <f>40-5</f>
        <v>35</v>
      </c>
      <c r="H91" s="150">
        <f t="shared" si="12"/>
        <v>1400</v>
      </c>
      <c r="I91" s="306">
        <v>3.5</v>
      </c>
      <c r="J91" s="155">
        <v>5.04</v>
      </c>
      <c r="K91" s="156">
        <v>4</v>
      </c>
      <c r="L91" s="157">
        <v>0.6</v>
      </c>
      <c r="M91" s="153">
        <f t="shared" si="22"/>
        <v>9.0399999999999991</v>
      </c>
      <c r="N91" s="166">
        <v>0.35</v>
      </c>
      <c r="O91" s="167">
        <v>0.1</v>
      </c>
      <c r="P91" s="168">
        <v>0</v>
      </c>
      <c r="Q91" s="309">
        <f t="shared" si="13"/>
        <v>140</v>
      </c>
      <c r="R91" s="152">
        <f t="shared" si="14"/>
        <v>201.6</v>
      </c>
      <c r="S91" s="154">
        <f t="shared" si="15"/>
        <v>160</v>
      </c>
      <c r="T91" s="169">
        <f t="shared" si="16"/>
        <v>24</v>
      </c>
      <c r="U91" s="153">
        <f t="shared" si="17"/>
        <v>361.59999999999997</v>
      </c>
      <c r="V91" s="166">
        <f t="shared" si="18"/>
        <v>14</v>
      </c>
      <c r="W91" s="167">
        <f t="shared" si="19"/>
        <v>4</v>
      </c>
      <c r="X91" s="168">
        <f t="shared" si="20"/>
        <v>0</v>
      </c>
      <c r="Y91" s="14"/>
    </row>
    <row r="92" spans="1:25" ht="12" customHeight="1">
      <c r="A92" s="232"/>
      <c r="B92" s="27"/>
      <c r="C92" s="24" t="s">
        <v>1031</v>
      </c>
      <c r="D92" s="24" t="s">
        <v>1032</v>
      </c>
      <c r="E92" s="25">
        <f>26+5</f>
        <v>31</v>
      </c>
      <c r="F92" s="27" t="s">
        <v>1034</v>
      </c>
      <c r="G92" s="180">
        <v>40</v>
      </c>
      <c r="H92" s="150">
        <f t="shared" si="12"/>
        <v>1240</v>
      </c>
      <c r="I92" s="306">
        <v>3.5</v>
      </c>
      <c r="J92" s="155">
        <v>5.04</v>
      </c>
      <c r="K92" s="156">
        <v>4</v>
      </c>
      <c r="L92" s="157">
        <v>0.6</v>
      </c>
      <c r="M92" s="153">
        <f t="shared" si="22"/>
        <v>9.0399999999999991</v>
      </c>
      <c r="N92" s="166">
        <v>0.35</v>
      </c>
      <c r="O92" s="167">
        <v>0.1</v>
      </c>
      <c r="P92" s="168">
        <v>0</v>
      </c>
      <c r="Q92" s="309">
        <f t="shared" si="13"/>
        <v>108.5</v>
      </c>
      <c r="R92" s="152">
        <f t="shared" si="14"/>
        <v>156.24</v>
      </c>
      <c r="S92" s="154">
        <f t="shared" si="15"/>
        <v>124</v>
      </c>
      <c r="T92" s="169">
        <f t="shared" si="16"/>
        <v>18.599999999999998</v>
      </c>
      <c r="U92" s="153">
        <f t="shared" si="17"/>
        <v>280.23999999999995</v>
      </c>
      <c r="V92" s="166">
        <f t="shared" si="18"/>
        <v>10.85</v>
      </c>
      <c r="W92" s="167">
        <f t="shared" si="19"/>
        <v>3.1</v>
      </c>
      <c r="X92" s="168">
        <f t="shared" si="20"/>
        <v>0</v>
      </c>
      <c r="Y92" s="14"/>
    </row>
    <row r="93" spans="1:25" ht="12" customHeight="1">
      <c r="A93" s="232">
        <v>40253</v>
      </c>
      <c r="B93" s="27">
        <v>387</v>
      </c>
      <c r="C93" s="24" t="s">
        <v>21</v>
      </c>
      <c r="D93" s="24" t="s">
        <v>42</v>
      </c>
      <c r="E93" s="25">
        <v>153</v>
      </c>
      <c r="F93" s="27" t="s">
        <v>1035</v>
      </c>
      <c r="G93" s="180">
        <v>49.5</v>
      </c>
      <c r="H93" s="150">
        <f t="shared" si="12"/>
        <v>7573.5</v>
      </c>
      <c r="I93" s="306">
        <v>5</v>
      </c>
      <c r="J93" s="155">
        <v>1.77</v>
      </c>
      <c r="K93" s="156">
        <v>1.5</v>
      </c>
      <c r="L93" s="157">
        <v>0.23</v>
      </c>
      <c r="M93" s="153">
        <f t="shared" si="22"/>
        <v>3.27</v>
      </c>
      <c r="N93" s="166">
        <v>1</v>
      </c>
      <c r="O93" s="167">
        <v>0.5</v>
      </c>
      <c r="P93" s="168">
        <v>1</v>
      </c>
      <c r="Q93" s="309">
        <f t="shared" si="13"/>
        <v>765</v>
      </c>
      <c r="R93" s="152">
        <f t="shared" si="14"/>
        <v>270.81</v>
      </c>
      <c r="S93" s="154">
        <f t="shared" si="15"/>
        <v>229.5</v>
      </c>
      <c r="T93" s="169">
        <f t="shared" si="16"/>
        <v>35.190000000000005</v>
      </c>
      <c r="U93" s="153">
        <f t="shared" si="17"/>
        <v>500.31</v>
      </c>
      <c r="V93" s="166">
        <f t="shared" si="18"/>
        <v>153</v>
      </c>
      <c r="W93" s="167">
        <f t="shared" si="19"/>
        <v>76.5</v>
      </c>
      <c r="X93" s="168">
        <f t="shared" si="20"/>
        <v>153</v>
      </c>
      <c r="Y93" s="14"/>
    </row>
    <row r="94" spans="1:25" ht="12" customHeight="1">
      <c r="A94" s="232">
        <v>40253</v>
      </c>
      <c r="B94" s="27">
        <v>388</v>
      </c>
      <c r="C94" s="24" t="s">
        <v>362</v>
      </c>
      <c r="D94" s="24" t="s">
        <v>42</v>
      </c>
      <c r="E94" s="25">
        <f>100</f>
        <v>100</v>
      </c>
      <c r="F94" s="27" t="s">
        <v>1036</v>
      </c>
      <c r="G94" s="180">
        <v>34</v>
      </c>
      <c r="H94" s="150">
        <f t="shared" si="12"/>
        <v>3400</v>
      </c>
      <c r="I94" s="306">
        <v>3.5</v>
      </c>
      <c r="J94" s="155">
        <v>3.08</v>
      </c>
      <c r="K94" s="156">
        <v>2</v>
      </c>
      <c r="L94" s="157">
        <v>0.3</v>
      </c>
      <c r="M94" s="153">
        <f t="shared" si="22"/>
        <v>5.08</v>
      </c>
      <c r="N94" s="166">
        <v>0.35</v>
      </c>
      <c r="O94" s="167">
        <v>0.1</v>
      </c>
      <c r="P94" s="168">
        <v>0</v>
      </c>
      <c r="Q94" s="309">
        <f t="shared" si="13"/>
        <v>350</v>
      </c>
      <c r="R94" s="152">
        <f t="shared" si="14"/>
        <v>308</v>
      </c>
      <c r="S94" s="154">
        <f t="shared" si="15"/>
        <v>200</v>
      </c>
      <c r="T94" s="169">
        <f t="shared" si="16"/>
        <v>30</v>
      </c>
      <c r="U94" s="153">
        <f t="shared" si="17"/>
        <v>508</v>
      </c>
      <c r="V94" s="166">
        <f t="shared" si="18"/>
        <v>35</v>
      </c>
      <c r="W94" s="167">
        <f t="shared" si="19"/>
        <v>10</v>
      </c>
      <c r="X94" s="168">
        <f t="shared" si="20"/>
        <v>0</v>
      </c>
      <c r="Y94" s="14"/>
    </row>
    <row r="95" spans="1:25" ht="12" customHeight="1">
      <c r="A95" s="232"/>
      <c r="B95" s="27"/>
      <c r="C95" s="24" t="s">
        <v>362</v>
      </c>
      <c r="D95" s="24" t="s">
        <v>42</v>
      </c>
      <c r="E95" s="25">
        <f>92</f>
        <v>92</v>
      </c>
      <c r="F95" s="27" t="s">
        <v>1037</v>
      </c>
      <c r="G95" s="180">
        <v>34</v>
      </c>
      <c r="H95" s="150">
        <f t="shared" si="12"/>
        <v>3128</v>
      </c>
      <c r="I95" s="306">
        <v>3.5</v>
      </c>
      <c r="J95" s="155">
        <v>3.08</v>
      </c>
      <c r="K95" s="156">
        <v>2</v>
      </c>
      <c r="L95" s="157">
        <v>0.3</v>
      </c>
      <c r="M95" s="153">
        <f t="shared" si="22"/>
        <v>5.08</v>
      </c>
      <c r="N95" s="166">
        <v>0.35</v>
      </c>
      <c r="O95" s="167">
        <v>0.1</v>
      </c>
      <c r="P95" s="168">
        <v>0</v>
      </c>
      <c r="Q95" s="309">
        <f t="shared" si="13"/>
        <v>322</v>
      </c>
      <c r="R95" s="152">
        <f t="shared" si="14"/>
        <v>283.36</v>
      </c>
      <c r="S95" s="154">
        <f t="shared" si="15"/>
        <v>184</v>
      </c>
      <c r="T95" s="169">
        <f t="shared" si="16"/>
        <v>27.599999999999998</v>
      </c>
      <c r="U95" s="153">
        <f t="shared" si="17"/>
        <v>467.36</v>
      </c>
      <c r="V95" s="166">
        <f t="shared" si="18"/>
        <v>32.199999999999996</v>
      </c>
      <c r="W95" s="167">
        <f t="shared" si="19"/>
        <v>9.2000000000000011</v>
      </c>
      <c r="X95" s="168">
        <f t="shared" si="20"/>
        <v>0</v>
      </c>
      <c r="Y95" s="14"/>
    </row>
    <row r="96" spans="1:25" ht="12" customHeight="1">
      <c r="A96" s="232"/>
      <c r="B96" s="27"/>
      <c r="C96" s="24" t="s">
        <v>362</v>
      </c>
      <c r="D96" s="24" t="s">
        <v>42</v>
      </c>
      <c r="E96" s="25">
        <f>90</f>
        <v>90</v>
      </c>
      <c r="F96" s="27" t="s">
        <v>1036</v>
      </c>
      <c r="G96" s="180">
        <v>34</v>
      </c>
      <c r="H96" s="150">
        <f t="shared" si="12"/>
        <v>3060</v>
      </c>
      <c r="I96" s="306">
        <v>3.5</v>
      </c>
      <c r="J96" s="155">
        <v>3.08</v>
      </c>
      <c r="K96" s="156">
        <v>2</v>
      </c>
      <c r="L96" s="157">
        <v>0.3</v>
      </c>
      <c r="M96" s="153">
        <f t="shared" si="22"/>
        <v>5.08</v>
      </c>
      <c r="N96" s="166">
        <v>0.35</v>
      </c>
      <c r="O96" s="167">
        <v>0.1</v>
      </c>
      <c r="P96" s="168">
        <v>0</v>
      </c>
      <c r="Q96" s="309">
        <f t="shared" si="13"/>
        <v>315</v>
      </c>
      <c r="R96" s="152">
        <f t="shared" si="14"/>
        <v>277.2</v>
      </c>
      <c r="S96" s="154">
        <f t="shared" si="15"/>
        <v>180</v>
      </c>
      <c r="T96" s="169">
        <f t="shared" si="16"/>
        <v>27</v>
      </c>
      <c r="U96" s="153">
        <f t="shared" si="17"/>
        <v>457.2</v>
      </c>
      <c r="V96" s="166">
        <f t="shared" si="18"/>
        <v>31.499999999999996</v>
      </c>
      <c r="W96" s="167">
        <f t="shared" si="19"/>
        <v>9</v>
      </c>
      <c r="X96" s="168">
        <f t="shared" si="20"/>
        <v>0</v>
      </c>
      <c r="Y96" s="14"/>
    </row>
    <row r="97" spans="1:25" ht="12" customHeight="1">
      <c r="A97" s="232"/>
      <c r="B97" s="27"/>
      <c r="C97" s="24" t="s">
        <v>362</v>
      </c>
      <c r="D97" s="24" t="s">
        <v>42</v>
      </c>
      <c r="E97" s="25">
        <f>89</f>
        <v>89</v>
      </c>
      <c r="F97" s="27" t="s">
        <v>1037</v>
      </c>
      <c r="G97" s="180">
        <v>34</v>
      </c>
      <c r="H97" s="150">
        <f t="shared" si="12"/>
        <v>3026</v>
      </c>
      <c r="I97" s="306">
        <v>3.5</v>
      </c>
      <c r="J97" s="155">
        <v>3.08</v>
      </c>
      <c r="K97" s="156">
        <v>2</v>
      </c>
      <c r="L97" s="157">
        <v>0.3</v>
      </c>
      <c r="M97" s="153">
        <f t="shared" si="22"/>
        <v>5.08</v>
      </c>
      <c r="N97" s="166">
        <v>0.35</v>
      </c>
      <c r="O97" s="167">
        <v>0.1</v>
      </c>
      <c r="P97" s="168">
        <v>0</v>
      </c>
      <c r="Q97" s="309">
        <f t="shared" si="13"/>
        <v>311.5</v>
      </c>
      <c r="R97" s="152">
        <f t="shared" si="14"/>
        <v>274.12</v>
      </c>
      <c r="S97" s="154">
        <f t="shared" si="15"/>
        <v>178</v>
      </c>
      <c r="T97" s="169">
        <f t="shared" si="16"/>
        <v>26.7</v>
      </c>
      <c r="U97" s="153">
        <f t="shared" si="17"/>
        <v>452.12</v>
      </c>
      <c r="V97" s="166">
        <f t="shared" si="18"/>
        <v>31.15</v>
      </c>
      <c r="W97" s="167">
        <f t="shared" si="19"/>
        <v>8.9</v>
      </c>
      <c r="X97" s="168">
        <f t="shared" si="20"/>
        <v>0</v>
      </c>
      <c r="Y97" s="14"/>
    </row>
    <row r="98" spans="1:25" ht="12" customHeight="1">
      <c r="A98" s="232">
        <v>40254</v>
      </c>
      <c r="B98" s="27">
        <v>389</v>
      </c>
      <c r="C98" s="24" t="s">
        <v>1038</v>
      </c>
      <c r="D98" s="24" t="s">
        <v>1038</v>
      </c>
      <c r="E98" s="25">
        <v>18</v>
      </c>
      <c r="F98" s="27" t="s">
        <v>1039</v>
      </c>
      <c r="G98" s="180">
        <v>34</v>
      </c>
      <c r="H98" s="150">
        <f t="shared" si="12"/>
        <v>612</v>
      </c>
      <c r="I98" s="306">
        <v>3.5</v>
      </c>
      <c r="J98" s="155">
        <v>2.73</v>
      </c>
      <c r="K98" s="156">
        <v>1</v>
      </c>
      <c r="L98" s="157">
        <v>0.15</v>
      </c>
      <c r="M98" s="153">
        <f t="shared" si="22"/>
        <v>3.73</v>
      </c>
      <c r="N98" s="166">
        <v>0.35</v>
      </c>
      <c r="O98" s="167">
        <v>0.1</v>
      </c>
      <c r="P98" s="168">
        <v>0</v>
      </c>
      <c r="Q98" s="309">
        <f t="shared" si="13"/>
        <v>63</v>
      </c>
      <c r="R98" s="152">
        <f t="shared" si="14"/>
        <v>49.14</v>
      </c>
      <c r="S98" s="154">
        <f t="shared" si="15"/>
        <v>18</v>
      </c>
      <c r="T98" s="169">
        <f t="shared" si="16"/>
        <v>2.6999999999999997</v>
      </c>
      <c r="U98" s="153">
        <f t="shared" si="17"/>
        <v>67.14</v>
      </c>
      <c r="V98" s="166">
        <f t="shared" si="18"/>
        <v>6.3</v>
      </c>
      <c r="W98" s="167">
        <f t="shared" si="19"/>
        <v>1.8</v>
      </c>
      <c r="X98" s="168">
        <f t="shared" si="20"/>
        <v>0</v>
      </c>
      <c r="Y98" s="14"/>
    </row>
    <row r="99" spans="1:25" ht="12" customHeight="1">
      <c r="A99" s="232">
        <v>40254</v>
      </c>
      <c r="B99" s="27">
        <v>390</v>
      </c>
      <c r="C99" s="24" t="s">
        <v>933</v>
      </c>
      <c r="D99" s="24"/>
      <c r="E99" s="25">
        <v>6</v>
      </c>
      <c r="F99" s="27" t="s">
        <v>1040</v>
      </c>
      <c r="G99" s="180">
        <v>34</v>
      </c>
      <c r="H99" s="150">
        <f t="shared" ref="H99:H151" si="23">E99*G99</f>
        <v>204</v>
      </c>
      <c r="I99" s="306">
        <v>3.5</v>
      </c>
      <c r="J99" s="155">
        <v>8.23</v>
      </c>
      <c r="K99" s="156">
        <v>0</v>
      </c>
      <c r="L99" s="157">
        <v>0</v>
      </c>
      <c r="M99" s="153">
        <f t="shared" ref="M99:M151" si="24">J99+K99</f>
        <v>8.23</v>
      </c>
      <c r="N99" s="166">
        <v>0</v>
      </c>
      <c r="O99" s="167">
        <v>0.1</v>
      </c>
      <c r="P99" s="168">
        <v>0</v>
      </c>
      <c r="Q99" s="309">
        <f t="shared" ref="Q99:Q151" si="25">E99*I99</f>
        <v>21</v>
      </c>
      <c r="R99" s="152">
        <f t="shared" ref="R99:R151" si="26">E99*J99</f>
        <v>49.38</v>
      </c>
      <c r="S99" s="154">
        <f t="shared" ref="S99:S151" si="27">E99*K99</f>
        <v>0</v>
      </c>
      <c r="T99" s="169">
        <f t="shared" ref="T99:T151" si="28">E99*L99</f>
        <v>0</v>
      </c>
      <c r="U99" s="153">
        <f t="shared" ref="U99:U151" si="29">E99*M99</f>
        <v>49.38</v>
      </c>
      <c r="V99" s="166">
        <f t="shared" ref="V99:V151" si="30">N99*E99</f>
        <v>0</v>
      </c>
      <c r="W99" s="167">
        <f t="shared" ref="W99:W151" si="31">O99*E99</f>
        <v>0.60000000000000009</v>
      </c>
      <c r="X99" s="168">
        <f t="shared" ref="X99:X151" si="32">P99*E99</f>
        <v>0</v>
      </c>
      <c r="Y99" s="14"/>
    </row>
    <row r="100" spans="1:25" ht="12" customHeight="1">
      <c r="A100" s="232">
        <v>40255</v>
      </c>
      <c r="B100" s="27">
        <v>391</v>
      </c>
      <c r="C100" s="24" t="s">
        <v>518</v>
      </c>
      <c r="D100" s="24" t="s">
        <v>42</v>
      </c>
      <c r="E100" s="25">
        <f>50-1</f>
        <v>49</v>
      </c>
      <c r="F100" s="27" t="s">
        <v>1041</v>
      </c>
      <c r="G100" s="180">
        <v>38.5</v>
      </c>
      <c r="H100" s="150">
        <f t="shared" si="23"/>
        <v>1886.5</v>
      </c>
      <c r="I100" s="306">
        <v>3.5</v>
      </c>
      <c r="J100" s="155">
        <v>3.52</v>
      </c>
      <c r="K100" s="156">
        <v>0</v>
      </c>
      <c r="L100" s="157">
        <v>0</v>
      </c>
      <c r="M100" s="153">
        <f t="shared" si="24"/>
        <v>3.52</v>
      </c>
      <c r="N100" s="166">
        <v>0.35</v>
      </c>
      <c r="O100" s="167">
        <v>0.1</v>
      </c>
      <c r="P100" s="168">
        <v>0.1</v>
      </c>
      <c r="Q100" s="309">
        <f t="shared" si="25"/>
        <v>171.5</v>
      </c>
      <c r="R100" s="152">
        <f t="shared" si="26"/>
        <v>172.48</v>
      </c>
      <c r="S100" s="154">
        <f t="shared" si="27"/>
        <v>0</v>
      </c>
      <c r="T100" s="169">
        <f t="shared" si="28"/>
        <v>0</v>
      </c>
      <c r="U100" s="153">
        <f t="shared" si="29"/>
        <v>172.48</v>
      </c>
      <c r="V100" s="166">
        <f t="shared" si="30"/>
        <v>17.149999999999999</v>
      </c>
      <c r="W100" s="167">
        <f t="shared" si="31"/>
        <v>4.9000000000000004</v>
      </c>
      <c r="X100" s="168">
        <f t="shared" si="32"/>
        <v>4.9000000000000004</v>
      </c>
      <c r="Y100" s="14"/>
    </row>
    <row r="101" spans="1:25" ht="12" customHeight="1">
      <c r="A101" s="232">
        <v>40255</v>
      </c>
      <c r="B101" s="27">
        <v>392</v>
      </c>
      <c r="C101" s="24" t="s">
        <v>1042</v>
      </c>
      <c r="D101" s="24" t="s">
        <v>1043</v>
      </c>
      <c r="E101" s="25">
        <v>10</v>
      </c>
      <c r="F101" s="27" t="s">
        <v>1044</v>
      </c>
      <c r="G101" s="180">
        <v>45</v>
      </c>
      <c r="H101" s="150">
        <f t="shared" si="23"/>
        <v>450</v>
      </c>
      <c r="I101" s="306">
        <v>3.5</v>
      </c>
      <c r="J101" s="155">
        <v>1.92</v>
      </c>
      <c r="K101" s="156">
        <v>0</v>
      </c>
      <c r="L101" s="157">
        <v>0</v>
      </c>
      <c r="M101" s="153">
        <f t="shared" si="24"/>
        <v>1.92</v>
      </c>
      <c r="N101" s="166">
        <v>0.35</v>
      </c>
      <c r="O101" s="167">
        <v>0.1</v>
      </c>
      <c r="P101" s="168">
        <v>0</v>
      </c>
      <c r="Q101" s="309">
        <f t="shared" si="25"/>
        <v>35</v>
      </c>
      <c r="R101" s="152">
        <f t="shared" si="26"/>
        <v>19.2</v>
      </c>
      <c r="S101" s="154">
        <f t="shared" si="27"/>
        <v>0</v>
      </c>
      <c r="T101" s="169">
        <f t="shared" si="28"/>
        <v>0</v>
      </c>
      <c r="U101" s="153">
        <f t="shared" si="29"/>
        <v>19.2</v>
      </c>
      <c r="V101" s="166">
        <f t="shared" si="30"/>
        <v>3.5</v>
      </c>
      <c r="W101" s="167">
        <f t="shared" si="31"/>
        <v>1</v>
      </c>
      <c r="X101" s="168">
        <f t="shared" si="32"/>
        <v>0</v>
      </c>
      <c r="Y101" s="14"/>
    </row>
    <row r="102" spans="1:25">
      <c r="A102" s="232"/>
      <c r="B102" s="27"/>
      <c r="C102" s="24" t="s">
        <v>1042</v>
      </c>
      <c r="D102" s="24" t="s">
        <v>1043</v>
      </c>
      <c r="E102" s="25">
        <v>8</v>
      </c>
      <c r="F102" s="27" t="s">
        <v>1045</v>
      </c>
      <c r="G102" s="180">
        <v>45</v>
      </c>
      <c r="H102" s="150">
        <f t="shared" si="23"/>
        <v>360</v>
      </c>
      <c r="I102" s="306">
        <v>3.5</v>
      </c>
      <c r="J102" s="155">
        <v>1.27</v>
      </c>
      <c r="K102" s="156">
        <v>0</v>
      </c>
      <c r="L102" s="157">
        <v>0</v>
      </c>
      <c r="M102" s="153">
        <f t="shared" si="24"/>
        <v>1.27</v>
      </c>
      <c r="N102" s="166">
        <v>0.35</v>
      </c>
      <c r="O102" s="167">
        <v>0.1</v>
      </c>
      <c r="P102" s="168">
        <v>0</v>
      </c>
      <c r="Q102" s="309">
        <f t="shared" si="25"/>
        <v>28</v>
      </c>
      <c r="R102" s="152">
        <f t="shared" si="26"/>
        <v>10.16</v>
      </c>
      <c r="S102" s="154">
        <f t="shared" si="27"/>
        <v>0</v>
      </c>
      <c r="T102" s="169">
        <f t="shared" si="28"/>
        <v>0</v>
      </c>
      <c r="U102" s="153">
        <f t="shared" si="29"/>
        <v>10.16</v>
      </c>
      <c r="V102" s="166">
        <f t="shared" si="30"/>
        <v>2.8</v>
      </c>
      <c r="W102" s="167">
        <f t="shared" si="31"/>
        <v>0.8</v>
      </c>
      <c r="X102" s="168">
        <f t="shared" si="32"/>
        <v>0</v>
      </c>
      <c r="Y102" s="14"/>
    </row>
    <row r="103" spans="1:25">
      <c r="A103" s="234" t="s">
        <v>1046</v>
      </c>
      <c r="B103" s="186">
        <v>393</v>
      </c>
      <c r="C103" s="184" t="s">
        <v>346</v>
      </c>
      <c r="D103" s="184"/>
      <c r="E103" s="185"/>
      <c r="F103" s="186" t="s">
        <v>651</v>
      </c>
      <c r="G103" s="187"/>
      <c r="H103" s="150">
        <f t="shared" si="23"/>
        <v>0</v>
      </c>
      <c r="I103" s="306">
        <v>0</v>
      </c>
      <c r="J103" s="155">
        <v>0</v>
      </c>
      <c r="K103" s="156">
        <v>0</v>
      </c>
      <c r="L103" s="157">
        <v>0</v>
      </c>
      <c r="M103" s="153">
        <f t="shared" si="24"/>
        <v>0</v>
      </c>
      <c r="N103" s="166">
        <v>0</v>
      </c>
      <c r="O103" s="167">
        <v>0</v>
      </c>
      <c r="P103" s="168">
        <v>0</v>
      </c>
      <c r="Q103" s="309">
        <f t="shared" si="25"/>
        <v>0</v>
      </c>
      <c r="R103" s="152">
        <f t="shared" si="26"/>
        <v>0</v>
      </c>
      <c r="S103" s="154">
        <f t="shared" si="27"/>
        <v>0</v>
      </c>
      <c r="T103" s="169">
        <f t="shared" si="28"/>
        <v>0</v>
      </c>
      <c r="U103" s="153">
        <f t="shared" si="29"/>
        <v>0</v>
      </c>
      <c r="V103" s="166">
        <f t="shared" si="30"/>
        <v>0</v>
      </c>
      <c r="W103" s="167">
        <f t="shared" si="31"/>
        <v>0</v>
      </c>
      <c r="X103" s="168">
        <f t="shared" si="32"/>
        <v>0</v>
      </c>
      <c r="Y103" s="14"/>
    </row>
    <row r="104" spans="1:25">
      <c r="A104" s="232">
        <v>40260</v>
      </c>
      <c r="B104" s="27">
        <v>394</v>
      </c>
      <c r="C104" s="24" t="s">
        <v>30</v>
      </c>
      <c r="D104" s="24" t="s">
        <v>42</v>
      </c>
      <c r="E104" s="25">
        <v>500</v>
      </c>
      <c r="F104" s="27" t="s">
        <v>1047</v>
      </c>
      <c r="G104" s="180">
        <v>36.5</v>
      </c>
      <c r="H104" s="150">
        <f t="shared" si="23"/>
        <v>18250</v>
      </c>
      <c r="I104" s="306">
        <v>4.5</v>
      </c>
      <c r="J104" s="155">
        <v>0.73</v>
      </c>
      <c r="K104" s="156">
        <v>0</v>
      </c>
      <c r="L104" s="157">
        <v>0</v>
      </c>
      <c r="M104" s="153">
        <f t="shared" si="24"/>
        <v>0.73</v>
      </c>
      <c r="N104" s="166">
        <v>0</v>
      </c>
      <c r="O104" s="167">
        <v>0.2</v>
      </c>
      <c r="P104" s="168">
        <v>0</v>
      </c>
      <c r="Q104" s="314">
        <f t="shared" si="25"/>
        <v>2250</v>
      </c>
      <c r="R104" s="152">
        <f t="shared" si="26"/>
        <v>365</v>
      </c>
      <c r="S104" s="154">
        <f t="shared" si="27"/>
        <v>0</v>
      </c>
      <c r="T104" s="169">
        <f t="shared" si="28"/>
        <v>0</v>
      </c>
      <c r="U104" s="153">
        <f t="shared" si="29"/>
        <v>365</v>
      </c>
      <c r="V104" s="166">
        <f t="shared" si="30"/>
        <v>0</v>
      </c>
      <c r="W104" s="167">
        <f t="shared" si="31"/>
        <v>100</v>
      </c>
      <c r="X104" s="168">
        <f t="shared" si="32"/>
        <v>0</v>
      </c>
      <c r="Y104" s="14"/>
    </row>
    <row r="105" spans="1:25">
      <c r="A105" s="232"/>
      <c r="B105" s="27"/>
      <c r="C105" s="24" t="s">
        <v>30</v>
      </c>
      <c r="D105" s="24" t="s">
        <v>42</v>
      </c>
      <c r="E105" s="25">
        <v>500</v>
      </c>
      <c r="F105" s="27" t="s">
        <v>1048</v>
      </c>
      <c r="G105" s="180">
        <v>36.5</v>
      </c>
      <c r="H105" s="150">
        <f t="shared" si="23"/>
        <v>18250</v>
      </c>
      <c r="I105" s="306">
        <v>4.5</v>
      </c>
      <c r="J105" s="155">
        <v>0.73</v>
      </c>
      <c r="K105" s="156">
        <v>0</v>
      </c>
      <c r="L105" s="157">
        <v>0</v>
      </c>
      <c r="M105" s="153">
        <f t="shared" si="24"/>
        <v>0.73</v>
      </c>
      <c r="N105" s="166">
        <v>0</v>
      </c>
      <c r="O105" s="167">
        <v>0.2</v>
      </c>
      <c r="P105" s="168">
        <v>0</v>
      </c>
      <c r="Q105" s="314">
        <f t="shared" si="25"/>
        <v>2250</v>
      </c>
      <c r="R105" s="152">
        <f t="shared" si="26"/>
        <v>365</v>
      </c>
      <c r="S105" s="154">
        <f t="shared" si="27"/>
        <v>0</v>
      </c>
      <c r="T105" s="169">
        <f t="shared" si="28"/>
        <v>0</v>
      </c>
      <c r="U105" s="153">
        <f t="shared" si="29"/>
        <v>365</v>
      </c>
      <c r="V105" s="166">
        <f t="shared" si="30"/>
        <v>0</v>
      </c>
      <c r="W105" s="167">
        <f t="shared" si="31"/>
        <v>100</v>
      </c>
      <c r="X105" s="168">
        <f t="shared" si="32"/>
        <v>0</v>
      </c>
      <c r="Y105" s="14"/>
    </row>
    <row r="106" spans="1:25">
      <c r="A106" s="232">
        <v>40260</v>
      </c>
      <c r="B106" s="27">
        <v>395</v>
      </c>
      <c r="C106" s="24" t="s">
        <v>1008</v>
      </c>
      <c r="D106" s="20" t="s">
        <v>1009</v>
      </c>
      <c r="E106" s="25">
        <v>64</v>
      </c>
      <c r="F106" s="27" t="s">
        <v>1049</v>
      </c>
      <c r="G106" s="180">
        <v>5</v>
      </c>
      <c r="H106" s="150">
        <f t="shared" si="23"/>
        <v>320</v>
      </c>
      <c r="I106" s="306">
        <v>0</v>
      </c>
      <c r="J106" s="155">
        <v>0.23</v>
      </c>
      <c r="K106" s="156">
        <v>3.5</v>
      </c>
      <c r="L106" s="157">
        <v>0.53</v>
      </c>
      <c r="M106" s="153">
        <f t="shared" si="24"/>
        <v>3.73</v>
      </c>
      <c r="N106" s="166">
        <v>0.35</v>
      </c>
      <c r="O106" s="167">
        <v>0.1</v>
      </c>
      <c r="P106" s="168">
        <v>0</v>
      </c>
      <c r="Q106" s="309">
        <f t="shared" si="25"/>
        <v>0</v>
      </c>
      <c r="R106" s="152">
        <f t="shared" si="26"/>
        <v>14.72</v>
      </c>
      <c r="S106" s="154">
        <f t="shared" si="27"/>
        <v>224</v>
      </c>
      <c r="T106" s="169">
        <f t="shared" si="28"/>
        <v>33.92</v>
      </c>
      <c r="U106" s="153">
        <f t="shared" si="29"/>
        <v>238.72</v>
      </c>
      <c r="V106" s="166">
        <f t="shared" si="30"/>
        <v>22.4</v>
      </c>
      <c r="W106" s="167">
        <f t="shared" si="31"/>
        <v>6.4</v>
      </c>
      <c r="X106" s="168">
        <f t="shared" si="32"/>
        <v>0</v>
      </c>
      <c r="Y106" s="14"/>
    </row>
    <row r="107" spans="1:25">
      <c r="A107" s="232"/>
      <c r="B107" s="27"/>
      <c r="C107" s="24" t="s">
        <v>1008</v>
      </c>
      <c r="D107" s="20" t="s">
        <v>1009</v>
      </c>
      <c r="E107" s="25">
        <v>2</v>
      </c>
      <c r="F107" s="27" t="s">
        <v>1110</v>
      </c>
      <c r="G107" s="180">
        <v>5</v>
      </c>
      <c r="H107" s="150">
        <f t="shared" si="23"/>
        <v>10</v>
      </c>
      <c r="I107" s="306">
        <v>0</v>
      </c>
      <c r="J107" s="155">
        <v>0.23</v>
      </c>
      <c r="K107" s="156">
        <v>3.5</v>
      </c>
      <c r="L107" s="157">
        <v>0.53</v>
      </c>
      <c r="M107" s="153">
        <f t="shared" si="24"/>
        <v>3.73</v>
      </c>
      <c r="N107" s="166">
        <v>0.35</v>
      </c>
      <c r="O107" s="167">
        <v>0.1</v>
      </c>
      <c r="P107" s="168">
        <v>0</v>
      </c>
      <c r="Q107" s="309">
        <f t="shared" si="25"/>
        <v>0</v>
      </c>
      <c r="R107" s="152">
        <f t="shared" si="26"/>
        <v>0.46</v>
      </c>
      <c r="S107" s="154">
        <f t="shared" si="27"/>
        <v>7</v>
      </c>
      <c r="T107" s="169">
        <f t="shared" si="28"/>
        <v>1.06</v>
      </c>
      <c r="U107" s="153">
        <f t="shared" si="29"/>
        <v>7.46</v>
      </c>
      <c r="V107" s="166">
        <f t="shared" si="30"/>
        <v>0.7</v>
      </c>
      <c r="W107" s="167">
        <f t="shared" si="31"/>
        <v>0.2</v>
      </c>
      <c r="X107" s="168">
        <f t="shared" si="32"/>
        <v>0</v>
      </c>
      <c r="Y107" s="14"/>
    </row>
    <row r="108" spans="1:25">
      <c r="A108" s="232">
        <v>40260</v>
      </c>
      <c r="B108" s="27">
        <v>396</v>
      </c>
      <c r="C108" s="24" t="s">
        <v>1050</v>
      </c>
      <c r="D108" s="24" t="s">
        <v>245</v>
      </c>
      <c r="E108" s="25">
        <f>500</f>
        <v>500</v>
      </c>
      <c r="F108" s="27" t="s">
        <v>1051</v>
      </c>
      <c r="G108" s="180">
        <v>4</v>
      </c>
      <c r="H108" s="150">
        <f t="shared" si="23"/>
        <v>2000</v>
      </c>
      <c r="I108" s="306">
        <v>0.35</v>
      </c>
      <c r="J108" s="155">
        <v>0.68</v>
      </c>
      <c r="K108" s="156">
        <v>0</v>
      </c>
      <c r="L108" s="157">
        <v>0</v>
      </c>
      <c r="M108" s="153">
        <f t="shared" si="24"/>
        <v>0.68</v>
      </c>
      <c r="N108" s="166">
        <v>0</v>
      </c>
      <c r="O108" s="167">
        <v>0.1</v>
      </c>
      <c r="P108" s="168">
        <v>0</v>
      </c>
      <c r="Q108" s="309">
        <f t="shared" si="25"/>
        <v>175</v>
      </c>
      <c r="R108" s="152">
        <f t="shared" si="26"/>
        <v>340</v>
      </c>
      <c r="S108" s="154">
        <f t="shared" si="27"/>
        <v>0</v>
      </c>
      <c r="T108" s="169">
        <f t="shared" si="28"/>
        <v>0</v>
      </c>
      <c r="U108" s="153">
        <f t="shared" si="29"/>
        <v>340</v>
      </c>
      <c r="V108" s="166">
        <f t="shared" si="30"/>
        <v>0</v>
      </c>
      <c r="W108" s="167">
        <f t="shared" si="31"/>
        <v>50</v>
      </c>
      <c r="X108" s="168">
        <f t="shared" si="32"/>
        <v>0</v>
      </c>
      <c r="Y108" s="14"/>
    </row>
    <row r="109" spans="1:25">
      <c r="A109" s="232">
        <v>40260</v>
      </c>
      <c r="B109" s="27">
        <v>397</v>
      </c>
      <c r="C109" s="24" t="s">
        <v>21</v>
      </c>
      <c r="D109" s="24" t="s">
        <v>42</v>
      </c>
      <c r="E109" s="25">
        <v>696</v>
      </c>
      <c r="F109" s="27" t="s">
        <v>1052</v>
      </c>
      <c r="G109" s="180">
        <v>10.55</v>
      </c>
      <c r="H109" s="150">
        <f t="shared" si="23"/>
        <v>7342.8</v>
      </c>
      <c r="I109" s="306">
        <v>1.5</v>
      </c>
      <c r="J109" s="155">
        <v>1.47</v>
      </c>
      <c r="K109" s="156">
        <v>0.4</v>
      </c>
      <c r="L109" s="157">
        <v>0.1</v>
      </c>
      <c r="M109" s="153">
        <f t="shared" si="24"/>
        <v>1.87</v>
      </c>
      <c r="N109" s="166">
        <v>0.25</v>
      </c>
      <c r="O109" s="167">
        <v>0.1</v>
      </c>
      <c r="P109" s="168">
        <v>0.2</v>
      </c>
      <c r="Q109" s="314">
        <f t="shared" si="25"/>
        <v>1044</v>
      </c>
      <c r="R109" s="152">
        <f t="shared" si="26"/>
        <v>1023.12</v>
      </c>
      <c r="S109" s="154">
        <f t="shared" si="27"/>
        <v>278.40000000000003</v>
      </c>
      <c r="T109" s="169">
        <f t="shared" si="28"/>
        <v>69.600000000000009</v>
      </c>
      <c r="U109" s="153">
        <f t="shared" si="29"/>
        <v>1301.52</v>
      </c>
      <c r="V109" s="166">
        <f t="shared" si="30"/>
        <v>174</v>
      </c>
      <c r="W109" s="167">
        <f t="shared" si="31"/>
        <v>69.600000000000009</v>
      </c>
      <c r="X109" s="168">
        <f t="shared" si="32"/>
        <v>139.20000000000002</v>
      </c>
      <c r="Y109" s="14"/>
    </row>
    <row r="110" spans="1:25">
      <c r="A110" s="232"/>
      <c r="B110" s="27"/>
      <c r="C110" s="24" t="s">
        <v>21</v>
      </c>
      <c r="D110" s="24" t="s">
        <v>42</v>
      </c>
      <c r="E110" s="25">
        <v>888</v>
      </c>
      <c r="F110" s="27" t="s">
        <v>1053</v>
      </c>
      <c r="G110" s="180">
        <v>10.55</v>
      </c>
      <c r="H110" s="150">
        <f t="shared" si="23"/>
        <v>9368.4000000000015</v>
      </c>
      <c r="I110" s="306">
        <v>1.5</v>
      </c>
      <c r="J110" s="155">
        <v>1.47</v>
      </c>
      <c r="K110" s="156">
        <v>0.4</v>
      </c>
      <c r="L110" s="157">
        <v>1.1000000000000001</v>
      </c>
      <c r="M110" s="153">
        <f>J110+K110</f>
        <v>1.87</v>
      </c>
      <c r="N110" s="166">
        <v>0.25</v>
      </c>
      <c r="O110" s="167">
        <v>0.1</v>
      </c>
      <c r="P110" s="168">
        <v>0.2</v>
      </c>
      <c r="Q110" s="314">
        <f t="shared" si="25"/>
        <v>1332</v>
      </c>
      <c r="R110" s="152">
        <f t="shared" si="26"/>
        <v>1305.3599999999999</v>
      </c>
      <c r="S110" s="154">
        <f t="shared" si="27"/>
        <v>355.20000000000005</v>
      </c>
      <c r="T110" s="169">
        <f t="shared" si="28"/>
        <v>976.80000000000007</v>
      </c>
      <c r="U110" s="153">
        <f t="shared" si="29"/>
        <v>1660.5600000000002</v>
      </c>
      <c r="V110" s="166">
        <f t="shared" si="30"/>
        <v>222</v>
      </c>
      <c r="W110" s="167">
        <f t="shared" si="31"/>
        <v>88.800000000000011</v>
      </c>
      <c r="X110" s="168">
        <f t="shared" si="32"/>
        <v>177.60000000000002</v>
      </c>
      <c r="Y110" s="14"/>
    </row>
    <row r="111" spans="1:25">
      <c r="A111" s="232"/>
      <c r="B111" s="27"/>
      <c r="C111" s="24" t="s">
        <v>21</v>
      </c>
      <c r="D111" s="24" t="s">
        <v>42</v>
      </c>
      <c r="E111" s="25">
        <v>1392</v>
      </c>
      <c r="F111" s="27" t="s">
        <v>1054</v>
      </c>
      <c r="G111" s="180">
        <v>10.55</v>
      </c>
      <c r="H111" s="150">
        <f t="shared" si="23"/>
        <v>14685.6</v>
      </c>
      <c r="I111" s="306">
        <v>1.5</v>
      </c>
      <c r="J111" s="155">
        <v>1.47</v>
      </c>
      <c r="K111" s="156">
        <v>0.4</v>
      </c>
      <c r="L111" s="157">
        <v>2.1</v>
      </c>
      <c r="M111" s="153">
        <f>J111+K111</f>
        <v>1.87</v>
      </c>
      <c r="N111" s="166">
        <v>0.25</v>
      </c>
      <c r="O111" s="167">
        <v>0.1</v>
      </c>
      <c r="P111" s="168">
        <v>0.2</v>
      </c>
      <c r="Q111" s="314">
        <f t="shared" si="25"/>
        <v>2088</v>
      </c>
      <c r="R111" s="152">
        <f t="shared" si="26"/>
        <v>2046.24</v>
      </c>
      <c r="S111" s="154">
        <f t="shared" si="27"/>
        <v>556.80000000000007</v>
      </c>
      <c r="T111" s="183">
        <f t="shared" si="28"/>
        <v>2923.2000000000003</v>
      </c>
      <c r="U111" s="153">
        <f t="shared" si="29"/>
        <v>2603.04</v>
      </c>
      <c r="V111" s="166">
        <f t="shared" si="30"/>
        <v>348</v>
      </c>
      <c r="W111" s="167">
        <f t="shared" si="31"/>
        <v>139.20000000000002</v>
      </c>
      <c r="X111" s="168">
        <f t="shared" si="32"/>
        <v>278.40000000000003</v>
      </c>
      <c r="Y111" s="14"/>
    </row>
    <row r="112" spans="1:25">
      <c r="A112" s="232"/>
      <c r="B112" s="27"/>
      <c r="C112" s="24" t="s">
        <v>21</v>
      </c>
      <c r="D112" s="24" t="s">
        <v>42</v>
      </c>
      <c r="E112" s="25">
        <v>528</v>
      </c>
      <c r="F112" s="27" t="s">
        <v>1055</v>
      </c>
      <c r="G112" s="180">
        <v>10.55</v>
      </c>
      <c r="H112" s="150">
        <f t="shared" si="23"/>
        <v>5570.4000000000005</v>
      </c>
      <c r="I112" s="306">
        <v>1.5</v>
      </c>
      <c r="J112" s="155">
        <v>1.47</v>
      </c>
      <c r="K112" s="156">
        <v>0.4</v>
      </c>
      <c r="L112" s="157">
        <v>3.1</v>
      </c>
      <c r="M112" s="153">
        <f>J112+K112</f>
        <v>1.87</v>
      </c>
      <c r="N112" s="166">
        <v>0.25</v>
      </c>
      <c r="O112" s="167">
        <v>0.1</v>
      </c>
      <c r="P112" s="168">
        <v>0.2</v>
      </c>
      <c r="Q112" s="309">
        <f t="shared" si="25"/>
        <v>792</v>
      </c>
      <c r="R112" s="152">
        <f t="shared" si="26"/>
        <v>776.16</v>
      </c>
      <c r="S112" s="154">
        <f t="shared" si="27"/>
        <v>211.20000000000002</v>
      </c>
      <c r="T112" s="183">
        <f t="shared" si="28"/>
        <v>1636.8</v>
      </c>
      <c r="U112" s="153">
        <f t="shared" si="29"/>
        <v>987.36</v>
      </c>
      <c r="V112" s="166">
        <f t="shared" si="30"/>
        <v>132</v>
      </c>
      <c r="W112" s="167">
        <f t="shared" si="31"/>
        <v>52.800000000000004</v>
      </c>
      <c r="X112" s="168">
        <f t="shared" si="32"/>
        <v>105.60000000000001</v>
      </c>
      <c r="Y112" s="14"/>
    </row>
    <row r="113" spans="1:25">
      <c r="A113" s="232">
        <v>40261</v>
      </c>
      <c r="B113" s="27">
        <v>398</v>
      </c>
      <c r="C113" s="24" t="s">
        <v>1056</v>
      </c>
      <c r="D113" s="20" t="s">
        <v>1057</v>
      </c>
      <c r="E113" s="25">
        <v>85</v>
      </c>
      <c r="F113" s="27" t="s">
        <v>1058</v>
      </c>
      <c r="G113" s="180">
        <v>87.5</v>
      </c>
      <c r="H113" s="150">
        <f t="shared" si="23"/>
        <v>7437.5</v>
      </c>
      <c r="I113" s="306">
        <v>9</v>
      </c>
      <c r="J113" s="155">
        <v>18.239999999999998</v>
      </c>
      <c r="K113" s="156">
        <v>2</v>
      </c>
      <c r="L113" s="157">
        <v>0.3</v>
      </c>
      <c r="M113" s="153">
        <f t="shared" si="24"/>
        <v>20.239999999999998</v>
      </c>
      <c r="N113" s="166">
        <v>1.42</v>
      </c>
      <c r="O113" s="167">
        <v>0.1</v>
      </c>
      <c r="P113" s="168">
        <v>0.1</v>
      </c>
      <c r="Q113" s="309">
        <f t="shared" si="25"/>
        <v>765</v>
      </c>
      <c r="R113" s="152">
        <f t="shared" si="26"/>
        <v>1550.3999999999999</v>
      </c>
      <c r="S113" s="154">
        <f t="shared" si="27"/>
        <v>170</v>
      </c>
      <c r="T113" s="169">
        <f t="shared" si="28"/>
        <v>25.5</v>
      </c>
      <c r="U113" s="153">
        <f t="shared" si="29"/>
        <v>1720.3999999999999</v>
      </c>
      <c r="V113" s="166">
        <f t="shared" si="30"/>
        <v>120.69999999999999</v>
      </c>
      <c r="W113" s="167">
        <f t="shared" si="31"/>
        <v>8.5</v>
      </c>
      <c r="X113" s="168">
        <f t="shared" si="32"/>
        <v>8.5</v>
      </c>
      <c r="Y113" s="14"/>
    </row>
    <row r="114" spans="1:25">
      <c r="A114" s="232">
        <v>40261</v>
      </c>
      <c r="B114" s="27">
        <v>399</v>
      </c>
      <c r="C114" s="24" t="s">
        <v>1059</v>
      </c>
      <c r="D114" s="20" t="s">
        <v>210</v>
      </c>
      <c r="E114" s="25">
        <f>121+4</f>
        <v>125</v>
      </c>
      <c r="F114" s="27" t="s">
        <v>1060</v>
      </c>
      <c r="G114" s="180">
        <v>34</v>
      </c>
      <c r="H114" s="150">
        <f t="shared" si="23"/>
        <v>4250</v>
      </c>
      <c r="I114" s="306">
        <v>3.5</v>
      </c>
      <c r="J114" s="155">
        <v>4.66</v>
      </c>
      <c r="K114" s="156">
        <v>1.6</v>
      </c>
      <c r="L114" s="157">
        <v>0.24</v>
      </c>
      <c r="M114" s="153">
        <f t="shared" si="24"/>
        <v>6.26</v>
      </c>
      <c r="N114" s="166">
        <v>0.33</v>
      </c>
      <c r="O114" s="167">
        <v>0.1</v>
      </c>
      <c r="P114" s="168">
        <v>0.1</v>
      </c>
      <c r="Q114" s="309">
        <f t="shared" si="25"/>
        <v>437.5</v>
      </c>
      <c r="R114" s="152">
        <f t="shared" si="26"/>
        <v>582.5</v>
      </c>
      <c r="S114" s="154">
        <f t="shared" si="27"/>
        <v>200</v>
      </c>
      <c r="T114" s="169">
        <f t="shared" si="28"/>
        <v>30</v>
      </c>
      <c r="U114" s="153">
        <f t="shared" si="29"/>
        <v>782.5</v>
      </c>
      <c r="V114" s="166">
        <f t="shared" si="30"/>
        <v>41.25</v>
      </c>
      <c r="W114" s="167">
        <f t="shared" si="31"/>
        <v>12.5</v>
      </c>
      <c r="X114" s="168">
        <f t="shared" si="32"/>
        <v>12.5</v>
      </c>
      <c r="Y114" s="14"/>
    </row>
    <row r="115" spans="1:25">
      <c r="A115" s="232"/>
      <c r="B115" s="27"/>
      <c r="C115" s="24" t="s">
        <v>1059</v>
      </c>
      <c r="D115" s="20" t="s">
        <v>210</v>
      </c>
      <c r="E115" s="25">
        <v>141</v>
      </c>
      <c r="F115" s="27" t="s">
        <v>1061</v>
      </c>
      <c r="G115" s="180">
        <v>30</v>
      </c>
      <c r="H115" s="150">
        <f t="shared" si="23"/>
        <v>4230</v>
      </c>
      <c r="I115" s="306">
        <v>3.5</v>
      </c>
      <c r="J115" s="155">
        <v>2.9</v>
      </c>
      <c r="K115" s="156">
        <v>1.6</v>
      </c>
      <c r="L115" s="157">
        <v>0.24</v>
      </c>
      <c r="M115" s="153">
        <f t="shared" si="24"/>
        <v>4.5</v>
      </c>
      <c r="N115" s="166">
        <v>0.33</v>
      </c>
      <c r="O115" s="167">
        <v>0.1</v>
      </c>
      <c r="P115" s="168">
        <v>0.1</v>
      </c>
      <c r="Q115" s="309">
        <f t="shared" si="25"/>
        <v>493.5</v>
      </c>
      <c r="R115" s="152">
        <f t="shared" si="26"/>
        <v>408.9</v>
      </c>
      <c r="S115" s="154">
        <f t="shared" si="27"/>
        <v>225.60000000000002</v>
      </c>
      <c r="T115" s="169">
        <f t="shared" si="28"/>
        <v>33.839999999999996</v>
      </c>
      <c r="U115" s="153">
        <f t="shared" si="29"/>
        <v>634.5</v>
      </c>
      <c r="V115" s="166">
        <f t="shared" si="30"/>
        <v>46.53</v>
      </c>
      <c r="W115" s="167">
        <f t="shared" si="31"/>
        <v>14.100000000000001</v>
      </c>
      <c r="X115" s="168">
        <f t="shared" si="32"/>
        <v>14.100000000000001</v>
      </c>
      <c r="Y115" s="14"/>
    </row>
    <row r="116" spans="1:25">
      <c r="A116" s="232">
        <v>40261</v>
      </c>
      <c r="B116" s="27">
        <v>400</v>
      </c>
      <c r="C116" s="24" t="s">
        <v>143</v>
      </c>
      <c r="D116" s="24" t="s">
        <v>144</v>
      </c>
      <c r="E116" s="25">
        <v>3</v>
      </c>
      <c r="F116" s="27" t="s">
        <v>1062</v>
      </c>
      <c r="G116" s="180">
        <v>45</v>
      </c>
      <c r="H116" s="150">
        <f t="shared" si="23"/>
        <v>135</v>
      </c>
      <c r="I116" s="306">
        <v>3.5</v>
      </c>
      <c r="J116" s="155">
        <v>9.19</v>
      </c>
      <c r="K116" s="156">
        <v>1</v>
      </c>
      <c r="L116" s="157">
        <v>0.15</v>
      </c>
      <c r="M116" s="153">
        <f t="shared" si="24"/>
        <v>10.19</v>
      </c>
      <c r="N116" s="166">
        <v>0.33</v>
      </c>
      <c r="O116" s="167">
        <v>0.1</v>
      </c>
      <c r="P116" s="168">
        <v>0.1</v>
      </c>
      <c r="Q116" s="309">
        <f t="shared" si="25"/>
        <v>10.5</v>
      </c>
      <c r="R116" s="152">
        <f t="shared" si="26"/>
        <v>27.57</v>
      </c>
      <c r="S116" s="154">
        <f t="shared" si="27"/>
        <v>3</v>
      </c>
      <c r="T116" s="169">
        <f t="shared" si="28"/>
        <v>0.44999999999999996</v>
      </c>
      <c r="U116" s="153">
        <f t="shared" si="29"/>
        <v>30.57</v>
      </c>
      <c r="V116" s="166">
        <f t="shared" si="30"/>
        <v>0.99</v>
      </c>
      <c r="W116" s="167">
        <f t="shared" si="31"/>
        <v>0.30000000000000004</v>
      </c>
      <c r="X116" s="168">
        <f t="shared" si="32"/>
        <v>0.30000000000000004</v>
      </c>
      <c r="Y116" s="14"/>
    </row>
    <row r="117" spans="1:25">
      <c r="A117" s="232"/>
      <c r="B117" s="27"/>
      <c r="C117" s="24" t="s">
        <v>143</v>
      </c>
      <c r="D117" s="24" t="s">
        <v>144</v>
      </c>
      <c r="E117" s="25">
        <v>3</v>
      </c>
      <c r="F117" s="27" t="s">
        <v>1063</v>
      </c>
      <c r="G117" s="180">
        <v>45</v>
      </c>
      <c r="H117" s="150">
        <f t="shared" si="23"/>
        <v>135</v>
      </c>
      <c r="I117" s="306">
        <v>3.5</v>
      </c>
      <c r="J117" s="155">
        <v>9.19</v>
      </c>
      <c r="K117" s="156">
        <v>1</v>
      </c>
      <c r="L117" s="157">
        <v>0.15</v>
      </c>
      <c r="M117" s="153">
        <f>J117+K117</f>
        <v>10.19</v>
      </c>
      <c r="N117" s="166">
        <v>0.33</v>
      </c>
      <c r="O117" s="167">
        <v>0.1</v>
      </c>
      <c r="P117" s="168">
        <v>0.1</v>
      </c>
      <c r="Q117" s="309">
        <f t="shared" si="25"/>
        <v>10.5</v>
      </c>
      <c r="R117" s="152">
        <f t="shared" si="26"/>
        <v>27.57</v>
      </c>
      <c r="S117" s="154">
        <f t="shared" si="27"/>
        <v>3</v>
      </c>
      <c r="T117" s="169">
        <f t="shared" si="28"/>
        <v>0.44999999999999996</v>
      </c>
      <c r="U117" s="153">
        <f t="shared" si="29"/>
        <v>30.57</v>
      </c>
      <c r="V117" s="166">
        <f t="shared" si="30"/>
        <v>0.99</v>
      </c>
      <c r="W117" s="167">
        <f t="shared" si="31"/>
        <v>0.30000000000000004</v>
      </c>
      <c r="X117" s="168">
        <f t="shared" si="32"/>
        <v>0.30000000000000004</v>
      </c>
      <c r="Y117" s="14"/>
    </row>
    <row r="118" spans="1:25">
      <c r="A118" s="232"/>
      <c r="B118" s="27"/>
      <c r="C118" s="24" t="s">
        <v>143</v>
      </c>
      <c r="D118" s="24" t="s">
        <v>144</v>
      </c>
      <c r="E118" s="25">
        <v>3</v>
      </c>
      <c r="F118" s="27" t="s">
        <v>1064</v>
      </c>
      <c r="G118" s="180">
        <v>45</v>
      </c>
      <c r="H118" s="150">
        <f t="shared" si="23"/>
        <v>135</v>
      </c>
      <c r="I118" s="306">
        <v>3.5</v>
      </c>
      <c r="J118" s="155">
        <v>9.19</v>
      </c>
      <c r="K118" s="156">
        <v>1</v>
      </c>
      <c r="L118" s="157">
        <v>0.15</v>
      </c>
      <c r="M118" s="153">
        <f>J118+K118</f>
        <v>10.19</v>
      </c>
      <c r="N118" s="166">
        <v>0.33</v>
      </c>
      <c r="O118" s="167">
        <v>0.1</v>
      </c>
      <c r="P118" s="168">
        <v>0.1</v>
      </c>
      <c r="Q118" s="309">
        <f t="shared" si="25"/>
        <v>10.5</v>
      </c>
      <c r="R118" s="152">
        <f t="shared" si="26"/>
        <v>27.57</v>
      </c>
      <c r="S118" s="154">
        <f t="shared" si="27"/>
        <v>3</v>
      </c>
      <c r="T118" s="169">
        <f t="shared" si="28"/>
        <v>0.44999999999999996</v>
      </c>
      <c r="U118" s="153">
        <f t="shared" si="29"/>
        <v>30.57</v>
      </c>
      <c r="V118" s="166">
        <f t="shared" si="30"/>
        <v>0.99</v>
      </c>
      <c r="W118" s="167">
        <f t="shared" si="31"/>
        <v>0.30000000000000004</v>
      </c>
      <c r="X118" s="168">
        <f t="shared" si="32"/>
        <v>0.30000000000000004</v>
      </c>
      <c r="Y118" s="14"/>
    </row>
    <row r="119" spans="1:25">
      <c r="A119" s="232"/>
      <c r="B119" s="27"/>
      <c r="C119" s="24" t="s">
        <v>143</v>
      </c>
      <c r="D119" s="24" t="s">
        <v>144</v>
      </c>
      <c r="E119" s="25">
        <v>3</v>
      </c>
      <c r="F119" s="27" t="s">
        <v>1065</v>
      </c>
      <c r="G119" s="180">
        <v>45</v>
      </c>
      <c r="H119" s="150">
        <f t="shared" si="23"/>
        <v>135</v>
      </c>
      <c r="I119" s="306">
        <v>3.5</v>
      </c>
      <c r="J119" s="155">
        <v>9.19</v>
      </c>
      <c r="K119" s="156">
        <v>1</v>
      </c>
      <c r="L119" s="157">
        <v>0.15</v>
      </c>
      <c r="M119" s="153">
        <f>J119+K119</f>
        <v>10.19</v>
      </c>
      <c r="N119" s="166">
        <v>0.33</v>
      </c>
      <c r="O119" s="167">
        <v>0.1</v>
      </c>
      <c r="P119" s="168">
        <v>0.1</v>
      </c>
      <c r="Q119" s="309">
        <f t="shared" si="25"/>
        <v>10.5</v>
      </c>
      <c r="R119" s="152">
        <f t="shared" si="26"/>
        <v>27.57</v>
      </c>
      <c r="S119" s="154">
        <f t="shared" si="27"/>
        <v>3</v>
      </c>
      <c r="T119" s="169">
        <f t="shared" si="28"/>
        <v>0.44999999999999996</v>
      </c>
      <c r="U119" s="153">
        <f t="shared" si="29"/>
        <v>30.57</v>
      </c>
      <c r="V119" s="166">
        <f t="shared" si="30"/>
        <v>0.99</v>
      </c>
      <c r="W119" s="167">
        <f t="shared" si="31"/>
        <v>0.30000000000000004</v>
      </c>
      <c r="X119" s="168">
        <f t="shared" si="32"/>
        <v>0.30000000000000004</v>
      </c>
      <c r="Y119" s="14"/>
    </row>
    <row r="120" spans="1:25">
      <c r="A120" s="232">
        <v>40262</v>
      </c>
      <c r="B120" s="27">
        <v>401</v>
      </c>
      <c r="C120" s="24" t="s">
        <v>1066</v>
      </c>
      <c r="D120" s="24" t="s">
        <v>653</v>
      </c>
      <c r="E120" s="25">
        <v>270</v>
      </c>
      <c r="F120" s="27" t="s">
        <v>1067</v>
      </c>
      <c r="G120" s="180">
        <v>16.5</v>
      </c>
      <c r="H120" s="150">
        <f t="shared" si="23"/>
        <v>4455</v>
      </c>
      <c r="I120" s="306">
        <v>1</v>
      </c>
      <c r="J120" s="155">
        <v>0.71</v>
      </c>
      <c r="K120" s="156">
        <v>5.5</v>
      </c>
      <c r="L120" s="157">
        <v>0.83</v>
      </c>
      <c r="M120" s="153">
        <f t="shared" si="24"/>
        <v>6.21</v>
      </c>
      <c r="N120" s="166">
        <v>0.28999999999999998</v>
      </c>
      <c r="O120" s="167">
        <v>0.1</v>
      </c>
      <c r="P120" s="168">
        <v>0.1</v>
      </c>
      <c r="Q120" s="309">
        <f t="shared" si="25"/>
        <v>270</v>
      </c>
      <c r="R120" s="152">
        <f t="shared" si="26"/>
        <v>191.7</v>
      </c>
      <c r="S120" s="154">
        <f t="shared" si="27"/>
        <v>1485</v>
      </c>
      <c r="T120" s="169">
        <f t="shared" si="28"/>
        <v>224.1</v>
      </c>
      <c r="U120" s="153">
        <f t="shared" si="29"/>
        <v>1676.7</v>
      </c>
      <c r="V120" s="166">
        <f t="shared" si="30"/>
        <v>78.3</v>
      </c>
      <c r="W120" s="167">
        <f t="shared" si="31"/>
        <v>27</v>
      </c>
      <c r="X120" s="168">
        <f t="shared" si="32"/>
        <v>27</v>
      </c>
      <c r="Y120" s="14"/>
    </row>
    <row r="121" spans="1:25">
      <c r="A121" s="232">
        <v>40261</v>
      </c>
      <c r="B121" s="27">
        <v>402</v>
      </c>
      <c r="C121" s="24" t="s">
        <v>346</v>
      </c>
      <c r="D121" s="24" t="s">
        <v>996</v>
      </c>
      <c r="E121" s="25">
        <v>12</v>
      </c>
      <c r="F121" s="27" t="s">
        <v>1068</v>
      </c>
      <c r="G121" s="180">
        <v>22</v>
      </c>
      <c r="H121" s="150">
        <f t="shared" si="23"/>
        <v>264</v>
      </c>
      <c r="I121" s="306">
        <v>4</v>
      </c>
      <c r="J121" s="155">
        <v>5.89</v>
      </c>
      <c r="K121" s="156">
        <v>3.5</v>
      </c>
      <c r="L121" s="157">
        <v>0.53</v>
      </c>
      <c r="M121" s="153">
        <f t="shared" si="24"/>
        <v>9.39</v>
      </c>
      <c r="N121" s="166">
        <v>0.35</v>
      </c>
      <c r="O121" s="167">
        <v>0.1</v>
      </c>
      <c r="P121" s="168">
        <v>0</v>
      </c>
      <c r="Q121" s="309">
        <f t="shared" si="25"/>
        <v>48</v>
      </c>
      <c r="R121" s="152">
        <f t="shared" si="26"/>
        <v>70.679999999999993</v>
      </c>
      <c r="S121" s="154">
        <f t="shared" si="27"/>
        <v>42</v>
      </c>
      <c r="T121" s="169">
        <f t="shared" si="28"/>
        <v>6.36</v>
      </c>
      <c r="U121" s="153">
        <f t="shared" si="29"/>
        <v>112.68</v>
      </c>
      <c r="V121" s="166">
        <f t="shared" si="30"/>
        <v>4.1999999999999993</v>
      </c>
      <c r="W121" s="167">
        <f t="shared" si="31"/>
        <v>1.2000000000000002</v>
      </c>
      <c r="X121" s="168">
        <f t="shared" si="32"/>
        <v>0</v>
      </c>
      <c r="Y121" s="14"/>
    </row>
    <row r="122" spans="1:25">
      <c r="A122" s="232"/>
      <c r="B122" s="27"/>
      <c r="C122" s="24" t="s">
        <v>346</v>
      </c>
      <c r="D122" s="24" t="s">
        <v>996</v>
      </c>
      <c r="E122" s="25">
        <v>24</v>
      </c>
      <c r="F122" s="27" t="s">
        <v>1069</v>
      </c>
      <c r="G122" s="180">
        <v>28</v>
      </c>
      <c r="H122" s="150">
        <f t="shared" si="23"/>
        <v>672</v>
      </c>
      <c r="I122" s="306">
        <v>4</v>
      </c>
      <c r="J122" s="155">
        <v>3.32</v>
      </c>
      <c r="K122" s="156">
        <v>3.5</v>
      </c>
      <c r="L122" s="157">
        <v>0.53</v>
      </c>
      <c r="M122" s="153">
        <f>J122+K122</f>
        <v>6.82</v>
      </c>
      <c r="N122" s="166">
        <v>0.35</v>
      </c>
      <c r="O122" s="167">
        <v>0.1</v>
      </c>
      <c r="P122" s="168">
        <v>0</v>
      </c>
      <c r="Q122" s="309">
        <f t="shared" si="25"/>
        <v>96</v>
      </c>
      <c r="R122" s="152">
        <f t="shared" si="26"/>
        <v>79.679999999999993</v>
      </c>
      <c r="S122" s="154">
        <f t="shared" si="27"/>
        <v>84</v>
      </c>
      <c r="T122" s="169">
        <f t="shared" si="28"/>
        <v>12.72</v>
      </c>
      <c r="U122" s="153">
        <f t="shared" si="29"/>
        <v>163.68</v>
      </c>
      <c r="V122" s="166">
        <f t="shared" si="30"/>
        <v>8.3999999999999986</v>
      </c>
      <c r="W122" s="167">
        <f t="shared" si="31"/>
        <v>2.4000000000000004</v>
      </c>
      <c r="X122" s="168">
        <f t="shared" si="32"/>
        <v>0</v>
      </c>
      <c r="Y122" s="14"/>
    </row>
    <row r="123" spans="1:25">
      <c r="A123" s="232"/>
      <c r="B123" s="27"/>
      <c r="C123" s="24" t="s">
        <v>346</v>
      </c>
      <c r="D123" s="24" t="s">
        <v>996</v>
      </c>
      <c r="E123" s="25">
        <v>24</v>
      </c>
      <c r="F123" s="27" t="s">
        <v>1070</v>
      </c>
      <c r="G123" s="180">
        <v>32</v>
      </c>
      <c r="H123" s="150">
        <f t="shared" si="23"/>
        <v>768</v>
      </c>
      <c r="I123" s="306">
        <v>4</v>
      </c>
      <c r="J123" s="155">
        <v>7.08</v>
      </c>
      <c r="K123" s="156">
        <v>3.5</v>
      </c>
      <c r="L123" s="157">
        <v>0.53</v>
      </c>
      <c r="M123" s="153">
        <f>J123+K123</f>
        <v>10.58</v>
      </c>
      <c r="N123" s="166">
        <v>0.35</v>
      </c>
      <c r="O123" s="167">
        <v>0.1</v>
      </c>
      <c r="P123" s="168">
        <v>0</v>
      </c>
      <c r="Q123" s="309">
        <f t="shared" si="25"/>
        <v>96</v>
      </c>
      <c r="R123" s="152">
        <f t="shared" si="26"/>
        <v>169.92000000000002</v>
      </c>
      <c r="S123" s="154">
        <f t="shared" si="27"/>
        <v>84</v>
      </c>
      <c r="T123" s="169">
        <f t="shared" si="28"/>
        <v>12.72</v>
      </c>
      <c r="U123" s="153">
        <f t="shared" si="29"/>
        <v>253.92000000000002</v>
      </c>
      <c r="V123" s="166">
        <f t="shared" si="30"/>
        <v>8.3999999999999986</v>
      </c>
      <c r="W123" s="167">
        <f t="shared" si="31"/>
        <v>2.4000000000000004</v>
      </c>
      <c r="X123" s="168">
        <f t="shared" si="32"/>
        <v>0</v>
      </c>
      <c r="Y123" s="14"/>
    </row>
    <row r="124" spans="1:25">
      <c r="A124" s="232"/>
      <c r="B124" s="27"/>
      <c r="C124" s="24" t="s">
        <v>346</v>
      </c>
      <c r="D124" s="24" t="s">
        <v>996</v>
      </c>
      <c r="E124" s="25">
        <v>12</v>
      </c>
      <c r="F124" s="27" t="s">
        <v>1071</v>
      </c>
      <c r="G124" s="180">
        <v>35</v>
      </c>
      <c r="H124" s="150">
        <f t="shared" si="23"/>
        <v>420</v>
      </c>
      <c r="I124" s="306">
        <v>4</v>
      </c>
      <c r="J124" s="155">
        <v>5.89</v>
      </c>
      <c r="K124" s="156">
        <v>3.5</v>
      </c>
      <c r="L124" s="157">
        <v>0.53</v>
      </c>
      <c r="M124" s="153">
        <f>J124+K124</f>
        <v>9.39</v>
      </c>
      <c r="N124" s="166">
        <v>0.35</v>
      </c>
      <c r="O124" s="167">
        <v>0.1</v>
      </c>
      <c r="P124" s="168">
        <v>0</v>
      </c>
      <c r="Q124" s="309">
        <f t="shared" si="25"/>
        <v>48</v>
      </c>
      <c r="R124" s="152">
        <f t="shared" si="26"/>
        <v>70.679999999999993</v>
      </c>
      <c r="S124" s="154">
        <f t="shared" si="27"/>
        <v>42</v>
      </c>
      <c r="T124" s="169">
        <f t="shared" si="28"/>
        <v>6.36</v>
      </c>
      <c r="U124" s="153">
        <f t="shared" si="29"/>
        <v>112.68</v>
      </c>
      <c r="V124" s="166">
        <f t="shared" si="30"/>
        <v>4.1999999999999993</v>
      </c>
      <c r="W124" s="167">
        <f t="shared" si="31"/>
        <v>1.2000000000000002</v>
      </c>
      <c r="X124" s="168">
        <f t="shared" si="32"/>
        <v>0</v>
      </c>
      <c r="Y124" s="14"/>
    </row>
    <row r="125" spans="1:25">
      <c r="A125" s="232"/>
      <c r="B125" s="27"/>
      <c r="C125" s="24" t="s">
        <v>346</v>
      </c>
      <c r="D125" s="24" t="s">
        <v>996</v>
      </c>
      <c r="E125" s="25">
        <v>18</v>
      </c>
      <c r="F125" s="27" t="s">
        <v>1072</v>
      </c>
      <c r="G125" s="180">
        <v>38.5</v>
      </c>
      <c r="H125" s="150">
        <f t="shared" si="23"/>
        <v>693</v>
      </c>
      <c r="I125" s="306">
        <v>4</v>
      </c>
      <c r="J125" s="155">
        <v>7.69</v>
      </c>
      <c r="K125" s="156">
        <v>3.5</v>
      </c>
      <c r="L125" s="157">
        <v>0.53</v>
      </c>
      <c r="M125" s="153">
        <f>J125+K125</f>
        <v>11.190000000000001</v>
      </c>
      <c r="N125" s="166">
        <v>0.35</v>
      </c>
      <c r="O125" s="167">
        <v>0.1</v>
      </c>
      <c r="P125" s="168">
        <v>0</v>
      </c>
      <c r="Q125" s="309">
        <f t="shared" si="25"/>
        <v>72</v>
      </c>
      <c r="R125" s="152">
        <f t="shared" si="26"/>
        <v>138.42000000000002</v>
      </c>
      <c r="S125" s="154">
        <f t="shared" si="27"/>
        <v>63</v>
      </c>
      <c r="T125" s="169">
        <f t="shared" si="28"/>
        <v>9.5400000000000009</v>
      </c>
      <c r="U125" s="153">
        <f t="shared" si="29"/>
        <v>201.42000000000002</v>
      </c>
      <c r="V125" s="166">
        <f t="shared" si="30"/>
        <v>6.3</v>
      </c>
      <c r="W125" s="167">
        <f t="shared" si="31"/>
        <v>1.8</v>
      </c>
      <c r="X125" s="168">
        <f t="shared" si="32"/>
        <v>0</v>
      </c>
      <c r="Y125" s="14"/>
    </row>
    <row r="126" spans="1:25">
      <c r="A126" s="232"/>
      <c r="B126" s="27"/>
      <c r="C126" s="24" t="s">
        <v>346</v>
      </c>
      <c r="D126" s="24" t="s">
        <v>996</v>
      </c>
      <c r="E126" s="25">
        <v>18</v>
      </c>
      <c r="F126" s="27" t="s">
        <v>1073</v>
      </c>
      <c r="G126" s="180">
        <v>35</v>
      </c>
      <c r="H126" s="150">
        <f t="shared" si="23"/>
        <v>630</v>
      </c>
      <c r="I126" s="306">
        <v>4</v>
      </c>
      <c r="J126" s="155">
        <v>11.69</v>
      </c>
      <c r="K126" s="156">
        <v>3.5</v>
      </c>
      <c r="L126" s="157">
        <v>0.53</v>
      </c>
      <c r="M126" s="153">
        <f>J126+K126</f>
        <v>15.19</v>
      </c>
      <c r="N126" s="166">
        <v>0.35</v>
      </c>
      <c r="O126" s="167">
        <v>0.1</v>
      </c>
      <c r="P126" s="168">
        <v>0</v>
      </c>
      <c r="Q126" s="309">
        <f t="shared" si="25"/>
        <v>72</v>
      </c>
      <c r="R126" s="152">
        <f t="shared" si="26"/>
        <v>210.42</v>
      </c>
      <c r="S126" s="154">
        <f t="shared" si="27"/>
        <v>63</v>
      </c>
      <c r="T126" s="169">
        <f t="shared" si="28"/>
        <v>9.5400000000000009</v>
      </c>
      <c r="U126" s="153">
        <f t="shared" si="29"/>
        <v>273.42</v>
      </c>
      <c r="V126" s="166">
        <f t="shared" si="30"/>
        <v>6.3</v>
      </c>
      <c r="W126" s="167">
        <f t="shared" si="31"/>
        <v>1.8</v>
      </c>
      <c r="X126" s="168">
        <f t="shared" si="32"/>
        <v>0</v>
      </c>
      <c r="Y126" s="14"/>
    </row>
    <row r="127" spans="1:25">
      <c r="A127" s="232">
        <v>40262</v>
      </c>
      <c r="B127" s="27">
        <v>403</v>
      </c>
      <c r="C127" s="24" t="s">
        <v>112</v>
      </c>
      <c r="D127" s="24" t="s">
        <v>113</v>
      </c>
      <c r="E127" s="25">
        <v>17</v>
      </c>
      <c r="F127" s="27" t="s">
        <v>1074</v>
      </c>
      <c r="G127" s="180">
        <v>8.5</v>
      </c>
      <c r="H127" s="150">
        <f t="shared" si="23"/>
        <v>144.5</v>
      </c>
      <c r="I127" s="306">
        <v>1</v>
      </c>
      <c r="J127" s="155">
        <v>0.97</v>
      </c>
      <c r="K127" s="156">
        <v>1.5</v>
      </c>
      <c r="L127" s="157">
        <v>0.23</v>
      </c>
      <c r="M127" s="153">
        <f t="shared" si="24"/>
        <v>2.4699999999999998</v>
      </c>
      <c r="N127" s="166">
        <v>0</v>
      </c>
      <c r="O127" s="167">
        <v>0.1</v>
      </c>
      <c r="P127" s="168">
        <v>0</v>
      </c>
      <c r="Q127" s="309">
        <f t="shared" si="25"/>
        <v>17</v>
      </c>
      <c r="R127" s="152">
        <f t="shared" si="26"/>
        <v>16.489999999999998</v>
      </c>
      <c r="S127" s="154">
        <f t="shared" si="27"/>
        <v>25.5</v>
      </c>
      <c r="T127" s="169">
        <f t="shared" si="28"/>
        <v>3.91</v>
      </c>
      <c r="U127" s="153">
        <f t="shared" si="29"/>
        <v>41.989999999999995</v>
      </c>
      <c r="V127" s="166">
        <f t="shared" si="30"/>
        <v>0</v>
      </c>
      <c r="W127" s="167">
        <f t="shared" si="31"/>
        <v>1.7000000000000002</v>
      </c>
      <c r="X127" s="168">
        <f t="shared" si="32"/>
        <v>0</v>
      </c>
      <c r="Y127" s="14"/>
    </row>
    <row r="128" spans="1:25">
      <c r="A128" s="232">
        <v>40262</v>
      </c>
      <c r="B128" s="27">
        <v>404</v>
      </c>
      <c r="C128" s="24" t="s">
        <v>1075</v>
      </c>
      <c r="D128" s="24" t="s">
        <v>210</v>
      </c>
      <c r="E128" s="25">
        <v>2</v>
      </c>
      <c r="F128" s="27" t="s">
        <v>1076</v>
      </c>
      <c r="G128" s="180">
        <v>41.5</v>
      </c>
      <c r="H128" s="150">
        <f t="shared" si="23"/>
        <v>83</v>
      </c>
      <c r="I128" s="306">
        <v>5</v>
      </c>
      <c r="J128" s="155">
        <v>14.28</v>
      </c>
      <c r="K128" s="156">
        <v>0</v>
      </c>
      <c r="L128" s="157">
        <v>0</v>
      </c>
      <c r="M128" s="153">
        <f t="shared" si="24"/>
        <v>14.28</v>
      </c>
      <c r="N128" s="166">
        <v>0.57999999999999996</v>
      </c>
      <c r="O128" s="167">
        <v>0.1</v>
      </c>
      <c r="P128" s="168">
        <v>0.1</v>
      </c>
      <c r="Q128" s="309">
        <f t="shared" si="25"/>
        <v>10</v>
      </c>
      <c r="R128" s="152">
        <f t="shared" si="26"/>
        <v>28.56</v>
      </c>
      <c r="S128" s="154">
        <f t="shared" si="27"/>
        <v>0</v>
      </c>
      <c r="T128" s="169">
        <f t="shared" si="28"/>
        <v>0</v>
      </c>
      <c r="U128" s="153">
        <f t="shared" si="29"/>
        <v>28.56</v>
      </c>
      <c r="V128" s="166">
        <f t="shared" si="30"/>
        <v>1.1599999999999999</v>
      </c>
      <c r="W128" s="167">
        <f t="shared" si="31"/>
        <v>0.2</v>
      </c>
      <c r="X128" s="168">
        <f t="shared" si="32"/>
        <v>0.2</v>
      </c>
      <c r="Y128" s="14"/>
    </row>
    <row r="129" spans="1:25">
      <c r="A129" s="232"/>
      <c r="B129" s="27"/>
      <c r="C129" s="24" t="s">
        <v>1075</v>
      </c>
      <c r="D129" s="24" t="s">
        <v>210</v>
      </c>
      <c r="E129" s="25">
        <v>2</v>
      </c>
      <c r="F129" s="27" t="s">
        <v>1077</v>
      </c>
      <c r="G129" s="180">
        <v>46.5</v>
      </c>
      <c r="H129" s="150">
        <f t="shared" si="23"/>
        <v>93</v>
      </c>
      <c r="I129" s="306">
        <v>5</v>
      </c>
      <c r="J129" s="155">
        <v>14.28</v>
      </c>
      <c r="K129" s="156">
        <v>0</v>
      </c>
      <c r="L129" s="157">
        <v>0</v>
      </c>
      <c r="M129" s="153">
        <f>J129+K129</f>
        <v>14.28</v>
      </c>
      <c r="N129" s="166">
        <v>0.57999999999999996</v>
      </c>
      <c r="O129" s="167">
        <v>0.1</v>
      </c>
      <c r="P129" s="168">
        <v>0.1</v>
      </c>
      <c r="Q129" s="309">
        <f t="shared" si="25"/>
        <v>10</v>
      </c>
      <c r="R129" s="152">
        <f t="shared" si="26"/>
        <v>28.56</v>
      </c>
      <c r="S129" s="154">
        <f t="shared" si="27"/>
        <v>0</v>
      </c>
      <c r="T129" s="169">
        <f t="shared" si="28"/>
        <v>0</v>
      </c>
      <c r="U129" s="153">
        <f t="shared" si="29"/>
        <v>28.56</v>
      </c>
      <c r="V129" s="166">
        <f t="shared" si="30"/>
        <v>1.1599999999999999</v>
      </c>
      <c r="W129" s="167">
        <f t="shared" si="31"/>
        <v>0.2</v>
      </c>
      <c r="X129" s="168">
        <f t="shared" si="32"/>
        <v>0.2</v>
      </c>
      <c r="Y129" s="14"/>
    </row>
    <row r="130" spans="1:25">
      <c r="A130" s="232"/>
      <c r="B130" s="27"/>
      <c r="C130" s="24" t="s">
        <v>1075</v>
      </c>
      <c r="D130" s="24" t="s">
        <v>210</v>
      </c>
      <c r="E130" s="25">
        <v>2</v>
      </c>
      <c r="F130" s="27" t="s">
        <v>1078</v>
      </c>
      <c r="G130" s="180">
        <v>40</v>
      </c>
      <c r="H130" s="150">
        <f t="shared" si="23"/>
        <v>80</v>
      </c>
      <c r="I130" s="306">
        <v>0</v>
      </c>
      <c r="J130" s="155">
        <v>0</v>
      </c>
      <c r="K130" s="156">
        <v>0</v>
      </c>
      <c r="L130" s="157">
        <v>0</v>
      </c>
      <c r="M130" s="153">
        <f t="shared" si="24"/>
        <v>0</v>
      </c>
      <c r="N130" s="166">
        <v>0</v>
      </c>
      <c r="O130" s="167">
        <v>0</v>
      </c>
      <c r="P130" s="168">
        <v>0</v>
      </c>
      <c r="Q130" s="309">
        <f t="shared" si="25"/>
        <v>0</v>
      </c>
      <c r="R130" s="152">
        <f t="shared" si="26"/>
        <v>0</v>
      </c>
      <c r="S130" s="154">
        <f t="shared" si="27"/>
        <v>0</v>
      </c>
      <c r="T130" s="169">
        <f t="shared" si="28"/>
        <v>0</v>
      </c>
      <c r="U130" s="153">
        <f t="shared" si="29"/>
        <v>0</v>
      </c>
      <c r="V130" s="166">
        <f t="shared" si="30"/>
        <v>0</v>
      </c>
      <c r="W130" s="167">
        <f t="shared" si="31"/>
        <v>0</v>
      </c>
      <c r="X130" s="168">
        <f t="shared" si="32"/>
        <v>0</v>
      </c>
      <c r="Y130" s="14" t="s">
        <v>1108</v>
      </c>
    </row>
    <row r="131" spans="1:25">
      <c r="A131" s="232"/>
      <c r="B131" s="27"/>
      <c r="C131" s="24" t="s">
        <v>1075</v>
      </c>
      <c r="D131" s="24" t="s">
        <v>210</v>
      </c>
      <c r="E131" s="25">
        <v>2</v>
      </c>
      <c r="F131" s="27" t="s">
        <v>1079</v>
      </c>
      <c r="G131" s="180">
        <v>40</v>
      </c>
      <c r="H131" s="150">
        <f t="shared" si="23"/>
        <v>80</v>
      </c>
      <c r="I131" s="306">
        <v>0</v>
      </c>
      <c r="J131" s="155">
        <v>0</v>
      </c>
      <c r="K131" s="156">
        <v>0</v>
      </c>
      <c r="L131" s="157">
        <v>0</v>
      </c>
      <c r="M131" s="153">
        <f t="shared" si="24"/>
        <v>0</v>
      </c>
      <c r="N131" s="166">
        <v>0</v>
      </c>
      <c r="O131" s="167">
        <v>0</v>
      </c>
      <c r="P131" s="168">
        <v>0</v>
      </c>
      <c r="Q131" s="309">
        <f t="shared" si="25"/>
        <v>0</v>
      </c>
      <c r="R131" s="152">
        <f t="shared" si="26"/>
        <v>0</v>
      </c>
      <c r="S131" s="154">
        <f t="shared" si="27"/>
        <v>0</v>
      </c>
      <c r="T131" s="169">
        <f t="shared" si="28"/>
        <v>0</v>
      </c>
      <c r="U131" s="153">
        <f t="shared" si="29"/>
        <v>0</v>
      </c>
      <c r="V131" s="166">
        <f t="shared" si="30"/>
        <v>0</v>
      </c>
      <c r="W131" s="167">
        <f t="shared" si="31"/>
        <v>0</v>
      </c>
      <c r="X131" s="168">
        <f t="shared" si="32"/>
        <v>0</v>
      </c>
      <c r="Y131" s="14" t="s">
        <v>1108</v>
      </c>
    </row>
    <row r="132" spans="1:25">
      <c r="A132" s="232">
        <v>40262</v>
      </c>
      <c r="B132" s="27">
        <v>405</v>
      </c>
      <c r="C132" s="24" t="s">
        <v>25</v>
      </c>
      <c r="D132" s="24" t="s">
        <v>135</v>
      </c>
      <c r="E132" s="25">
        <v>9</v>
      </c>
      <c r="F132" s="27" t="s">
        <v>1080</v>
      </c>
      <c r="G132" s="180">
        <v>142.5</v>
      </c>
      <c r="H132" s="150">
        <f t="shared" si="23"/>
        <v>1282.5</v>
      </c>
      <c r="I132" s="306">
        <v>8</v>
      </c>
      <c r="J132" s="155">
        <v>37.619999999999997</v>
      </c>
      <c r="K132" s="156">
        <v>2</v>
      </c>
      <c r="L132" s="157">
        <v>0.3</v>
      </c>
      <c r="M132" s="153">
        <f t="shared" si="24"/>
        <v>39.619999999999997</v>
      </c>
      <c r="N132" s="166">
        <v>1.25</v>
      </c>
      <c r="O132" s="167">
        <v>0.1</v>
      </c>
      <c r="P132" s="168">
        <v>0.1</v>
      </c>
      <c r="Q132" s="309">
        <f t="shared" si="25"/>
        <v>72</v>
      </c>
      <c r="R132" s="152">
        <f t="shared" si="26"/>
        <v>338.58</v>
      </c>
      <c r="S132" s="154">
        <f t="shared" si="27"/>
        <v>18</v>
      </c>
      <c r="T132" s="169">
        <f t="shared" si="28"/>
        <v>2.6999999999999997</v>
      </c>
      <c r="U132" s="153">
        <f t="shared" si="29"/>
        <v>356.58</v>
      </c>
      <c r="V132" s="166">
        <f t="shared" si="30"/>
        <v>11.25</v>
      </c>
      <c r="W132" s="167">
        <f t="shared" si="31"/>
        <v>0.9</v>
      </c>
      <c r="X132" s="168">
        <f t="shared" si="32"/>
        <v>0.9</v>
      </c>
      <c r="Y132" s="14"/>
    </row>
    <row r="133" spans="1:25">
      <c r="A133" s="232"/>
      <c r="B133" s="27"/>
      <c r="C133" s="24" t="s">
        <v>25</v>
      </c>
      <c r="D133" s="24" t="s">
        <v>135</v>
      </c>
      <c r="E133" s="25">
        <v>5</v>
      </c>
      <c r="F133" s="27" t="s">
        <v>1081</v>
      </c>
      <c r="G133" s="180">
        <v>150</v>
      </c>
      <c r="H133" s="150">
        <f t="shared" si="23"/>
        <v>750</v>
      </c>
      <c r="I133" s="307">
        <v>15</v>
      </c>
      <c r="J133" s="155">
        <v>34.299999999999997</v>
      </c>
      <c r="K133" s="156">
        <v>2</v>
      </c>
      <c r="L133" s="157">
        <v>0.3</v>
      </c>
      <c r="M133" s="153">
        <f t="shared" si="24"/>
        <v>36.299999999999997</v>
      </c>
      <c r="N133" s="166">
        <v>2.08</v>
      </c>
      <c r="O133" s="167">
        <v>0.1</v>
      </c>
      <c r="P133" s="168">
        <v>0.1</v>
      </c>
      <c r="Q133" s="309">
        <f t="shared" si="25"/>
        <v>75</v>
      </c>
      <c r="R133" s="152">
        <f t="shared" si="26"/>
        <v>171.5</v>
      </c>
      <c r="S133" s="154">
        <f t="shared" si="27"/>
        <v>10</v>
      </c>
      <c r="T133" s="169">
        <f t="shared" si="28"/>
        <v>1.5</v>
      </c>
      <c r="U133" s="153">
        <f t="shared" si="29"/>
        <v>181.5</v>
      </c>
      <c r="V133" s="166">
        <f t="shared" si="30"/>
        <v>10.4</v>
      </c>
      <c r="W133" s="167">
        <f t="shared" si="31"/>
        <v>0.5</v>
      </c>
      <c r="X133" s="168">
        <f t="shared" si="32"/>
        <v>0.5</v>
      </c>
      <c r="Y133" s="14"/>
    </row>
    <row r="134" spans="1:25">
      <c r="A134" s="232"/>
      <c r="B134" s="27"/>
      <c r="C134" s="24" t="s">
        <v>25</v>
      </c>
      <c r="D134" s="24" t="s">
        <v>135</v>
      </c>
      <c r="E134" s="25">
        <v>6</v>
      </c>
      <c r="F134" s="27" t="s">
        <v>1082</v>
      </c>
      <c r="G134" s="180">
        <v>206.5</v>
      </c>
      <c r="H134" s="150">
        <f t="shared" si="23"/>
        <v>1239</v>
      </c>
      <c r="I134" s="306">
        <v>8</v>
      </c>
      <c r="J134" s="155">
        <v>37.619999999999997</v>
      </c>
      <c r="K134" s="156">
        <v>2</v>
      </c>
      <c r="L134" s="157">
        <v>0.3</v>
      </c>
      <c r="M134" s="153">
        <f>J134+K134</f>
        <v>39.619999999999997</v>
      </c>
      <c r="N134" s="166">
        <v>1.25</v>
      </c>
      <c r="O134" s="167">
        <v>0.1</v>
      </c>
      <c r="P134" s="168">
        <v>0.1</v>
      </c>
      <c r="Q134" s="309">
        <f t="shared" si="25"/>
        <v>48</v>
      </c>
      <c r="R134" s="152">
        <f t="shared" si="26"/>
        <v>225.71999999999997</v>
      </c>
      <c r="S134" s="154">
        <f t="shared" si="27"/>
        <v>12</v>
      </c>
      <c r="T134" s="169">
        <f t="shared" si="28"/>
        <v>1.7999999999999998</v>
      </c>
      <c r="U134" s="153">
        <f t="shared" si="29"/>
        <v>237.71999999999997</v>
      </c>
      <c r="V134" s="166">
        <f t="shared" si="30"/>
        <v>7.5</v>
      </c>
      <c r="W134" s="167">
        <f t="shared" si="31"/>
        <v>0.60000000000000009</v>
      </c>
      <c r="X134" s="168">
        <f t="shared" si="32"/>
        <v>0.60000000000000009</v>
      </c>
      <c r="Y134" s="14"/>
    </row>
    <row r="135" spans="1:25">
      <c r="A135" s="232"/>
      <c r="B135" s="27"/>
      <c r="C135" s="24" t="s">
        <v>25</v>
      </c>
      <c r="D135" s="24" t="s">
        <v>135</v>
      </c>
      <c r="E135" s="25">
        <v>10</v>
      </c>
      <c r="F135" s="27" t="s">
        <v>1083</v>
      </c>
      <c r="G135" s="180">
        <v>150</v>
      </c>
      <c r="H135" s="150">
        <f t="shared" si="23"/>
        <v>1500</v>
      </c>
      <c r="I135" s="307">
        <v>15</v>
      </c>
      <c r="J135" s="155">
        <v>34.299999999999997</v>
      </c>
      <c r="K135" s="156">
        <v>2</v>
      </c>
      <c r="L135" s="157">
        <v>0.3</v>
      </c>
      <c r="M135" s="153">
        <f>J135+K135</f>
        <v>36.299999999999997</v>
      </c>
      <c r="N135" s="166">
        <v>2.08</v>
      </c>
      <c r="O135" s="167">
        <v>0.1</v>
      </c>
      <c r="P135" s="168">
        <v>0.1</v>
      </c>
      <c r="Q135" s="309">
        <f t="shared" si="25"/>
        <v>150</v>
      </c>
      <c r="R135" s="152">
        <f t="shared" si="26"/>
        <v>343</v>
      </c>
      <c r="S135" s="154">
        <f t="shared" si="27"/>
        <v>20</v>
      </c>
      <c r="T135" s="169">
        <f t="shared" si="28"/>
        <v>3</v>
      </c>
      <c r="U135" s="153">
        <f t="shared" si="29"/>
        <v>363</v>
      </c>
      <c r="V135" s="166">
        <f t="shared" si="30"/>
        <v>20.8</v>
      </c>
      <c r="W135" s="167">
        <f t="shared" si="31"/>
        <v>1</v>
      </c>
      <c r="X135" s="168">
        <f t="shared" si="32"/>
        <v>1</v>
      </c>
      <c r="Y135" s="14"/>
    </row>
    <row r="136" spans="1:25">
      <c r="A136" s="232"/>
      <c r="B136" s="25"/>
      <c r="C136" s="24" t="s">
        <v>25</v>
      </c>
      <c r="D136" s="24" t="s">
        <v>135</v>
      </c>
      <c r="E136" s="25">
        <v>10</v>
      </c>
      <c r="F136" s="27" t="s">
        <v>1084</v>
      </c>
      <c r="G136" s="181">
        <v>89</v>
      </c>
      <c r="H136" s="150">
        <f t="shared" si="23"/>
        <v>890</v>
      </c>
      <c r="I136" s="306">
        <v>8.5</v>
      </c>
      <c r="J136" s="155">
        <v>9.98</v>
      </c>
      <c r="K136" s="156">
        <v>2</v>
      </c>
      <c r="L136" s="157">
        <v>0.3</v>
      </c>
      <c r="M136" s="153">
        <f t="shared" si="24"/>
        <v>11.98</v>
      </c>
      <c r="N136" s="166">
        <v>1.25</v>
      </c>
      <c r="O136" s="167">
        <v>0.1</v>
      </c>
      <c r="P136" s="168">
        <v>0.1</v>
      </c>
      <c r="Q136" s="309">
        <f t="shared" si="25"/>
        <v>85</v>
      </c>
      <c r="R136" s="152">
        <f t="shared" si="26"/>
        <v>99.800000000000011</v>
      </c>
      <c r="S136" s="154">
        <f t="shared" si="27"/>
        <v>20</v>
      </c>
      <c r="T136" s="169">
        <f t="shared" si="28"/>
        <v>3</v>
      </c>
      <c r="U136" s="153">
        <f t="shared" si="29"/>
        <v>119.80000000000001</v>
      </c>
      <c r="V136" s="166">
        <f t="shared" si="30"/>
        <v>12.5</v>
      </c>
      <c r="W136" s="167">
        <f t="shared" si="31"/>
        <v>1</v>
      </c>
      <c r="X136" s="168">
        <f t="shared" si="32"/>
        <v>1</v>
      </c>
      <c r="Y136" s="14"/>
    </row>
    <row r="137" spans="1:25">
      <c r="A137" s="232"/>
      <c r="B137" s="27"/>
      <c r="C137" s="24" t="s">
        <v>25</v>
      </c>
      <c r="D137" s="24" t="s">
        <v>135</v>
      </c>
      <c r="E137" s="25">
        <v>20</v>
      </c>
      <c r="F137" s="27" t="s">
        <v>1085</v>
      </c>
      <c r="G137" s="181">
        <v>42.5</v>
      </c>
      <c r="H137" s="150">
        <f t="shared" si="23"/>
        <v>850</v>
      </c>
      <c r="I137" s="306">
        <v>3.5</v>
      </c>
      <c r="J137" s="155">
        <v>10.19</v>
      </c>
      <c r="K137" s="156">
        <v>1.5</v>
      </c>
      <c r="L137" s="157">
        <v>0.23</v>
      </c>
      <c r="M137" s="153">
        <f t="shared" si="24"/>
        <v>11.69</v>
      </c>
      <c r="N137" s="166">
        <v>0.33</v>
      </c>
      <c r="O137" s="167">
        <v>0.1</v>
      </c>
      <c r="P137" s="168">
        <v>0.1</v>
      </c>
      <c r="Q137" s="309">
        <f t="shared" si="25"/>
        <v>70</v>
      </c>
      <c r="R137" s="152">
        <f t="shared" si="26"/>
        <v>203.79999999999998</v>
      </c>
      <c r="S137" s="154">
        <f t="shared" si="27"/>
        <v>30</v>
      </c>
      <c r="T137" s="169">
        <f t="shared" si="28"/>
        <v>4.6000000000000005</v>
      </c>
      <c r="U137" s="153">
        <f t="shared" si="29"/>
        <v>233.79999999999998</v>
      </c>
      <c r="V137" s="166">
        <f t="shared" si="30"/>
        <v>6.6000000000000005</v>
      </c>
      <c r="W137" s="167">
        <f t="shared" si="31"/>
        <v>2</v>
      </c>
      <c r="X137" s="168">
        <f t="shared" si="32"/>
        <v>2</v>
      </c>
      <c r="Y137" s="14"/>
    </row>
    <row r="138" spans="1:25">
      <c r="A138" s="232">
        <v>40263</v>
      </c>
      <c r="B138" s="27">
        <v>406</v>
      </c>
      <c r="C138" s="24" t="s">
        <v>1008</v>
      </c>
      <c r="D138" s="24" t="s">
        <v>1009</v>
      </c>
      <c r="E138" s="25">
        <v>150</v>
      </c>
      <c r="F138" s="27" t="s">
        <v>1086</v>
      </c>
      <c r="G138" s="180">
        <v>43.5</v>
      </c>
      <c r="H138" s="150">
        <f t="shared" si="23"/>
        <v>6525</v>
      </c>
      <c r="I138" s="306">
        <v>3.5</v>
      </c>
      <c r="J138" s="155">
        <v>5.94</v>
      </c>
      <c r="K138" s="156">
        <v>3.8</v>
      </c>
      <c r="L138" s="157">
        <v>0.56999999999999995</v>
      </c>
      <c r="M138" s="153">
        <f t="shared" si="24"/>
        <v>9.74</v>
      </c>
      <c r="N138" s="166">
        <v>0.33</v>
      </c>
      <c r="O138" s="167">
        <v>0.15</v>
      </c>
      <c r="P138" s="168">
        <v>0.15</v>
      </c>
      <c r="Q138" s="309">
        <f t="shared" si="25"/>
        <v>525</v>
      </c>
      <c r="R138" s="152">
        <f t="shared" si="26"/>
        <v>891.00000000000011</v>
      </c>
      <c r="S138" s="154">
        <f t="shared" si="27"/>
        <v>570</v>
      </c>
      <c r="T138" s="169">
        <f t="shared" si="28"/>
        <v>85.499999999999986</v>
      </c>
      <c r="U138" s="153">
        <f t="shared" si="29"/>
        <v>1461</v>
      </c>
      <c r="V138" s="166">
        <f t="shared" si="30"/>
        <v>49.5</v>
      </c>
      <c r="W138" s="167">
        <f t="shared" si="31"/>
        <v>22.5</v>
      </c>
      <c r="X138" s="168">
        <f t="shared" si="32"/>
        <v>22.5</v>
      </c>
      <c r="Y138" s="14"/>
    </row>
    <row r="139" spans="1:25">
      <c r="A139" s="232">
        <v>40263</v>
      </c>
      <c r="B139" s="27">
        <v>407</v>
      </c>
      <c r="C139" s="24" t="s">
        <v>1087</v>
      </c>
      <c r="D139" s="24" t="s">
        <v>1088</v>
      </c>
      <c r="E139" s="25">
        <v>76</v>
      </c>
      <c r="F139" s="27" t="s">
        <v>1089</v>
      </c>
      <c r="G139" s="180">
        <v>105</v>
      </c>
      <c r="H139" s="150">
        <f t="shared" si="23"/>
        <v>7980</v>
      </c>
      <c r="I139" s="306">
        <v>8.5</v>
      </c>
      <c r="J139" s="155">
        <v>29.63</v>
      </c>
      <c r="K139" s="156">
        <v>5</v>
      </c>
      <c r="L139" s="157">
        <v>0.75</v>
      </c>
      <c r="M139" s="153">
        <f t="shared" si="24"/>
        <v>34.629999999999995</v>
      </c>
      <c r="N139" s="166">
        <v>1.67</v>
      </c>
      <c r="O139" s="167">
        <v>0.5</v>
      </c>
      <c r="P139" s="168">
        <v>1</v>
      </c>
      <c r="Q139" s="309">
        <f t="shared" si="25"/>
        <v>646</v>
      </c>
      <c r="R139" s="152">
        <f t="shared" si="26"/>
        <v>2251.88</v>
      </c>
      <c r="S139" s="154">
        <f t="shared" si="27"/>
        <v>380</v>
      </c>
      <c r="T139" s="169">
        <f t="shared" si="28"/>
        <v>57</v>
      </c>
      <c r="U139" s="153">
        <f t="shared" si="29"/>
        <v>2631.8799999999997</v>
      </c>
      <c r="V139" s="166">
        <f t="shared" si="30"/>
        <v>126.91999999999999</v>
      </c>
      <c r="W139" s="167">
        <f t="shared" si="31"/>
        <v>38</v>
      </c>
      <c r="X139" s="168">
        <f t="shared" si="32"/>
        <v>76</v>
      </c>
      <c r="Y139" s="14"/>
    </row>
    <row r="140" spans="1:25">
      <c r="A140" s="232">
        <v>40263</v>
      </c>
      <c r="B140" s="27">
        <v>408</v>
      </c>
      <c r="C140" s="24" t="s">
        <v>1090</v>
      </c>
      <c r="D140" s="24" t="s">
        <v>1091</v>
      </c>
      <c r="E140" s="25">
        <f>18+2</f>
        <v>20</v>
      </c>
      <c r="F140" s="27" t="s">
        <v>1092</v>
      </c>
      <c r="G140" s="180">
        <v>48</v>
      </c>
      <c r="H140" s="150">
        <f t="shared" si="23"/>
        <v>960</v>
      </c>
      <c r="I140" s="306">
        <v>4.5</v>
      </c>
      <c r="J140" s="155">
        <v>12.18</v>
      </c>
      <c r="K140" s="156">
        <v>2</v>
      </c>
      <c r="L140" s="157">
        <v>0.3</v>
      </c>
      <c r="M140" s="153">
        <f t="shared" si="24"/>
        <v>14.18</v>
      </c>
      <c r="N140" s="166">
        <v>0.42</v>
      </c>
      <c r="O140" s="167">
        <v>0.15</v>
      </c>
      <c r="P140" s="168">
        <v>0.15</v>
      </c>
      <c r="Q140" s="309">
        <f t="shared" si="25"/>
        <v>90</v>
      </c>
      <c r="R140" s="152">
        <f t="shared" si="26"/>
        <v>243.6</v>
      </c>
      <c r="S140" s="154">
        <f t="shared" si="27"/>
        <v>40</v>
      </c>
      <c r="T140" s="169">
        <f t="shared" si="28"/>
        <v>6</v>
      </c>
      <c r="U140" s="153">
        <f t="shared" si="29"/>
        <v>283.60000000000002</v>
      </c>
      <c r="V140" s="166">
        <f t="shared" si="30"/>
        <v>8.4</v>
      </c>
      <c r="W140" s="167">
        <f t="shared" si="31"/>
        <v>3</v>
      </c>
      <c r="X140" s="168">
        <f t="shared" si="32"/>
        <v>3</v>
      </c>
      <c r="Y140" s="14"/>
    </row>
    <row r="141" spans="1:25">
      <c r="A141" s="232"/>
      <c r="B141" s="27"/>
      <c r="C141" s="24" t="s">
        <v>1090</v>
      </c>
      <c r="D141" s="24" t="s">
        <v>1091</v>
      </c>
      <c r="E141" s="25">
        <v>13</v>
      </c>
      <c r="F141" s="27" t="s">
        <v>1093</v>
      </c>
      <c r="G141" s="180">
        <v>48</v>
      </c>
      <c r="H141" s="150">
        <f t="shared" si="23"/>
        <v>624</v>
      </c>
      <c r="I141" s="306">
        <v>4.5</v>
      </c>
      <c r="J141" s="155">
        <v>17.13</v>
      </c>
      <c r="K141" s="156">
        <v>2</v>
      </c>
      <c r="L141" s="157">
        <v>0.3</v>
      </c>
      <c r="M141" s="153">
        <f t="shared" si="24"/>
        <v>19.13</v>
      </c>
      <c r="N141" s="166">
        <v>0.42</v>
      </c>
      <c r="O141" s="167">
        <v>0.15</v>
      </c>
      <c r="P141" s="168">
        <v>0.15</v>
      </c>
      <c r="Q141" s="309">
        <f t="shared" si="25"/>
        <v>58.5</v>
      </c>
      <c r="R141" s="152">
        <f t="shared" si="26"/>
        <v>222.69</v>
      </c>
      <c r="S141" s="154">
        <f t="shared" si="27"/>
        <v>26</v>
      </c>
      <c r="T141" s="169">
        <f t="shared" si="28"/>
        <v>3.9</v>
      </c>
      <c r="U141" s="153">
        <f t="shared" si="29"/>
        <v>248.69</v>
      </c>
      <c r="V141" s="166">
        <f t="shared" si="30"/>
        <v>5.46</v>
      </c>
      <c r="W141" s="167">
        <f t="shared" si="31"/>
        <v>1.95</v>
      </c>
      <c r="X141" s="168">
        <f t="shared" si="32"/>
        <v>1.95</v>
      </c>
      <c r="Y141" s="14"/>
    </row>
    <row r="142" spans="1:25">
      <c r="A142" s="235">
        <v>40266</v>
      </c>
      <c r="B142" s="29">
        <v>490</v>
      </c>
      <c r="C142" s="191"/>
      <c r="D142" s="191"/>
      <c r="E142" s="192"/>
      <c r="F142" s="29" t="s">
        <v>651</v>
      </c>
      <c r="G142" s="193"/>
      <c r="H142" s="150">
        <f t="shared" si="23"/>
        <v>0</v>
      </c>
      <c r="I142" s="306">
        <v>0</v>
      </c>
      <c r="J142" s="155">
        <v>0</v>
      </c>
      <c r="K142" s="156">
        <v>0</v>
      </c>
      <c r="L142" s="157">
        <v>0</v>
      </c>
      <c r="M142" s="153">
        <f t="shared" si="24"/>
        <v>0</v>
      </c>
      <c r="N142" s="166">
        <v>0</v>
      </c>
      <c r="O142" s="167">
        <v>0</v>
      </c>
      <c r="P142" s="168">
        <v>0</v>
      </c>
      <c r="Q142" s="309">
        <f t="shared" si="25"/>
        <v>0</v>
      </c>
      <c r="R142" s="152">
        <f t="shared" si="26"/>
        <v>0</v>
      </c>
      <c r="S142" s="154">
        <f t="shared" si="27"/>
        <v>0</v>
      </c>
      <c r="T142" s="169">
        <f t="shared" si="28"/>
        <v>0</v>
      </c>
      <c r="U142" s="153">
        <f t="shared" si="29"/>
        <v>0</v>
      </c>
      <c r="V142" s="166">
        <f t="shared" si="30"/>
        <v>0</v>
      </c>
      <c r="W142" s="167">
        <f t="shared" si="31"/>
        <v>0</v>
      </c>
      <c r="X142" s="168">
        <f t="shared" si="32"/>
        <v>0</v>
      </c>
      <c r="Y142" s="14"/>
    </row>
    <row r="143" spans="1:25">
      <c r="A143" s="232">
        <v>40266</v>
      </c>
      <c r="B143" s="27">
        <v>410</v>
      </c>
      <c r="C143" s="24" t="s">
        <v>1094</v>
      </c>
      <c r="D143" s="24" t="s">
        <v>1095</v>
      </c>
      <c r="E143" s="25">
        <v>7</v>
      </c>
      <c r="F143" s="27" t="s">
        <v>1096</v>
      </c>
      <c r="G143" s="180">
        <v>100</v>
      </c>
      <c r="H143" s="150">
        <f t="shared" si="23"/>
        <v>700</v>
      </c>
      <c r="I143" s="306">
        <v>7.5</v>
      </c>
      <c r="J143" s="155">
        <v>15.74</v>
      </c>
      <c r="K143" s="156">
        <v>5</v>
      </c>
      <c r="L143" s="157">
        <v>0.75</v>
      </c>
      <c r="M143" s="153">
        <f t="shared" si="24"/>
        <v>20.740000000000002</v>
      </c>
      <c r="N143" s="166">
        <v>1.67</v>
      </c>
      <c r="O143" s="167">
        <v>0.1</v>
      </c>
      <c r="P143" s="168">
        <v>0.1</v>
      </c>
      <c r="Q143" s="309">
        <f t="shared" si="25"/>
        <v>52.5</v>
      </c>
      <c r="R143" s="152">
        <f t="shared" si="26"/>
        <v>110.18</v>
      </c>
      <c r="S143" s="154">
        <f t="shared" si="27"/>
        <v>35</v>
      </c>
      <c r="T143" s="169">
        <f t="shared" si="28"/>
        <v>5.25</v>
      </c>
      <c r="U143" s="153">
        <f t="shared" si="29"/>
        <v>145.18</v>
      </c>
      <c r="V143" s="166">
        <f t="shared" si="30"/>
        <v>11.69</v>
      </c>
      <c r="W143" s="167">
        <f t="shared" si="31"/>
        <v>0.70000000000000007</v>
      </c>
      <c r="X143" s="168">
        <f t="shared" si="32"/>
        <v>0.70000000000000007</v>
      </c>
      <c r="Y143" s="14"/>
    </row>
    <row r="144" spans="1:25">
      <c r="A144" s="232"/>
      <c r="B144" s="27"/>
      <c r="C144" s="24" t="s">
        <v>1094</v>
      </c>
      <c r="D144" s="24" t="s">
        <v>1095</v>
      </c>
      <c r="E144" s="25">
        <v>7</v>
      </c>
      <c r="F144" s="27" t="s">
        <v>1097</v>
      </c>
      <c r="G144" s="180">
        <v>100</v>
      </c>
      <c r="H144" s="150">
        <f t="shared" si="23"/>
        <v>700</v>
      </c>
      <c r="I144" s="306">
        <v>7.5</v>
      </c>
      <c r="J144" s="155">
        <v>17.239999999999998</v>
      </c>
      <c r="K144" s="156">
        <v>5</v>
      </c>
      <c r="L144" s="157">
        <v>0.75</v>
      </c>
      <c r="M144" s="153">
        <f t="shared" si="24"/>
        <v>22.24</v>
      </c>
      <c r="N144" s="166">
        <v>1.67</v>
      </c>
      <c r="O144" s="167">
        <v>0.1</v>
      </c>
      <c r="P144" s="168">
        <v>0.1</v>
      </c>
      <c r="Q144" s="309">
        <f t="shared" si="25"/>
        <v>52.5</v>
      </c>
      <c r="R144" s="152">
        <f t="shared" si="26"/>
        <v>120.67999999999999</v>
      </c>
      <c r="S144" s="154">
        <f t="shared" si="27"/>
        <v>35</v>
      </c>
      <c r="T144" s="169">
        <f t="shared" si="28"/>
        <v>5.25</v>
      </c>
      <c r="U144" s="153">
        <f t="shared" si="29"/>
        <v>155.67999999999998</v>
      </c>
      <c r="V144" s="166">
        <f t="shared" si="30"/>
        <v>11.69</v>
      </c>
      <c r="W144" s="167">
        <f t="shared" si="31"/>
        <v>0.70000000000000007</v>
      </c>
      <c r="X144" s="168">
        <f t="shared" si="32"/>
        <v>0.70000000000000007</v>
      </c>
      <c r="Y144" s="14"/>
    </row>
    <row r="145" spans="1:25">
      <c r="A145" s="232">
        <v>40266</v>
      </c>
      <c r="B145" s="27">
        <v>411</v>
      </c>
      <c r="C145" s="24" t="s">
        <v>21</v>
      </c>
      <c r="D145" s="24" t="s">
        <v>42</v>
      </c>
      <c r="E145" s="25">
        <v>153</v>
      </c>
      <c r="F145" s="27" t="s">
        <v>1098</v>
      </c>
      <c r="G145" s="180">
        <v>9.5</v>
      </c>
      <c r="H145" s="150">
        <f t="shared" si="23"/>
        <v>1453.5</v>
      </c>
      <c r="I145" s="306">
        <v>1.5</v>
      </c>
      <c r="J145" s="155">
        <v>1.64</v>
      </c>
      <c r="K145" s="156">
        <v>1.5</v>
      </c>
      <c r="L145" s="157">
        <v>0.23</v>
      </c>
      <c r="M145" s="153">
        <f t="shared" si="24"/>
        <v>3.1399999999999997</v>
      </c>
      <c r="N145" s="166">
        <v>0.17</v>
      </c>
      <c r="O145" s="167">
        <v>0.1</v>
      </c>
      <c r="P145" s="168">
        <v>0.1</v>
      </c>
      <c r="Q145" s="309">
        <f t="shared" si="25"/>
        <v>229.5</v>
      </c>
      <c r="R145" s="152">
        <f t="shared" si="26"/>
        <v>250.92</v>
      </c>
      <c r="S145" s="154">
        <f t="shared" si="27"/>
        <v>229.5</v>
      </c>
      <c r="T145" s="169">
        <f t="shared" si="28"/>
        <v>35.190000000000005</v>
      </c>
      <c r="U145" s="153">
        <f t="shared" si="29"/>
        <v>480.41999999999996</v>
      </c>
      <c r="V145" s="166">
        <f t="shared" si="30"/>
        <v>26.01</v>
      </c>
      <c r="W145" s="167">
        <f t="shared" si="31"/>
        <v>15.3</v>
      </c>
      <c r="X145" s="168">
        <f t="shared" si="32"/>
        <v>15.3</v>
      </c>
      <c r="Y145" s="14"/>
    </row>
    <row r="146" spans="1:25">
      <c r="A146" s="232">
        <v>40268</v>
      </c>
      <c r="B146" s="27">
        <v>412</v>
      </c>
      <c r="C146" s="24" t="s">
        <v>1038</v>
      </c>
      <c r="D146" s="24"/>
      <c r="E146" s="25">
        <v>20</v>
      </c>
      <c r="F146" s="27" t="s">
        <v>1099</v>
      </c>
      <c r="G146" s="180">
        <v>34</v>
      </c>
      <c r="H146" s="150">
        <f t="shared" si="23"/>
        <v>680</v>
      </c>
      <c r="I146" s="306">
        <v>3.5</v>
      </c>
      <c r="J146" s="155">
        <v>5.58</v>
      </c>
      <c r="K146" s="156">
        <v>1</v>
      </c>
      <c r="L146" s="157">
        <v>0.15</v>
      </c>
      <c r="M146" s="153">
        <f t="shared" si="24"/>
        <v>6.58</v>
      </c>
      <c r="N146" s="166">
        <v>0.33</v>
      </c>
      <c r="O146" s="167">
        <v>0.1</v>
      </c>
      <c r="P146" s="168">
        <v>0.1</v>
      </c>
      <c r="Q146" s="309">
        <f t="shared" si="25"/>
        <v>70</v>
      </c>
      <c r="R146" s="152">
        <f t="shared" si="26"/>
        <v>111.6</v>
      </c>
      <c r="S146" s="154">
        <f t="shared" si="27"/>
        <v>20</v>
      </c>
      <c r="T146" s="169">
        <f t="shared" si="28"/>
        <v>3</v>
      </c>
      <c r="U146" s="153">
        <f t="shared" si="29"/>
        <v>131.6</v>
      </c>
      <c r="V146" s="166">
        <f t="shared" si="30"/>
        <v>6.6000000000000005</v>
      </c>
      <c r="W146" s="167">
        <f t="shared" si="31"/>
        <v>2</v>
      </c>
      <c r="X146" s="168">
        <f t="shared" si="32"/>
        <v>2</v>
      </c>
      <c r="Y146" s="14"/>
    </row>
    <row r="147" spans="1:25">
      <c r="A147" s="232"/>
      <c r="B147" s="27"/>
      <c r="C147" s="24" t="s">
        <v>1038</v>
      </c>
      <c r="D147" s="24"/>
      <c r="E147" s="25">
        <v>2</v>
      </c>
      <c r="F147" s="27" t="s">
        <v>1100</v>
      </c>
      <c r="G147" s="180">
        <v>34</v>
      </c>
      <c r="H147" s="150">
        <f t="shared" si="23"/>
        <v>68</v>
      </c>
      <c r="I147" s="306">
        <v>3.5</v>
      </c>
      <c r="J147" s="155">
        <v>5.58</v>
      </c>
      <c r="K147" s="156">
        <v>1</v>
      </c>
      <c r="L147" s="157">
        <v>0.15</v>
      </c>
      <c r="M147" s="153">
        <f>J147+K147</f>
        <v>6.58</v>
      </c>
      <c r="N147" s="166">
        <v>0.33</v>
      </c>
      <c r="O147" s="167">
        <v>0.1</v>
      </c>
      <c r="P147" s="168">
        <v>0.1</v>
      </c>
      <c r="Q147" s="309">
        <f t="shared" si="25"/>
        <v>7</v>
      </c>
      <c r="R147" s="152">
        <f t="shared" si="26"/>
        <v>11.16</v>
      </c>
      <c r="S147" s="154">
        <f t="shared" si="27"/>
        <v>2</v>
      </c>
      <c r="T147" s="169">
        <f t="shared" si="28"/>
        <v>0.3</v>
      </c>
      <c r="U147" s="153">
        <f t="shared" si="29"/>
        <v>13.16</v>
      </c>
      <c r="V147" s="166">
        <f t="shared" si="30"/>
        <v>0.66</v>
      </c>
      <c r="W147" s="167">
        <f t="shared" si="31"/>
        <v>0.2</v>
      </c>
      <c r="X147" s="168">
        <f t="shared" si="32"/>
        <v>0.2</v>
      </c>
      <c r="Y147" s="14"/>
    </row>
    <row r="148" spans="1:25">
      <c r="A148" s="232"/>
      <c r="B148" s="27"/>
      <c r="C148" s="24" t="s">
        <v>1038</v>
      </c>
      <c r="D148" s="24"/>
      <c r="E148" s="25">
        <v>1</v>
      </c>
      <c r="F148" s="27" t="s">
        <v>1101</v>
      </c>
      <c r="G148" s="180">
        <v>45</v>
      </c>
      <c r="H148" s="150">
        <f t="shared" si="23"/>
        <v>45</v>
      </c>
      <c r="I148" s="306">
        <v>3.5</v>
      </c>
      <c r="J148" s="155">
        <v>5.08</v>
      </c>
      <c r="K148" s="156">
        <v>1</v>
      </c>
      <c r="L148" s="157">
        <v>0.15</v>
      </c>
      <c r="M148" s="153">
        <f>J148+K148</f>
        <v>6.08</v>
      </c>
      <c r="N148" s="166">
        <v>0.33</v>
      </c>
      <c r="O148" s="167">
        <v>0.1</v>
      </c>
      <c r="P148" s="168">
        <v>0.1</v>
      </c>
      <c r="Q148" s="309">
        <f t="shared" si="25"/>
        <v>3.5</v>
      </c>
      <c r="R148" s="152">
        <f t="shared" si="26"/>
        <v>5.08</v>
      </c>
      <c r="S148" s="154">
        <f t="shared" si="27"/>
        <v>1</v>
      </c>
      <c r="T148" s="169">
        <f t="shared" si="28"/>
        <v>0.15</v>
      </c>
      <c r="U148" s="153">
        <f t="shared" si="29"/>
        <v>6.08</v>
      </c>
      <c r="V148" s="166">
        <f t="shared" si="30"/>
        <v>0.33</v>
      </c>
      <c r="W148" s="167">
        <f t="shared" si="31"/>
        <v>0.1</v>
      </c>
      <c r="X148" s="168">
        <f t="shared" si="32"/>
        <v>0.1</v>
      </c>
      <c r="Y148" s="14"/>
    </row>
    <row r="149" spans="1:25">
      <c r="A149" s="232"/>
      <c r="B149" s="27"/>
      <c r="C149" s="24" t="s">
        <v>1038</v>
      </c>
      <c r="D149" s="20"/>
      <c r="E149" s="25">
        <v>1</v>
      </c>
      <c r="F149" s="27" t="s">
        <v>1102</v>
      </c>
      <c r="G149" s="180">
        <v>45</v>
      </c>
      <c r="H149" s="150">
        <f t="shared" si="23"/>
        <v>45</v>
      </c>
      <c r="I149" s="306">
        <v>3.5</v>
      </c>
      <c r="J149" s="155">
        <v>6.42</v>
      </c>
      <c r="K149" s="156">
        <v>1</v>
      </c>
      <c r="L149" s="157">
        <v>0.15</v>
      </c>
      <c r="M149" s="153">
        <f>J149+K149</f>
        <v>7.42</v>
      </c>
      <c r="N149" s="166">
        <v>0.33</v>
      </c>
      <c r="O149" s="167">
        <v>0.1</v>
      </c>
      <c r="P149" s="168">
        <v>0.1</v>
      </c>
      <c r="Q149" s="309">
        <f t="shared" si="25"/>
        <v>3.5</v>
      </c>
      <c r="R149" s="152">
        <f t="shared" si="26"/>
        <v>6.42</v>
      </c>
      <c r="S149" s="154">
        <f t="shared" si="27"/>
        <v>1</v>
      </c>
      <c r="T149" s="169">
        <f t="shared" si="28"/>
        <v>0.15</v>
      </c>
      <c r="U149" s="153">
        <f t="shared" si="29"/>
        <v>7.42</v>
      </c>
      <c r="V149" s="166">
        <f t="shared" si="30"/>
        <v>0.33</v>
      </c>
      <c r="W149" s="167">
        <f t="shared" si="31"/>
        <v>0.1</v>
      </c>
      <c r="X149" s="168">
        <f t="shared" si="32"/>
        <v>0.1</v>
      </c>
      <c r="Y149" s="14"/>
    </row>
    <row r="150" spans="1:25">
      <c r="A150" s="232">
        <v>40268</v>
      </c>
      <c r="B150" s="27">
        <v>413</v>
      </c>
      <c r="C150" s="24" t="s">
        <v>1103</v>
      </c>
      <c r="D150" s="20" t="s">
        <v>42</v>
      </c>
      <c r="E150" s="25">
        <v>25</v>
      </c>
      <c r="F150" s="27" t="s">
        <v>1104</v>
      </c>
      <c r="G150" s="180">
        <v>30</v>
      </c>
      <c r="H150" s="150">
        <f t="shared" si="23"/>
        <v>750</v>
      </c>
      <c r="I150" s="306">
        <v>3.5</v>
      </c>
      <c r="J150" s="155">
        <v>0.12</v>
      </c>
      <c r="K150" s="156">
        <v>1.5</v>
      </c>
      <c r="L150" s="157">
        <v>0.23</v>
      </c>
      <c r="M150" s="153">
        <f t="shared" si="24"/>
        <v>1.62</v>
      </c>
      <c r="N150" s="166">
        <v>0.33</v>
      </c>
      <c r="O150" s="167">
        <v>0.1</v>
      </c>
      <c r="P150" s="168">
        <v>0.1</v>
      </c>
      <c r="Q150" s="309">
        <f t="shared" si="25"/>
        <v>87.5</v>
      </c>
      <c r="R150" s="152">
        <f t="shared" si="26"/>
        <v>3</v>
      </c>
      <c r="S150" s="154">
        <f t="shared" si="27"/>
        <v>37.5</v>
      </c>
      <c r="T150" s="169">
        <f t="shared" si="28"/>
        <v>5.75</v>
      </c>
      <c r="U150" s="153">
        <f t="shared" si="29"/>
        <v>40.5</v>
      </c>
      <c r="V150" s="166">
        <f t="shared" si="30"/>
        <v>8.25</v>
      </c>
      <c r="W150" s="167">
        <f t="shared" si="31"/>
        <v>2.5</v>
      </c>
      <c r="X150" s="168">
        <f t="shared" si="32"/>
        <v>2.5</v>
      </c>
      <c r="Y150" s="14"/>
    </row>
    <row r="151" spans="1:25" ht="13.5" thickBot="1">
      <c r="A151" s="292"/>
      <c r="B151" s="293"/>
      <c r="C151" s="294" t="s">
        <v>1103</v>
      </c>
      <c r="D151" s="107" t="s">
        <v>42</v>
      </c>
      <c r="E151" s="295">
        <v>25</v>
      </c>
      <c r="F151" s="293" t="s">
        <v>1105</v>
      </c>
      <c r="G151" s="296">
        <v>30</v>
      </c>
      <c r="H151" s="151">
        <f t="shared" si="23"/>
        <v>750</v>
      </c>
      <c r="I151" s="356">
        <v>3.5</v>
      </c>
      <c r="J151" s="297">
        <v>0.12</v>
      </c>
      <c r="K151" s="298">
        <v>1.5</v>
      </c>
      <c r="L151" s="299">
        <v>0.23</v>
      </c>
      <c r="M151" s="173">
        <f t="shared" si="24"/>
        <v>1.62</v>
      </c>
      <c r="N151" s="174">
        <v>0.33</v>
      </c>
      <c r="O151" s="175">
        <v>0.1</v>
      </c>
      <c r="P151" s="176">
        <v>0.1</v>
      </c>
      <c r="Q151" s="310">
        <f t="shared" si="25"/>
        <v>87.5</v>
      </c>
      <c r="R151" s="170">
        <f t="shared" si="26"/>
        <v>3</v>
      </c>
      <c r="S151" s="171">
        <f t="shared" si="27"/>
        <v>37.5</v>
      </c>
      <c r="T151" s="172">
        <f t="shared" si="28"/>
        <v>5.75</v>
      </c>
      <c r="U151" s="173">
        <f t="shared" si="29"/>
        <v>40.5</v>
      </c>
      <c r="V151" s="174">
        <f t="shared" si="30"/>
        <v>8.25</v>
      </c>
      <c r="W151" s="175">
        <f t="shared" si="31"/>
        <v>2.5</v>
      </c>
      <c r="X151" s="176">
        <f t="shared" si="32"/>
        <v>2.5</v>
      </c>
      <c r="Y151" s="109"/>
    </row>
    <row r="152" spans="1:25" ht="20.25" customHeight="1" thickBot="1">
      <c r="A152" s="287"/>
      <c r="B152" s="287"/>
      <c r="C152" s="287"/>
      <c r="D152" s="287"/>
      <c r="E152" s="287"/>
      <c r="F152" s="288" t="s">
        <v>1112</v>
      </c>
      <c r="G152" s="289"/>
      <c r="H152" s="366">
        <f>SUM(H8:H151)</f>
        <v>219300.59999999998</v>
      </c>
      <c r="I152" s="367"/>
      <c r="J152" s="129" t="s">
        <v>36</v>
      </c>
      <c r="K152" s="130"/>
      <c r="L152" s="131"/>
      <c r="M152" s="290"/>
      <c r="N152" s="133"/>
      <c r="O152" s="134"/>
      <c r="P152" s="135"/>
      <c r="Q152" s="315">
        <f t="shared" ref="Q152:X152" si="33">SUM(Q8:Q151)</f>
        <v>22474.5</v>
      </c>
      <c r="R152" s="136">
        <f t="shared" si="33"/>
        <v>25795.969999999998</v>
      </c>
      <c r="S152" s="137">
        <f t="shared" si="33"/>
        <v>13342.7</v>
      </c>
      <c r="T152" s="138">
        <f t="shared" si="33"/>
        <v>7962.7499999999991</v>
      </c>
      <c r="U152" s="139">
        <f t="shared" si="33"/>
        <v>39138.670000000013</v>
      </c>
      <c r="V152" s="133">
        <f t="shared" si="33"/>
        <v>2550.2999999999997</v>
      </c>
      <c r="W152" s="291">
        <f t="shared" si="33"/>
        <v>1121.3</v>
      </c>
      <c r="X152" s="140">
        <f t="shared" si="33"/>
        <v>1218.8499999999997</v>
      </c>
      <c r="Y152" s="126" t="s">
        <v>36</v>
      </c>
    </row>
    <row r="153" spans="1:25" ht="20.25" customHeight="1" thickBot="1">
      <c r="A153" s="32"/>
      <c r="B153" s="32"/>
      <c r="C153" s="32"/>
      <c r="D153" s="32"/>
      <c r="E153" s="32"/>
      <c r="F153" s="76" t="s">
        <v>1112</v>
      </c>
      <c r="G153" s="72"/>
      <c r="H153" s="364">
        <f>H152/7.06</f>
        <v>31062.407932011331</v>
      </c>
      <c r="I153" s="365"/>
      <c r="J153" s="78" t="s">
        <v>407</v>
      </c>
      <c r="K153" s="79"/>
      <c r="L153" s="80"/>
      <c r="M153" s="81"/>
      <c r="N153" s="73"/>
      <c r="O153" s="74"/>
      <c r="P153" s="77"/>
      <c r="Q153" s="313">
        <f t="shared" ref="Q153:X153" si="34">Q152/7.06</f>
        <v>3183.3569405099151</v>
      </c>
      <c r="R153" s="82">
        <f t="shared" si="34"/>
        <v>3653.8201133144476</v>
      </c>
      <c r="S153" s="79">
        <f t="shared" si="34"/>
        <v>1889.9008498583571</v>
      </c>
      <c r="T153" s="80">
        <f t="shared" si="34"/>
        <v>1127.8682719546741</v>
      </c>
      <c r="U153" s="81">
        <f t="shared" si="34"/>
        <v>5543.7209631728065</v>
      </c>
      <c r="V153" s="73">
        <f t="shared" si="34"/>
        <v>361.2322946175637</v>
      </c>
      <c r="W153" s="88">
        <f t="shared" si="34"/>
        <v>158.82436260623228</v>
      </c>
      <c r="X153" s="89">
        <f t="shared" si="34"/>
        <v>172.64164305949004</v>
      </c>
      <c r="Y153" s="32" t="s">
        <v>407</v>
      </c>
    </row>
  </sheetData>
  <autoFilter ref="A7:S101">
    <filterColumn colId="7"/>
    <filterColumn colId="11"/>
    <filterColumn colId="16"/>
  </autoFilter>
  <mergeCells count="3">
    <mergeCell ref="H153:I153"/>
    <mergeCell ref="H152:I152"/>
    <mergeCell ref="G3:K4"/>
  </mergeCells>
  <pageMargins left="0.19685039370078741" right="0.19685039370078741" top="0.98425196850393704" bottom="0.78740157480314965" header="0" footer="0"/>
  <pageSetup paperSize="5" scale="75" orientation="landscape" horizontalDpi="4294967294" verticalDpi="300" r:id="rId1"/>
  <headerFooter alignWithMargins="0"/>
  <drawing r:id="rId2"/>
</worksheet>
</file>

<file path=xl/worksheets/sheet4.xml><?xml version="1.0" encoding="utf-8"?>
<worksheet xmlns="http://schemas.openxmlformats.org/spreadsheetml/2006/main" xmlns:r="http://schemas.openxmlformats.org/officeDocument/2006/relationships">
  <sheetPr>
    <tabColor rgb="FF462300"/>
  </sheetPr>
  <dimension ref="A1:Y162"/>
  <sheetViews>
    <sheetView topLeftCell="H1" zoomScale="95" zoomScaleNormal="95" workbookViewId="0">
      <pane ySplit="7" topLeftCell="A156" activePane="bottomLeft" state="frozen"/>
      <selection pane="bottomLeft" activeCell="X161" sqref="X161"/>
    </sheetView>
  </sheetViews>
  <sheetFormatPr baseColWidth="10" defaultRowHeight="12.75"/>
  <cols>
    <col min="1" max="1" width="8" customWidth="1"/>
    <col min="2" max="2" width="6" customWidth="1"/>
    <col min="3" max="3" width="13.7109375" customWidth="1"/>
    <col min="4" max="4" width="12" customWidth="1"/>
    <col min="5" max="5" width="4.85546875" customWidth="1"/>
    <col min="6" max="6" width="39.5703125" customWidth="1"/>
    <col min="7" max="7" width="6.5703125" customWidth="1"/>
    <col min="8" max="8" width="8.28515625" customWidth="1"/>
    <col min="9" max="9" width="5.85546875" customWidth="1"/>
    <col min="10" max="10" width="6.42578125" customWidth="1"/>
    <col min="11" max="11" width="5.85546875" customWidth="1"/>
    <col min="12" max="12" width="5.7109375" customWidth="1"/>
    <col min="13" max="13" width="7.140625" customWidth="1"/>
    <col min="14" max="16" width="5.28515625" customWidth="1"/>
    <col min="17" max="18" width="9.42578125" customWidth="1"/>
    <col min="19" max="19" width="8.85546875" customWidth="1"/>
    <col min="20" max="20" width="8.42578125" customWidth="1"/>
    <col min="21" max="21" width="9.5703125" customWidth="1"/>
    <col min="22" max="22" width="7.140625" customWidth="1"/>
    <col min="23" max="23" width="7.42578125" customWidth="1"/>
    <col min="24" max="24" width="7.28515625" customWidth="1"/>
    <col min="25" max="25" width="8" customWidth="1"/>
    <col min="26" max="26" width="13.140625" customWidth="1"/>
  </cols>
  <sheetData>
    <row r="1" spans="1:25" ht="13.5">
      <c r="A1" s="261" t="s">
        <v>12</v>
      </c>
      <c r="B1" s="262"/>
      <c r="C1" s="3"/>
      <c r="N1" s="5"/>
    </row>
    <row r="2" spans="1:25" ht="13.5">
      <c r="A2" s="261" t="s">
        <v>13</v>
      </c>
      <c r="B2" s="262"/>
      <c r="C2" s="3"/>
      <c r="D2" s="2"/>
      <c r="N2" s="5"/>
      <c r="P2" s="4"/>
      <c r="Q2" s="4"/>
      <c r="R2" s="4"/>
      <c r="S2" s="4"/>
    </row>
    <row r="3" spans="1:25" ht="12.75" customHeight="1">
      <c r="A3" s="261" t="s">
        <v>14</v>
      </c>
      <c r="B3" s="262"/>
      <c r="C3" s="3"/>
      <c r="D3" s="2"/>
      <c r="E3" s="260"/>
      <c r="G3" s="369" t="s">
        <v>146</v>
      </c>
      <c r="H3" s="369"/>
      <c r="I3" s="369"/>
      <c r="J3" s="369"/>
      <c r="K3" s="369"/>
      <c r="L3" s="260"/>
      <c r="M3" s="260"/>
      <c r="N3" s="5"/>
      <c r="P3" s="4"/>
      <c r="Q3" s="4"/>
      <c r="R3" s="4"/>
      <c r="S3" s="4"/>
    </row>
    <row r="4" spans="1:25" ht="12.75" customHeight="1">
      <c r="A4" s="261" t="s">
        <v>34</v>
      </c>
      <c r="B4" s="262"/>
      <c r="C4" s="3"/>
      <c r="D4" s="2" t="s">
        <v>16</v>
      </c>
      <c r="E4" s="260"/>
      <c r="F4" s="268"/>
      <c r="G4" s="369"/>
      <c r="H4" s="369"/>
      <c r="I4" s="369"/>
      <c r="J4" s="369"/>
      <c r="K4" s="369"/>
      <c r="L4" s="260"/>
      <c r="M4" s="260"/>
      <c r="N4" s="5"/>
      <c r="P4" s="4"/>
      <c r="Q4" s="4"/>
      <c r="R4" s="4"/>
      <c r="S4" s="4"/>
    </row>
    <row r="5" spans="1:25" ht="12.75" customHeight="1">
      <c r="A5" s="261" t="s">
        <v>15</v>
      </c>
      <c r="B5" s="262"/>
      <c r="C5" s="3"/>
      <c r="D5" s="2"/>
      <c r="E5" s="6"/>
      <c r="F5" s="6"/>
      <c r="G5" s="6"/>
      <c r="H5" s="6"/>
      <c r="I5" s="6"/>
      <c r="N5" s="5"/>
      <c r="P5" s="4"/>
      <c r="Q5" s="4"/>
      <c r="R5" s="4"/>
      <c r="S5" s="4"/>
    </row>
    <row r="6" spans="1:25" ht="24.75" customHeight="1" thickBot="1">
      <c r="A6" s="255" t="s">
        <v>1742</v>
      </c>
      <c r="D6" s="1"/>
      <c r="N6" s="5"/>
    </row>
    <row r="7" spans="1:25" s="13" customFormat="1" ht="26.25" customHeight="1" thickBot="1">
      <c r="A7" s="9" t="s">
        <v>0</v>
      </c>
      <c r="B7" s="10" t="s">
        <v>1</v>
      </c>
      <c r="C7" s="9" t="s">
        <v>19</v>
      </c>
      <c r="D7" s="33" t="s">
        <v>18</v>
      </c>
      <c r="E7" s="12" t="s">
        <v>9</v>
      </c>
      <c r="F7" s="9" t="s">
        <v>2</v>
      </c>
      <c r="G7" s="8" t="s">
        <v>20</v>
      </c>
      <c r="H7" s="8" t="s">
        <v>405</v>
      </c>
      <c r="I7" s="305" t="s">
        <v>3</v>
      </c>
      <c r="J7" s="31" t="s">
        <v>10</v>
      </c>
      <c r="K7" s="61" t="s">
        <v>11</v>
      </c>
      <c r="L7" s="62" t="s">
        <v>29</v>
      </c>
      <c r="M7" s="16" t="s">
        <v>6</v>
      </c>
      <c r="N7" s="63" t="s">
        <v>147</v>
      </c>
      <c r="O7" s="64" t="s">
        <v>148</v>
      </c>
      <c r="P7" s="65" t="s">
        <v>149</v>
      </c>
      <c r="Q7" s="311" t="s">
        <v>8</v>
      </c>
      <c r="R7" s="31" t="s">
        <v>4</v>
      </c>
      <c r="S7" s="61" t="s">
        <v>5</v>
      </c>
      <c r="T7" s="62" t="s">
        <v>31</v>
      </c>
      <c r="U7" s="9" t="s">
        <v>7</v>
      </c>
      <c r="V7" s="63" t="s">
        <v>150</v>
      </c>
      <c r="W7" s="64" t="s">
        <v>151</v>
      </c>
      <c r="X7" s="304" t="s">
        <v>152</v>
      </c>
      <c r="Y7" s="9" t="s">
        <v>22</v>
      </c>
    </row>
    <row r="8" spans="1:25" s="7" customFormat="1" ht="12" customHeight="1">
      <c r="A8" s="232">
        <v>40273</v>
      </c>
      <c r="B8" s="27">
        <v>414</v>
      </c>
      <c r="C8" s="24" t="s">
        <v>253</v>
      </c>
      <c r="D8" s="24" t="s">
        <v>42</v>
      </c>
      <c r="E8" s="25">
        <f>69*5</f>
        <v>345</v>
      </c>
      <c r="F8" s="27" t="s">
        <v>1114</v>
      </c>
      <c r="G8" s="180">
        <v>43.75</v>
      </c>
      <c r="H8" s="194">
        <f>E8*G8</f>
        <v>15093.75</v>
      </c>
      <c r="I8" s="306">
        <v>3</v>
      </c>
      <c r="J8" s="155">
        <v>4.01</v>
      </c>
      <c r="K8" s="177">
        <v>0</v>
      </c>
      <c r="L8" s="157">
        <v>0</v>
      </c>
      <c r="M8" s="158">
        <f>J8+K8</f>
        <v>4.01</v>
      </c>
      <c r="N8" s="159">
        <v>0.33</v>
      </c>
      <c r="O8" s="160">
        <v>0.1</v>
      </c>
      <c r="P8" s="161">
        <v>0.25</v>
      </c>
      <c r="Q8" s="308">
        <f t="shared" ref="Q8:Q76" si="0">E8*I8</f>
        <v>1035</v>
      </c>
      <c r="R8" s="162">
        <f t="shared" ref="R8:R76" si="1">E8*J8</f>
        <v>1383.4499999999998</v>
      </c>
      <c r="S8" s="163">
        <f t="shared" ref="S8:S76" si="2">E8*K8</f>
        <v>0</v>
      </c>
      <c r="T8" s="164">
        <f t="shared" ref="T8:T76" si="3">E8*L8</f>
        <v>0</v>
      </c>
      <c r="U8" s="158">
        <f t="shared" ref="U8:U76" si="4">E8*M8</f>
        <v>1383.4499999999998</v>
      </c>
      <c r="V8" s="159">
        <f t="shared" ref="V8:V76" si="5">N8*E8</f>
        <v>113.85000000000001</v>
      </c>
      <c r="W8" s="160">
        <f t="shared" ref="W8:W76" si="6">O8*E8</f>
        <v>34.5</v>
      </c>
      <c r="X8" s="161">
        <f t="shared" ref="X8:X76" si="7">P8*E8</f>
        <v>86.25</v>
      </c>
      <c r="Y8" s="14"/>
    </row>
    <row r="9" spans="1:25" s="7" customFormat="1" ht="12" customHeight="1">
      <c r="A9" s="232"/>
      <c r="B9" s="27"/>
      <c r="C9" s="24" t="s">
        <v>253</v>
      </c>
      <c r="D9" s="24" t="s">
        <v>42</v>
      </c>
      <c r="E9" s="25">
        <f>111*5</f>
        <v>555</v>
      </c>
      <c r="F9" s="27" t="s">
        <v>1115</v>
      </c>
      <c r="G9" s="180">
        <v>39.25</v>
      </c>
      <c r="H9" s="150">
        <f t="shared" ref="H9:H72" si="8">E9*G9</f>
        <v>21783.75</v>
      </c>
      <c r="I9" s="306">
        <v>3</v>
      </c>
      <c r="J9" s="155">
        <v>4.01</v>
      </c>
      <c r="K9" s="177">
        <v>0</v>
      </c>
      <c r="L9" s="157">
        <v>0</v>
      </c>
      <c r="M9" s="165">
        <f>J9+K9</f>
        <v>4.01</v>
      </c>
      <c r="N9" s="166">
        <v>0.33</v>
      </c>
      <c r="O9" s="167">
        <v>0.1</v>
      </c>
      <c r="P9" s="168">
        <v>0.25</v>
      </c>
      <c r="Q9" s="309">
        <f t="shared" si="0"/>
        <v>1665</v>
      </c>
      <c r="R9" s="152">
        <f t="shared" si="1"/>
        <v>2225.5499999999997</v>
      </c>
      <c r="S9" s="154">
        <f t="shared" si="2"/>
        <v>0</v>
      </c>
      <c r="T9" s="169">
        <f t="shared" si="3"/>
        <v>0</v>
      </c>
      <c r="U9" s="165">
        <f t="shared" si="4"/>
        <v>2225.5499999999997</v>
      </c>
      <c r="V9" s="166">
        <f t="shared" si="5"/>
        <v>183.15</v>
      </c>
      <c r="W9" s="167">
        <f t="shared" si="6"/>
        <v>55.5</v>
      </c>
      <c r="X9" s="168">
        <f t="shared" si="7"/>
        <v>138.75</v>
      </c>
      <c r="Y9" s="14"/>
    </row>
    <row r="10" spans="1:25" s="7" customFormat="1" ht="12" customHeight="1">
      <c r="A10" s="232"/>
      <c r="B10" s="27"/>
      <c r="C10" s="24" t="s">
        <v>253</v>
      </c>
      <c r="D10" s="24" t="s">
        <v>42</v>
      </c>
      <c r="E10" s="25">
        <f>8*5</f>
        <v>40</v>
      </c>
      <c r="F10" s="27" t="s">
        <v>1116</v>
      </c>
      <c r="G10" s="180">
        <v>39.75</v>
      </c>
      <c r="H10" s="150">
        <f t="shared" si="8"/>
        <v>1590</v>
      </c>
      <c r="I10" s="306">
        <v>3</v>
      </c>
      <c r="J10" s="155">
        <v>4.01</v>
      </c>
      <c r="K10" s="177">
        <v>0</v>
      </c>
      <c r="L10" s="157">
        <v>0</v>
      </c>
      <c r="M10" s="165">
        <f t="shared" ref="M10:M73" si="9">J10+K10</f>
        <v>4.01</v>
      </c>
      <c r="N10" s="166">
        <v>0.33</v>
      </c>
      <c r="O10" s="167">
        <v>0.1</v>
      </c>
      <c r="P10" s="168">
        <v>0.25</v>
      </c>
      <c r="Q10" s="309">
        <f t="shared" si="0"/>
        <v>120</v>
      </c>
      <c r="R10" s="152">
        <f t="shared" si="1"/>
        <v>160.39999999999998</v>
      </c>
      <c r="S10" s="154">
        <f t="shared" si="2"/>
        <v>0</v>
      </c>
      <c r="T10" s="169">
        <f t="shared" si="3"/>
        <v>0</v>
      </c>
      <c r="U10" s="153">
        <f t="shared" si="4"/>
        <v>160.39999999999998</v>
      </c>
      <c r="V10" s="166">
        <f t="shared" si="5"/>
        <v>13.200000000000001</v>
      </c>
      <c r="W10" s="167">
        <f t="shared" si="6"/>
        <v>4</v>
      </c>
      <c r="X10" s="168">
        <f t="shared" si="7"/>
        <v>10</v>
      </c>
      <c r="Y10" s="14"/>
    </row>
    <row r="11" spans="1:25" s="7" customFormat="1" ht="12" customHeight="1">
      <c r="A11" s="232"/>
      <c r="B11" s="27"/>
      <c r="C11" s="24" t="s">
        <v>253</v>
      </c>
      <c r="D11" s="24" t="s">
        <v>42</v>
      </c>
      <c r="E11" s="25">
        <f>12*5</f>
        <v>60</v>
      </c>
      <c r="F11" s="27" t="s">
        <v>1117</v>
      </c>
      <c r="G11" s="180">
        <v>35.25</v>
      </c>
      <c r="H11" s="150">
        <f t="shared" si="8"/>
        <v>2115</v>
      </c>
      <c r="I11" s="306">
        <v>3</v>
      </c>
      <c r="J11" s="155">
        <v>4.01</v>
      </c>
      <c r="K11" s="177">
        <v>0</v>
      </c>
      <c r="L11" s="157">
        <v>0</v>
      </c>
      <c r="M11" s="165">
        <f t="shared" si="9"/>
        <v>4.01</v>
      </c>
      <c r="N11" s="166">
        <v>0.33</v>
      </c>
      <c r="O11" s="167">
        <v>0.1</v>
      </c>
      <c r="P11" s="168">
        <v>0.25</v>
      </c>
      <c r="Q11" s="309">
        <f t="shared" si="0"/>
        <v>180</v>
      </c>
      <c r="R11" s="152">
        <f t="shared" si="1"/>
        <v>240.6</v>
      </c>
      <c r="S11" s="154">
        <f t="shared" si="2"/>
        <v>0</v>
      </c>
      <c r="T11" s="169">
        <f t="shared" si="3"/>
        <v>0</v>
      </c>
      <c r="U11" s="153">
        <f t="shared" si="4"/>
        <v>240.6</v>
      </c>
      <c r="V11" s="166">
        <f t="shared" si="5"/>
        <v>19.8</v>
      </c>
      <c r="W11" s="167">
        <f t="shared" si="6"/>
        <v>6</v>
      </c>
      <c r="X11" s="168">
        <f t="shared" si="7"/>
        <v>15</v>
      </c>
      <c r="Y11" s="14"/>
    </row>
    <row r="12" spans="1:25" s="7" customFormat="1" ht="12" customHeight="1">
      <c r="A12" s="232">
        <v>40273</v>
      </c>
      <c r="B12" s="27">
        <v>415</v>
      </c>
      <c r="C12" s="24" t="s">
        <v>253</v>
      </c>
      <c r="D12" s="24" t="s">
        <v>42</v>
      </c>
      <c r="E12" s="25">
        <f>20*2</f>
        <v>40</v>
      </c>
      <c r="F12" s="27" t="s">
        <v>1118</v>
      </c>
      <c r="G12" s="180">
        <v>61.5</v>
      </c>
      <c r="H12" s="150">
        <f t="shared" si="8"/>
        <v>2460</v>
      </c>
      <c r="I12" s="306">
        <v>4.5</v>
      </c>
      <c r="J12" s="155">
        <v>12.08</v>
      </c>
      <c r="K12" s="177">
        <v>2</v>
      </c>
      <c r="L12" s="157">
        <v>0.3</v>
      </c>
      <c r="M12" s="165">
        <f t="shared" si="9"/>
        <v>14.08</v>
      </c>
      <c r="N12" s="166">
        <v>0.57999999999999996</v>
      </c>
      <c r="O12" s="167">
        <v>0.2</v>
      </c>
      <c r="P12" s="168">
        <v>0.4</v>
      </c>
      <c r="Q12" s="309">
        <f t="shared" si="0"/>
        <v>180</v>
      </c>
      <c r="R12" s="152">
        <f t="shared" si="1"/>
        <v>483.2</v>
      </c>
      <c r="S12" s="154">
        <f t="shared" si="2"/>
        <v>80</v>
      </c>
      <c r="T12" s="169">
        <f t="shared" si="3"/>
        <v>12</v>
      </c>
      <c r="U12" s="153">
        <f t="shared" si="4"/>
        <v>563.20000000000005</v>
      </c>
      <c r="V12" s="166">
        <f t="shared" si="5"/>
        <v>23.2</v>
      </c>
      <c r="W12" s="167">
        <f t="shared" si="6"/>
        <v>8</v>
      </c>
      <c r="X12" s="168">
        <f t="shared" si="7"/>
        <v>16</v>
      </c>
      <c r="Y12" s="14"/>
    </row>
    <row r="13" spans="1:25" s="7" customFormat="1" ht="12" customHeight="1">
      <c r="A13" s="232"/>
      <c r="B13" s="27"/>
      <c r="C13" s="24" t="s">
        <v>253</v>
      </c>
      <c r="D13" s="24" t="s">
        <v>42</v>
      </c>
      <c r="E13" s="25">
        <f>180*2</f>
        <v>360</v>
      </c>
      <c r="F13" s="27" t="s">
        <v>1119</v>
      </c>
      <c r="G13" s="180">
        <v>61.5</v>
      </c>
      <c r="H13" s="150">
        <f t="shared" si="8"/>
        <v>22140</v>
      </c>
      <c r="I13" s="306">
        <v>4.5</v>
      </c>
      <c r="J13" s="155">
        <v>9.08</v>
      </c>
      <c r="K13" s="177">
        <v>2</v>
      </c>
      <c r="L13" s="157">
        <v>0.3</v>
      </c>
      <c r="M13" s="165">
        <f t="shared" si="9"/>
        <v>11.08</v>
      </c>
      <c r="N13" s="166">
        <v>0.57999999999999996</v>
      </c>
      <c r="O13" s="167">
        <v>0.2</v>
      </c>
      <c r="P13" s="168">
        <v>0.4</v>
      </c>
      <c r="Q13" s="309">
        <f t="shared" si="0"/>
        <v>1620</v>
      </c>
      <c r="R13" s="152">
        <f t="shared" si="1"/>
        <v>3268.8</v>
      </c>
      <c r="S13" s="154">
        <f t="shared" si="2"/>
        <v>720</v>
      </c>
      <c r="T13" s="169">
        <f t="shared" si="3"/>
        <v>108</v>
      </c>
      <c r="U13" s="153">
        <f t="shared" si="4"/>
        <v>3988.8</v>
      </c>
      <c r="V13" s="166">
        <f t="shared" si="5"/>
        <v>208.79999999999998</v>
      </c>
      <c r="W13" s="167">
        <f t="shared" si="6"/>
        <v>72</v>
      </c>
      <c r="X13" s="168">
        <f t="shared" si="7"/>
        <v>144</v>
      </c>
      <c r="Y13" s="14"/>
    </row>
    <row r="14" spans="1:25" s="7" customFormat="1" ht="12" customHeight="1">
      <c r="A14" s="232">
        <v>40274</v>
      </c>
      <c r="B14" s="27">
        <v>416</v>
      </c>
      <c r="C14" s="24" t="s">
        <v>40</v>
      </c>
      <c r="D14" s="24" t="s">
        <v>1120</v>
      </c>
      <c r="E14" s="25">
        <v>1</v>
      </c>
      <c r="F14" s="27" t="s">
        <v>1121</v>
      </c>
      <c r="G14" s="180">
        <v>38</v>
      </c>
      <c r="H14" s="150">
        <f t="shared" si="8"/>
        <v>38</v>
      </c>
      <c r="I14" s="306">
        <v>3.5</v>
      </c>
      <c r="J14" s="155">
        <v>7.01</v>
      </c>
      <c r="K14" s="156">
        <v>0.5</v>
      </c>
      <c r="L14" s="157">
        <v>0.08</v>
      </c>
      <c r="M14" s="165">
        <f t="shared" si="9"/>
        <v>7.51</v>
      </c>
      <c r="N14" s="166">
        <v>0</v>
      </c>
      <c r="O14" s="167">
        <v>0.1</v>
      </c>
      <c r="P14" s="168">
        <v>0</v>
      </c>
      <c r="Q14" s="309">
        <f>E14*I14</f>
        <v>3.5</v>
      </c>
      <c r="R14" s="152">
        <f t="shared" si="1"/>
        <v>7.01</v>
      </c>
      <c r="S14" s="154">
        <f t="shared" si="2"/>
        <v>0.5</v>
      </c>
      <c r="T14" s="169">
        <f t="shared" si="3"/>
        <v>0.08</v>
      </c>
      <c r="U14" s="153">
        <f t="shared" si="4"/>
        <v>7.51</v>
      </c>
      <c r="V14" s="166">
        <f t="shared" si="5"/>
        <v>0</v>
      </c>
      <c r="W14" s="167">
        <f t="shared" si="6"/>
        <v>0.1</v>
      </c>
      <c r="X14" s="168">
        <f t="shared" si="7"/>
        <v>0</v>
      </c>
      <c r="Y14" s="14"/>
    </row>
    <row r="15" spans="1:25" s="7" customFormat="1" ht="12" customHeight="1">
      <c r="A15" s="232"/>
      <c r="B15" s="27"/>
      <c r="C15" s="24" t="s">
        <v>40</v>
      </c>
      <c r="D15" s="24" t="s">
        <v>1120</v>
      </c>
      <c r="E15" s="25">
        <v>1</v>
      </c>
      <c r="F15" s="27" t="s">
        <v>1122</v>
      </c>
      <c r="G15" s="180">
        <v>38</v>
      </c>
      <c r="H15" s="150">
        <f t="shared" si="8"/>
        <v>38</v>
      </c>
      <c r="I15" s="306">
        <v>3.5</v>
      </c>
      <c r="J15" s="155">
        <v>6.55</v>
      </c>
      <c r="K15" s="156">
        <v>0.9</v>
      </c>
      <c r="L15" s="157">
        <v>0.14000000000000001</v>
      </c>
      <c r="M15" s="165">
        <f t="shared" si="9"/>
        <v>7.45</v>
      </c>
      <c r="N15" s="166">
        <v>0</v>
      </c>
      <c r="O15" s="167">
        <v>0.1</v>
      </c>
      <c r="P15" s="168">
        <v>0</v>
      </c>
      <c r="Q15" s="309">
        <f t="shared" si="0"/>
        <v>3.5</v>
      </c>
      <c r="R15" s="152">
        <f t="shared" si="1"/>
        <v>6.55</v>
      </c>
      <c r="S15" s="154">
        <f t="shared" si="2"/>
        <v>0.9</v>
      </c>
      <c r="T15" s="169">
        <f t="shared" si="3"/>
        <v>0.14000000000000001</v>
      </c>
      <c r="U15" s="153">
        <f t="shared" si="4"/>
        <v>7.45</v>
      </c>
      <c r="V15" s="166">
        <f t="shared" si="5"/>
        <v>0</v>
      </c>
      <c r="W15" s="167">
        <f t="shared" si="6"/>
        <v>0.1</v>
      </c>
      <c r="X15" s="168">
        <f t="shared" si="7"/>
        <v>0</v>
      </c>
      <c r="Y15" s="14"/>
    </row>
    <row r="16" spans="1:25" s="7" customFormat="1" ht="12" customHeight="1">
      <c r="A16" s="232"/>
      <c r="B16" s="27"/>
      <c r="C16" s="24" t="s">
        <v>40</v>
      </c>
      <c r="D16" s="24" t="s">
        <v>1120</v>
      </c>
      <c r="E16" s="25">
        <v>1</v>
      </c>
      <c r="F16" s="27" t="s">
        <v>1123</v>
      </c>
      <c r="G16" s="180">
        <v>38</v>
      </c>
      <c r="H16" s="150">
        <f t="shared" si="8"/>
        <v>38</v>
      </c>
      <c r="I16" s="306">
        <v>3.5</v>
      </c>
      <c r="J16" s="155">
        <v>6.84</v>
      </c>
      <c r="K16" s="156">
        <v>0.65</v>
      </c>
      <c r="L16" s="182">
        <v>0.1</v>
      </c>
      <c r="M16" s="165">
        <f t="shared" si="9"/>
        <v>7.49</v>
      </c>
      <c r="N16" s="166">
        <v>0</v>
      </c>
      <c r="O16" s="167">
        <v>0.1</v>
      </c>
      <c r="P16" s="168">
        <v>0</v>
      </c>
      <c r="Q16" s="309">
        <f t="shared" si="0"/>
        <v>3.5</v>
      </c>
      <c r="R16" s="152">
        <f t="shared" si="1"/>
        <v>6.84</v>
      </c>
      <c r="S16" s="154">
        <f t="shared" si="2"/>
        <v>0.65</v>
      </c>
      <c r="T16" s="183">
        <f t="shared" si="3"/>
        <v>0.1</v>
      </c>
      <c r="U16" s="153">
        <f t="shared" si="4"/>
        <v>7.49</v>
      </c>
      <c r="V16" s="166">
        <f t="shared" si="5"/>
        <v>0</v>
      </c>
      <c r="W16" s="167">
        <f t="shared" si="6"/>
        <v>0.1</v>
      </c>
      <c r="X16" s="168">
        <f t="shared" si="7"/>
        <v>0</v>
      </c>
      <c r="Y16" s="14"/>
    </row>
    <row r="17" spans="1:25" s="7" customFormat="1" ht="12" customHeight="1">
      <c r="A17" s="232">
        <v>40274</v>
      </c>
      <c r="B17" s="27">
        <v>417</v>
      </c>
      <c r="C17" s="24" t="s">
        <v>1124</v>
      </c>
      <c r="D17" s="24" t="s">
        <v>1125</v>
      </c>
      <c r="E17" s="25">
        <v>10</v>
      </c>
      <c r="F17" s="27" t="s">
        <v>1126</v>
      </c>
      <c r="G17" s="180">
        <v>35</v>
      </c>
      <c r="H17" s="150">
        <f t="shared" si="8"/>
        <v>350</v>
      </c>
      <c r="I17" s="306">
        <v>3.5</v>
      </c>
      <c r="J17" s="155">
        <v>10.24</v>
      </c>
      <c r="K17" s="156">
        <v>3</v>
      </c>
      <c r="L17" s="157">
        <v>0.45</v>
      </c>
      <c r="M17" s="165">
        <f t="shared" si="9"/>
        <v>13.24</v>
      </c>
      <c r="N17" s="166">
        <v>0.33</v>
      </c>
      <c r="O17" s="167">
        <v>0.1</v>
      </c>
      <c r="P17" s="168">
        <v>0</v>
      </c>
      <c r="Q17" s="309">
        <f t="shared" si="0"/>
        <v>35</v>
      </c>
      <c r="R17" s="152">
        <f t="shared" si="1"/>
        <v>102.4</v>
      </c>
      <c r="S17" s="154">
        <f t="shared" si="2"/>
        <v>30</v>
      </c>
      <c r="T17" s="169">
        <f t="shared" si="3"/>
        <v>4.5</v>
      </c>
      <c r="U17" s="153">
        <f t="shared" si="4"/>
        <v>132.4</v>
      </c>
      <c r="V17" s="166">
        <f t="shared" si="5"/>
        <v>3.3000000000000003</v>
      </c>
      <c r="W17" s="167">
        <f t="shared" si="6"/>
        <v>1</v>
      </c>
      <c r="X17" s="168">
        <f t="shared" si="7"/>
        <v>0</v>
      </c>
      <c r="Y17" s="14"/>
    </row>
    <row r="18" spans="1:25" s="7" customFormat="1" ht="12" customHeight="1">
      <c r="A18" s="232"/>
      <c r="B18" s="27"/>
      <c r="C18" s="24" t="s">
        <v>1124</v>
      </c>
      <c r="D18" s="24" t="s">
        <v>1125</v>
      </c>
      <c r="E18" s="25">
        <f>28+6</f>
        <v>34</v>
      </c>
      <c r="F18" s="27" t="s">
        <v>1127</v>
      </c>
      <c r="G18" s="180">
        <v>39</v>
      </c>
      <c r="H18" s="150">
        <f t="shared" si="8"/>
        <v>1326</v>
      </c>
      <c r="I18" s="306">
        <v>3.5</v>
      </c>
      <c r="J18" s="155">
        <v>12.24</v>
      </c>
      <c r="K18" s="156">
        <v>3</v>
      </c>
      <c r="L18" s="157">
        <v>0.45</v>
      </c>
      <c r="M18" s="153">
        <f t="shared" si="9"/>
        <v>15.24</v>
      </c>
      <c r="N18" s="166">
        <v>0.33</v>
      </c>
      <c r="O18" s="167">
        <v>0.1</v>
      </c>
      <c r="P18" s="168">
        <v>0</v>
      </c>
      <c r="Q18" s="309">
        <f t="shared" si="0"/>
        <v>119</v>
      </c>
      <c r="R18" s="152">
        <f t="shared" si="1"/>
        <v>416.16</v>
      </c>
      <c r="S18" s="154">
        <f t="shared" si="2"/>
        <v>102</v>
      </c>
      <c r="T18" s="169">
        <f t="shared" si="3"/>
        <v>15.3</v>
      </c>
      <c r="U18" s="153">
        <f t="shared" si="4"/>
        <v>518.16</v>
      </c>
      <c r="V18" s="166">
        <f t="shared" si="5"/>
        <v>11.22</v>
      </c>
      <c r="W18" s="167">
        <f t="shared" si="6"/>
        <v>3.4000000000000004</v>
      </c>
      <c r="X18" s="168">
        <f t="shared" si="7"/>
        <v>0</v>
      </c>
      <c r="Y18" s="14"/>
    </row>
    <row r="19" spans="1:25" s="7" customFormat="1" ht="12" customHeight="1">
      <c r="A19" s="232"/>
      <c r="B19" s="27"/>
      <c r="C19" s="24" t="s">
        <v>1124</v>
      </c>
      <c r="D19" s="24" t="s">
        <v>1125</v>
      </c>
      <c r="E19" s="25">
        <v>4</v>
      </c>
      <c r="F19" s="195" t="s">
        <v>1128</v>
      </c>
      <c r="G19" s="180">
        <v>35</v>
      </c>
      <c r="H19" s="150">
        <f t="shared" si="8"/>
        <v>140</v>
      </c>
      <c r="I19" s="306">
        <v>3.5</v>
      </c>
      <c r="J19" s="155">
        <v>9.74</v>
      </c>
      <c r="K19" s="156">
        <v>3</v>
      </c>
      <c r="L19" s="157">
        <v>0.45</v>
      </c>
      <c r="M19" s="165">
        <f t="shared" si="9"/>
        <v>12.74</v>
      </c>
      <c r="N19" s="166">
        <v>0.33</v>
      </c>
      <c r="O19" s="167">
        <v>0.1</v>
      </c>
      <c r="P19" s="168">
        <v>0</v>
      </c>
      <c r="Q19" s="309">
        <f t="shared" si="0"/>
        <v>14</v>
      </c>
      <c r="R19" s="152">
        <f t="shared" si="1"/>
        <v>38.96</v>
      </c>
      <c r="S19" s="154">
        <f t="shared" si="2"/>
        <v>12</v>
      </c>
      <c r="T19" s="169">
        <f t="shared" si="3"/>
        <v>1.8</v>
      </c>
      <c r="U19" s="153">
        <f t="shared" si="4"/>
        <v>50.96</v>
      </c>
      <c r="V19" s="166">
        <f t="shared" si="5"/>
        <v>1.32</v>
      </c>
      <c r="W19" s="167">
        <f t="shared" si="6"/>
        <v>0.4</v>
      </c>
      <c r="X19" s="168">
        <f t="shared" si="7"/>
        <v>0</v>
      </c>
      <c r="Y19" s="14"/>
    </row>
    <row r="20" spans="1:25" s="7" customFormat="1" ht="12" customHeight="1">
      <c r="A20" s="232"/>
      <c r="B20" s="27"/>
      <c r="C20" s="24" t="s">
        <v>1124</v>
      </c>
      <c r="D20" s="24" t="s">
        <v>1125</v>
      </c>
      <c r="E20" s="195">
        <v>2</v>
      </c>
      <c r="F20" s="195" t="s">
        <v>1129</v>
      </c>
      <c r="G20" s="180">
        <v>39</v>
      </c>
      <c r="H20" s="150">
        <f t="shared" si="8"/>
        <v>78</v>
      </c>
      <c r="I20" s="306">
        <v>3.5</v>
      </c>
      <c r="J20" s="155">
        <v>11.74</v>
      </c>
      <c r="K20" s="156">
        <v>3</v>
      </c>
      <c r="L20" s="157">
        <v>0.45</v>
      </c>
      <c r="M20" s="165">
        <f t="shared" si="9"/>
        <v>14.74</v>
      </c>
      <c r="N20" s="166">
        <v>0.33</v>
      </c>
      <c r="O20" s="167">
        <v>0.1</v>
      </c>
      <c r="P20" s="168">
        <v>0</v>
      </c>
      <c r="Q20" s="309">
        <f t="shared" si="0"/>
        <v>7</v>
      </c>
      <c r="R20" s="152">
        <f t="shared" si="1"/>
        <v>23.48</v>
      </c>
      <c r="S20" s="154">
        <f t="shared" si="2"/>
        <v>6</v>
      </c>
      <c r="T20" s="169">
        <f t="shared" si="3"/>
        <v>0.9</v>
      </c>
      <c r="U20" s="153">
        <f t="shared" si="4"/>
        <v>29.48</v>
      </c>
      <c r="V20" s="166">
        <f t="shared" si="5"/>
        <v>0.66</v>
      </c>
      <c r="W20" s="167">
        <f t="shared" si="6"/>
        <v>0.2</v>
      </c>
      <c r="X20" s="168">
        <f t="shared" si="7"/>
        <v>0</v>
      </c>
      <c r="Y20" s="14"/>
    </row>
    <row r="21" spans="1:25" s="7" customFormat="1" ht="12" customHeight="1">
      <c r="A21" s="232"/>
      <c r="B21" s="27"/>
      <c r="C21" s="24" t="s">
        <v>1124</v>
      </c>
      <c r="D21" s="24" t="s">
        <v>1125</v>
      </c>
      <c r="E21" s="195">
        <v>11</v>
      </c>
      <c r="F21" s="195" t="s">
        <v>1130</v>
      </c>
      <c r="G21" s="180">
        <v>39</v>
      </c>
      <c r="H21" s="150">
        <f t="shared" si="8"/>
        <v>429</v>
      </c>
      <c r="I21" s="307">
        <v>3.5</v>
      </c>
      <c r="J21" s="155">
        <v>11.74</v>
      </c>
      <c r="K21" s="177">
        <v>3</v>
      </c>
      <c r="L21" s="157">
        <v>0.45</v>
      </c>
      <c r="M21" s="165">
        <f t="shared" si="9"/>
        <v>14.74</v>
      </c>
      <c r="N21" s="166">
        <v>0.33</v>
      </c>
      <c r="O21" s="167">
        <v>0.1</v>
      </c>
      <c r="P21" s="168">
        <v>0</v>
      </c>
      <c r="Q21" s="309">
        <f t="shared" si="0"/>
        <v>38.5</v>
      </c>
      <c r="R21" s="152">
        <f t="shared" si="1"/>
        <v>129.14000000000001</v>
      </c>
      <c r="S21" s="154">
        <f t="shared" si="2"/>
        <v>33</v>
      </c>
      <c r="T21" s="169">
        <f t="shared" si="3"/>
        <v>4.95</v>
      </c>
      <c r="U21" s="153">
        <f t="shared" si="4"/>
        <v>162.14000000000001</v>
      </c>
      <c r="V21" s="166">
        <f t="shared" si="5"/>
        <v>3.6300000000000003</v>
      </c>
      <c r="W21" s="167">
        <f t="shared" si="6"/>
        <v>1.1000000000000001</v>
      </c>
      <c r="X21" s="168">
        <f t="shared" si="7"/>
        <v>0</v>
      </c>
      <c r="Y21" s="14"/>
    </row>
    <row r="22" spans="1:25" s="7" customFormat="1" ht="12" customHeight="1">
      <c r="A22" s="232">
        <v>40274</v>
      </c>
      <c r="B22" s="27">
        <v>418</v>
      </c>
      <c r="C22" s="24" t="s">
        <v>1131</v>
      </c>
      <c r="D22" s="24" t="s">
        <v>1132</v>
      </c>
      <c r="E22" s="25">
        <f>13+1</f>
        <v>14</v>
      </c>
      <c r="F22" s="27" t="s">
        <v>1133</v>
      </c>
      <c r="G22" s="180">
        <v>39.5</v>
      </c>
      <c r="H22" s="150">
        <f t="shared" si="8"/>
        <v>553</v>
      </c>
      <c r="I22" s="307">
        <v>3.5</v>
      </c>
      <c r="J22" s="155">
        <v>6.64</v>
      </c>
      <c r="K22" s="177">
        <v>1.5</v>
      </c>
      <c r="L22" s="157">
        <v>0.23</v>
      </c>
      <c r="M22" s="165">
        <f t="shared" si="9"/>
        <v>8.14</v>
      </c>
      <c r="N22" s="166">
        <v>0.33</v>
      </c>
      <c r="O22" s="167">
        <v>0.1</v>
      </c>
      <c r="P22" s="168">
        <v>0.1</v>
      </c>
      <c r="Q22" s="309">
        <f t="shared" si="0"/>
        <v>49</v>
      </c>
      <c r="R22" s="152">
        <f t="shared" si="1"/>
        <v>92.96</v>
      </c>
      <c r="S22" s="154">
        <f t="shared" si="2"/>
        <v>21</v>
      </c>
      <c r="T22" s="169">
        <f t="shared" si="3"/>
        <v>3.22</v>
      </c>
      <c r="U22" s="153">
        <f t="shared" si="4"/>
        <v>113.96000000000001</v>
      </c>
      <c r="V22" s="166">
        <f t="shared" si="5"/>
        <v>4.62</v>
      </c>
      <c r="W22" s="167">
        <f t="shared" si="6"/>
        <v>1.4000000000000001</v>
      </c>
      <c r="X22" s="168">
        <f t="shared" si="7"/>
        <v>1.4000000000000001</v>
      </c>
      <c r="Y22" s="14"/>
    </row>
    <row r="23" spans="1:25" s="7" customFormat="1" ht="12" customHeight="1">
      <c r="A23" s="232"/>
      <c r="B23" s="27"/>
      <c r="C23" s="24" t="s">
        <v>1131</v>
      </c>
      <c r="D23" s="24" t="s">
        <v>1132</v>
      </c>
      <c r="E23" s="25">
        <v>1</v>
      </c>
      <c r="F23" s="27" t="s">
        <v>1134</v>
      </c>
      <c r="G23" s="180">
        <v>39.5</v>
      </c>
      <c r="H23" s="150">
        <f t="shared" si="8"/>
        <v>39.5</v>
      </c>
      <c r="I23" s="307">
        <v>3.5</v>
      </c>
      <c r="J23" s="155">
        <v>6.64</v>
      </c>
      <c r="K23" s="177">
        <v>1.5</v>
      </c>
      <c r="L23" s="157">
        <v>0.23</v>
      </c>
      <c r="M23" s="165">
        <f t="shared" si="9"/>
        <v>8.14</v>
      </c>
      <c r="N23" s="166">
        <v>0.33</v>
      </c>
      <c r="O23" s="167">
        <v>0.1</v>
      </c>
      <c r="P23" s="168">
        <v>0.1</v>
      </c>
      <c r="Q23" s="309">
        <f t="shared" si="0"/>
        <v>3.5</v>
      </c>
      <c r="R23" s="152">
        <f t="shared" si="1"/>
        <v>6.64</v>
      </c>
      <c r="S23" s="154">
        <f t="shared" si="2"/>
        <v>1.5</v>
      </c>
      <c r="T23" s="169">
        <f t="shared" si="3"/>
        <v>0.23</v>
      </c>
      <c r="U23" s="153">
        <f t="shared" si="4"/>
        <v>8.14</v>
      </c>
      <c r="V23" s="166">
        <f t="shared" si="5"/>
        <v>0.33</v>
      </c>
      <c r="W23" s="167">
        <f t="shared" si="6"/>
        <v>0.1</v>
      </c>
      <c r="X23" s="168">
        <f t="shared" si="7"/>
        <v>0.1</v>
      </c>
      <c r="Y23" s="14"/>
    </row>
    <row r="24" spans="1:25" s="7" customFormat="1" ht="12" customHeight="1">
      <c r="A24" s="232"/>
      <c r="B24" s="27"/>
      <c r="C24" s="24" t="s">
        <v>1131</v>
      </c>
      <c r="D24" s="24" t="s">
        <v>1132</v>
      </c>
      <c r="E24" s="25">
        <f>16+2</f>
        <v>18</v>
      </c>
      <c r="F24" s="27" t="s">
        <v>1135</v>
      </c>
      <c r="G24" s="180">
        <v>39.5</v>
      </c>
      <c r="H24" s="150">
        <f t="shared" si="8"/>
        <v>711</v>
      </c>
      <c r="I24" s="307">
        <v>3.5</v>
      </c>
      <c r="J24" s="155">
        <v>3.54</v>
      </c>
      <c r="K24" s="177">
        <v>1.5</v>
      </c>
      <c r="L24" s="157">
        <v>0.23</v>
      </c>
      <c r="M24" s="165">
        <f t="shared" si="9"/>
        <v>5.04</v>
      </c>
      <c r="N24" s="166">
        <v>0.33</v>
      </c>
      <c r="O24" s="167">
        <v>0.1</v>
      </c>
      <c r="P24" s="168">
        <v>0.1</v>
      </c>
      <c r="Q24" s="309">
        <f t="shared" si="0"/>
        <v>63</v>
      </c>
      <c r="R24" s="152">
        <f t="shared" si="1"/>
        <v>63.72</v>
      </c>
      <c r="S24" s="154">
        <f t="shared" si="2"/>
        <v>27</v>
      </c>
      <c r="T24" s="169">
        <f t="shared" si="3"/>
        <v>4.1400000000000006</v>
      </c>
      <c r="U24" s="153">
        <f t="shared" si="4"/>
        <v>90.72</v>
      </c>
      <c r="V24" s="166">
        <f t="shared" si="5"/>
        <v>5.94</v>
      </c>
      <c r="W24" s="167">
        <f t="shared" si="6"/>
        <v>1.8</v>
      </c>
      <c r="X24" s="168">
        <f t="shared" si="7"/>
        <v>1.8</v>
      </c>
      <c r="Y24" s="14"/>
    </row>
    <row r="25" spans="1:25" s="7" customFormat="1" ht="12" customHeight="1">
      <c r="A25" s="232"/>
      <c r="B25" s="27"/>
      <c r="C25" s="24" t="s">
        <v>1131</v>
      </c>
      <c r="D25" s="24" t="s">
        <v>1132</v>
      </c>
      <c r="E25" s="25">
        <v>1</v>
      </c>
      <c r="F25" s="27" t="s">
        <v>1136</v>
      </c>
      <c r="G25" s="180">
        <v>28</v>
      </c>
      <c r="H25" s="150">
        <f t="shared" si="8"/>
        <v>28</v>
      </c>
      <c r="I25" s="306">
        <v>3.5</v>
      </c>
      <c r="J25" s="155">
        <v>3.54</v>
      </c>
      <c r="K25" s="177">
        <v>1.5</v>
      </c>
      <c r="L25" s="157">
        <v>0.23</v>
      </c>
      <c r="M25" s="165">
        <f t="shared" si="9"/>
        <v>5.04</v>
      </c>
      <c r="N25" s="166">
        <v>0.33</v>
      </c>
      <c r="O25" s="167">
        <v>0.1</v>
      </c>
      <c r="P25" s="168">
        <v>0.1</v>
      </c>
      <c r="Q25" s="309">
        <f t="shared" si="0"/>
        <v>3.5</v>
      </c>
      <c r="R25" s="152">
        <f t="shared" si="1"/>
        <v>3.54</v>
      </c>
      <c r="S25" s="154">
        <f t="shared" si="2"/>
        <v>1.5</v>
      </c>
      <c r="T25" s="169">
        <f t="shared" si="3"/>
        <v>0.23</v>
      </c>
      <c r="U25" s="153">
        <f t="shared" si="4"/>
        <v>5.04</v>
      </c>
      <c r="V25" s="166">
        <f t="shared" si="5"/>
        <v>0.33</v>
      </c>
      <c r="W25" s="167">
        <f t="shared" si="6"/>
        <v>0.1</v>
      </c>
      <c r="X25" s="168">
        <f t="shared" si="7"/>
        <v>0.1</v>
      </c>
      <c r="Y25" s="14"/>
    </row>
    <row r="26" spans="1:25" s="7" customFormat="1" ht="12" customHeight="1">
      <c r="A26" s="232">
        <v>40273</v>
      </c>
      <c r="B26" s="27">
        <v>419</v>
      </c>
      <c r="C26" s="24" t="s">
        <v>1050</v>
      </c>
      <c r="D26" s="24" t="s">
        <v>245</v>
      </c>
      <c r="E26" s="25">
        <v>17</v>
      </c>
      <c r="F26" s="27" t="s">
        <v>1137</v>
      </c>
      <c r="G26" s="180">
        <v>60</v>
      </c>
      <c r="H26" s="150">
        <f t="shared" si="8"/>
        <v>1020</v>
      </c>
      <c r="I26" s="306">
        <v>0.75</v>
      </c>
      <c r="J26" s="155">
        <v>-5</v>
      </c>
      <c r="K26" s="177">
        <v>0</v>
      </c>
      <c r="L26" s="157">
        <v>0</v>
      </c>
      <c r="M26" s="165">
        <f t="shared" si="9"/>
        <v>-5</v>
      </c>
      <c r="N26" s="166">
        <v>0.35</v>
      </c>
      <c r="O26" s="167">
        <v>0.1</v>
      </c>
      <c r="P26" s="168">
        <v>0.1</v>
      </c>
      <c r="Q26" s="309">
        <f t="shared" si="0"/>
        <v>12.75</v>
      </c>
      <c r="R26" s="152">
        <f t="shared" si="1"/>
        <v>-85</v>
      </c>
      <c r="S26" s="154">
        <f t="shared" si="2"/>
        <v>0</v>
      </c>
      <c r="T26" s="169">
        <f t="shared" si="3"/>
        <v>0</v>
      </c>
      <c r="U26" s="153">
        <f t="shared" si="4"/>
        <v>-85</v>
      </c>
      <c r="V26" s="166">
        <f t="shared" si="5"/>
        <v>5.9499999999999993</v>
      </c>
      <c r="W26" s="167">
        <f t="shared" si="6"/>
        <v>1.7000000000000002</v>
      </c>
      <c r="X26" s="168">
        <f t="shared" si="7"/>
        <v>1.7000000000000002</v>
      </c>
      <c r="Y26" s="14"/>
    </row>
    <row r="27" spans="1:25" s="7" customFormat="1" ht="12" customHeight="1">
      <c r="A27" s="232"/>
      <c r="B27" s="27"/>
      <c r="C27" s="24" t="s">
        <v>1050</v>
      </c>
      <c r="D27" s="24" t="s">
        <v>245</v>
      </c>
      <c r="E27" s="25">
        <v>9</v>
      </c>
      <c r="F27" s="27" t="s">
        <v>1138</v>
      </c>
      <c r="G27" s="180">
        <v>45</v>
      </c>
      <c r="H27" s="150">
        <f t="shared" si="8"/>
        <v>405</v>
      </c>
      <c r="I27" s="306">
        <v>5</v>
      </c>
      <c r="J27" s="155">
        <v>8.59</v>
      </c>
      <c r="K27" s="177">
        <v>1.5</v>
      </c>
      <c r="L27" s="157">
        <v>0.23</v>
      </c>
      <c r="M27" s="165">
        <f t="shared" si="9"/>
        <v>10.09</v>
      </c>
      <c r="N27" s="166">
        <v>0.57999999999999996</v>
      </c>
      <c r="O27" s="167">
        <v>0.2</v>
      </c>
      <c r="P27" s="168">
        <v>0.2</v>
      </c>
      <c r="Q27" s="309">
        <f t="shared" si="0"/>
        <v>45</v>
      </c>
      <c r="R27" s="152">
        <f t="shared" si="1"/>
        <v>77.31</v>
      </c>
      <c r="S27" s="154">
        <f t="shared" si="2"/>
        <v>13.5</v>
      </c>
      <c r="T27" s="169">
        <f t="shared" si="3"/>
        <v>2.0700000000000003</v>
      </c>
      <c r="U27" s="153">
        <f t="shared" si="4"/>
        <v>90.81</v>
      </c>
      <c r="V27" s="166">
        <f t="shared" si="5"/>
        <v>5.22</v>
      </c>
      <c r="W27" s="167">
        <f t="shared" si="6"/>
        <v>1.8</v>
      </c>
      <c r="X27" s="168">
        <f t="shared" si="7"/>
        <v>1.8</v>
      </c>
      <c r="Y27" s="14"/>
    </row>
    <row r="28" spans="1:25" s="7" customFormat="1" ht="12" customHeight="1">
      <c r="A28" s="232"/>
      <c r="B28" s="27"/>
      <c r="C28" s="24" t="s">
        <v>1050</v>
      </c>
      <c r="D28" s="24" t="s">
        <v>245</v>
      </c>
      <c r="E28" s="25">
        <v>9</v>
      </c>
      <c r="F28" s="27" t="s">
        <v>1139</v>
      </c>
      <c r="G28" s="180">
        <v>34</v>
      </c>
      <c r="H28" s="150">
        <f t="shared" si="8"/>
        <v>306</v>
      </c>
      <c r="I28" s="306">
        <v>5</v>
      </c>
      <c r="J28" s="155">
        <v>7.59</v>
      </c>
      <c r="K28" s="156">
        <v>1.5</v>
      </c>
      <c r="L28" s="157">
        <v>0.23</v>
      </c>
      <c r="M28" s="165">
        <f t="shared" si="9"/>
        <v>9.09</v>
      </c>
      <c r="N28" s="166">
        <v>0.57999999999999996</v>
      </c>
      <c r="O28" s="167">
        <v>0.2</v>
      </c>
      <c r="P28" s="168">
        <v>0.2</v>
      </c>
      <c r="Q28" s="309">
        <f t="shared" si="0"/>
        <v>45</v>
      </c>
      <c r="R28" s="152">
        <f t="shared" si="1"/>
        <v>68.31</v>
      </c>
      <c r="S28" s="154">
        <f t="shared" si="2"/>
        <v>13.5</v>
      </c>
      <c r="T28" s="169">
        <f t="shared" si="3"/>
        <v>2.0700000000000003</v>
      </c>
      <c r="U28" s="153">
        <f t="shared" si="4"/>
        <v>81.81</v>
      </c>
      <c r="V28" s="166">
        <f t="shared" si="5"/>
        <v>5.22</v>
      </c>
      <c r="W28" s="167">
        <f t="shared" si="6"/>
        <v>1.8</v>
      </c>
      <c r="X28" s="168">
        <f t="shared" si="7"/>
        <v>1.8</v>
      </c>
      <c r="Y28" s="14"/>
    </row>
    <row r="29" spans="1:25" s="7" customFormat="1" ht="12" customHeight="1">
      <c r="A29" s="232"/>
      <c r="B29" s="27"/>
      <c r="C29" s="24" t="s">
        <v>1050</v>
      </c>
      <c r="D29" s="24" t="s">
        <v>245</v>
      </c>
      <c r="E29" s="25">
        <v>2</v>
      </c>
      <c r="F29" s="27" t="s">
        <v>1140</v>
      </c>
      <c r="G29" s="180">
        <v>60</v>
      </c>
      <c r="H29" s="150">
        <f t="shared" si="8"/>
        <v>120</v>
      </c>
      <c r="I29" s="306">
        <v>1.5</v>
      </c>
      <c r="J29" s="155">
        <v>7.17</v>
      </c>
      <c r="K29" s="156">
        <v>1.5</v>
      </c>
      <c r="L29" s="157">
        <v>0.23</v>
      </c>
      <c r="M29" s="153">
        <f t="shared" si="9"/>
        <v>8.67</v>
      </c>
      <c r="N29" s="166">
        <v>0.21</v>
      </c>
      <c r="O29" s="167">
        <v>0.2</v>
      </c>
      <c r="P29" s="168">
        <v>0.2</v>
      </c>
      <c r="Q29" s="309">
        <f t="shared" si="0"/>
        <v>3</v>
      </c>
      <c r="R29" s="152">
        <f t="shared" si="1"/>
        <v>14.34</v>
      </c>
      <c r="S29" s="154">
        <f t="shared" si="2"/>
        <v>3</v>
      </c>
      <c r="T29" s="169">
        <f t="shared" si="3"/>
        <v>0.46</v>
      </c>
      <c r="U29" s="153">
        <f t="shared" si="4"/>
        <v>17.34</v>
      </c>
      <c r="V29" s="166">
        <f t="shared" si="5"/>
        <v>0.42</v>
      </c>
      <c r="W29" s="167">
        <f t="shared" si="6"/>
        <v>0.4</v>
      </c>
      <c r="X29" s="168">
        <f t="shared" si="7"/>
        <v>0.4</v>
      </c>
      <c r="Y29" s="14"/>
    </row>
    <row r="30" spans="1:25" s="7" customFormat="1" ht="12" customHeight="1">
      <c r="A30" s="232"/>
      <c r="B30" s="27"/>
      <c r="C30" s="24" t="s">
        <v>1050</v>
      </c>
      <c r="D30" s="24" t="s">
        <v>245</v>
      </c>
      <c r="E30" s="25">
        <v>1</v>
      </c>
      <c r="F30" s="27" t="s">
        <v>1141</v>
      </c>
      <c r="G30" s="180">
        <v>60</v>
      </c>
      <c r="H30" s="150">
        <f t="shared" si="8"/>
        <v>60</v>
      </c>
      <c r="I30" s="306">
        <v>1.5</v>
      </c>
      <c r="J30" s="155">
        <v>7.17</v>
      </c>
      <c r="K30" s="156">
        <v>1.5</v>
      </c>
      <c r="L30" s="157">
        <v>0.23</v>
      </c>
      <c r="M30" s="153">
        <f>J30+K30</f>
        <v>8.67</v>
      </c>
      <c r="N30" s="166">
        <v>0.21</v>
      </c>
      <c r="O30" s="167">
        <v>0.2</v>
      </c>
      <c r="P30" s="168">
        <v>0.2</v>
      </c>
      <c r="Q30" s="309">
        <f t="shared" si="0"/>
        <v>1.5</v>
      </c>
      <c r="R30" s="152">
        <f t="shared" si="1"/>
        <v>7.17</v>
      </c>
      <c r="S30" s="154">
        <f t="shared" si="2"/>
        <v>1.5</v>
      </c>
      <c r="T30" s="169">
        <f t="shared" si="3"/>
        <v>0.23</v>
      </c>
      <c r="U30" s="153">
        <f t="shared" si="4"/>
        <v>8.67</v>
      </c>
      <c r="V30" s="166">
        <f t="shared" si="5"/>
        <v>0.21</v>
      </c>
      <c r="W30" s="167">
        <f t="shared" si="6"/>
        <v>0.2</v>
      </c>
      <c r="X30" s="168">
        <f t="shared" si="7"/>
        <v>0.2</v>
      </c>
      <c r="Y30" s="14"/>
    </row>
    <row r="31" spans="1:25" s="7" customFormat="1" ht="12" customHeight="1">
      <c r="A31" s="232"/>
      <c r="B31" s="27"/>
      <c r="C31" s="24" t="s">
        <v>1050</v>
      </c>
      <c r="D31" s="24" t="s">
        <v>245</v>
      </c>
      <c r="E31" s="25">
        <v>9</v>
      </c>
      <c r="F31" s="27" t="s">
        <v>1142</v>
      </c>
      <c r="G31" s="180">
        <v>45</v>
      </c>
      <c r="H31" s="150">
        <f t="shared" si="8"/>
        <v>405</v>
      </c>
      <c r="I31" s="306">
        <v>5</v>
      </c>
      <c r="J31" s="155">
        <v>11.07</v>
      </c>
      <c r="K31" s="156">
        <v>3</v>
      </c>
      <c r="L31" s="157">
        <v>0.45</v>
      </c>
      <c r="M31" s="165">
        <f t="shared" si="9"/>
        <v>14.07</v>
      </c>
      <c r="N31" s="166">
        <v>0.57999999999999996</v>
      </c>
      <c r="O31" s="167">
        <v>0.2</v>
      </c>
      <c r="P31" s="168">
        <v>0.2</v>
      </c>
      <c r="Q31" s="309">
        <f t="shared" si="0"/>
        <v>45</v>
      </c>
      <c r="R31" s="152">
        <f t="shared" si="1"/>
        <v>99.63</v>
      </c>
      <c r="S31" s="154">
        <f t="shared" si="2"/>
        <v>27</v>
      </c>
      <c r="T31" s="169">
        <f t="shared" si="3"/>
        <v>4.05</v>
      </c>
      <c r="U31" s="153">
        <f t="shared" si="4"/>
        <v>126.63</v>
      </c>
      <c r="V31" s="166">
        <f t="shared" si="5"/>
        <v>5.22</v>
      </c>
      <c r="W31" s="167">
        <f t="shared" si="6"/>
        <v>1.8</v>
      </c>
      <c r="X31" s="168">
        <f t="shared" si="7"/>
        <v>1.8</v>
      </c>
      <c r="Y31" s="14"/>
    </row>
    <row r="32" spans="1:25" s="7" customFormat="1" ht="12" customHeight="1">
      <c r="A32" s="232"/>
      <c r="B32" s="27"/>
      <c r="C32" s="24" t="s">
        <v>1050</v>
      </c>
      <c r="D32" s="24" t="s">
        <v>245</v>
      </c>
      <c r="E32" s="25">
        <v>1</v>
      </c>
      <c r="F32" s="27" t="s">
        <v>1143</v>
      </c>
      <c r="G32" s="180">
        <v>45</v>
      </c>
      <c r="H32" s="150">
        <f t="shared" si="8"/>
        <v>45</v>
      </c>
      <c r="I32" s="306">
        <v>5</v>
      </c>
      <c r="J32" s="155">
        <v>10.57</v>
      </c>
      <c r="K32" s="156">
        <v>3</v>
      </c>
      <c r="L32" s="157">
        <v>0.45</v>
      </c>
      <c r="M32" s="165">
        <f t="shared" si="9"/>
        <v>13.57</v>
      </c>
      <c r="N32" s="166">
        <v>0.57999999999999996</v>
      </c>
      <c r="O32" s="167">
        <v>0.2</v>
      </c>
      <c r="P32" s="168">
        <v>0.2</v>
      </c>
      <c r="Q32" s="309">
        <f t="shared" si="0"/>
        <v>5</v>
      </c>
      <c r="R32" s="152">
        <f t="shared" si="1"/>
        <v>10.57</v>
      </c>
      <c r="S32" s="154">
        <f t="shared" si="2"/>
        <v>3</v>
      </c>
      <c r="T32" s="169">
        <f t="shared" si="3"/>
        <v>0.45</v>
      </c>
      <c r="U32" s="153">
        <f t="shared" si="4"/>
        <v>13.57</v>
      </c>
      <c r="V32" s="166">
        <f t="shared" si="5"/>
        <v>0.57999999999999996</v>
      </c>
      <c r="W32" s="167">
        <f t="shared" si="6"/>
        <v>0.2</v>
      </c>
      <c r="X32" s="168">
        <f t="shared" si="7"/>
        <v>0.2</v>
      </c>
      <c r="Y32" s="14"/>
    </row>
    <row r="33" spans="1:25" s="7" customFormat="1" ht="12" customHeight="1">
      <c r="A33" s="232"/>
      <c r="B33" s="27"/>
      <c r="C33" s="24" t="s">
        <v>1050</v>
      </c>
      <c r="D33" s="24" t="s">
        <v>245</v>
      </c>
      <c r="E33" s="25">
        <v>5</v>
      </c>
      <c r="F33" s="24" t="s">
        <v>1144</v>
      </c>
      <c r="G33" s="180">
        <v>45</v>
      </c>
      <c r="H33" s="150">
        <f t="shared" si="8"/>
        <v>225</v>
      </c>
      <c r="I33" s="306">
        <v>5</v>
      </c>
      <c r="J33" s="155">
        <v>7.94</v>
      </c>
      <c r="K33" s="156">
        <v>3</v>
      </c>
      <c r="L33" s="157">
        <v>0.45</v>
      </c>
      <c r="M33" s="165">
        <f t="shared" si="9"/>
        <v>10.940000000000001</v>
      </c>
      <c r="N33" s="166">
        <v>0.57999999999999996</v>
      </c>
      <c r="O33" s="167">
        <v>0.2</v>
      </c>
      <c r="P33" s="168">
        <v>0.2</v>
      </c>
      <c r="Q33" s="309">
        <f t="shared" si="0"/>
        <v>25</v>
      </c>
      <c r="R33" s="152">
        <f t="shared" si="1"/>
        <v>39.700000000000003</v>
      </c>
      <c r="S33" s="154">
        <f t="shared" si="2"/>
        <v>15</v>
      </c>
      <c r="T33" s="169">
        <f t="shared" si="3"/>
        <v>2.25</v>
      </c>
      <c r="U33" s="153">
        <f t="shared" si="4"/>
        <v>54.7</v>
      </c>
      <c r="V33" s="166">
        <f t="shared" si="5"/>
        <v>2.9</v>
      </c>
      <c r="W33" s="167">
        <f t="shared" si="6"/>
        <v>1</v>
      </c>
      <c r="X33" s="168">
        <f t="shared" si="7"/>
        <v>1</v>
      </c>
      <c r="Y33" s="14"/>
    </row>
    <row r="34" spans="1:25" s="7" customFormat="1" ht="12" customHeight="1">
      <c r="A34" s="232">
        <v>40273</v>
      </c>
      <c r="B34" s="27">
        <v>420</v>
      </c>
      <c r="C34" s="24" t="s">
        <v>1050</v>
      </c>
      <c r="D34" s="24" t="s">
        <v>245</v>
      </c>
      <c r="E34" s="25">
        <v>25</v>
      </c>
      <c r="F34" s="27" t="s">
        <v>1145</v>
      </c>
      <c r="G34" s="180">
        <v>49</v>
      </c>
      <c r="H34" s="150">
        <f t="shared" si="8"/>
        <v>1225</v>
      </c>
      <c r="I34" s="306">
        <v>6.5</v>
      </c>
      <c r="J34" s="155">
        <v>13.97</v>
      </c>
      <c r="K34" s="156">
        <v>0</v>
      </c>
      <c r="L34" s="157">
        <v>0</v>
      </c>
      <c r="M34" s="165">
        <f t="shared" si="9"/>
        <v>13.97</v>
      </c>
      <c r="N34" s="166">
        <v>0.57999999999999996</v>
      </c>
      <c r="O34" s="167">
        <v>0.35</v>
      </c>
      <c r="P34" s="168">
        <v>0.2</v>
      </c>
      <c r="Q34" s="309">
        <f t="shared" si="0"/>
        <v>162.5</v>
      </c>
      <c r="R34" s="152">
        <f t="shared" si="1"/>
        <v>349.25</v>
      </c>
      <c r="S34" s="154">
        <f t="shared" si="2"/>
        <v>0</v>
      </c>
      <c r="T34" s="169">
        <f t="shared" si="3"/>
        <v>0</v>
      </c>
      <c r="U34" s="153">
        <f t="shared" si="4"/>
        <v>349.25</v>
      </c>
      <c r="V34" s="166">
        <f t="shared" si="5"/>
        <v>14.499999999999998</v>
      </c>
      <c r="W34" s="167">
        <f t="shared" si="6"/>
        <v>8.75</v>
      </c>
      <c r="X34" s="168">
        <f t="shared" si="7"/>
        <v>5</v>
      </c>
      <c r="Y34" s="14"/>
    </row>
    <row r="35" spans="1:25" s="7" customFormat="1" ht="12" customHeight="1">
      <c r="A35" s="232"/>
      <c r="B35" s="27"/>
      <c r="C35" s="24" t="s">
        <v>1050</v>
      </c>
      <c r="D35" s="24" t="s">
        <v>245</v>
      </c>
      <c r="E35" s="25">
        <v>25</v>
      </c>
      <c r="F35" s="27" t="s">
        <v>1146</v>
      </c>
      <c r="G35" s="180">
        <v>13</v>
      </c>
      <c r="H35" s="150">
        <f t="shared" si="8"/>
        <v>325</v>
      </c>
      <c r="I35" s="306">
        <v>1</v>
      </c>
      <c r="J35" s="155">
        <v>2.5499999999999998</v>
      </c>
      <c r="K35" s="156">
        <v>0</v>
      </c>
      <c r="L35" s="157">
        <v>0</v>
      </c>
      <c r="M35" s="165">
        <f t="shared" si="9"/>
        <v>2.5499999999999998</v>
      </c>
      <c r="N35" s="166">
        <v>0.28999999999999998</v>
      </c>
      <c r="O35" s="167">
        <v>0.1</v>
      </c>
      <c r="P35" s="168">
        <v>0.1</v>
      </c>
      <c r="Q35" s="309">
        <f t="shared" si="0"/>
        <v>25</v>
      </c>
      <c r="R35" s="152">
        <f t="shared" si="1"/>
        <v>63.749999999999993</v>
      </c>
      <c r="S35" s="154">
        <f t="shared" si="2"/>
        <v>0</v>
      </c>
      <c r="T35" s="169">
        <f t="shared" si="3"/>
        <v>0</v>
      </c>
      <c r="U35" s="153">
        <f t="shared" si="4"/>
        <v>63.749999999999993</v>
      </c>
      <c r="V35" s="166">
        <f t="shared" si="5"/>
        <v>7.2499999999999991</v>
      </c>
      <c r="W35" s="167">
        <f t="shared" si="6"/>
        <v>2.5</v>
      </c>
      <c r="X35" s="168">
        <f t="shared" si="7"/>
        <v>2.5</v>
      </c>
      <c r="Y35" s="14"/>
    </row>
    <row r="36" spans="1:25" s="7" customFormat="1" ht="12" customHeight="1">
      <c r="A36" s="232"/>
      <c r="B36" s="27"/>
      <c r="C36" s="24" t="s">
        <v>1050</v>
      </c>
      <c r="D36" s="24" t="s">
        <v>245</v>
      </c>
      <c r="E36" s="25">
        <v>88</v>
      </c>
      <c r="F36" s="27" t="s">
        <v>1147</v>
      </c>
      <c r="G36" s="180">
        <v>49</v>
      </c>
      <c r="H36" s="150">
        <f t="shared" si="8"/>
        <v>4312</v>
      </c>
      <c r="I36" s="306">
        <v>6.5</v>
      </c>
      <c r="J36" s="155">
        <v>13.97</v>
      </c>
      <c r="K36" s="156">
        <v>0</v>
      </c>
      <c r="L36" s="157">
        <v>0</v>
      </c>
      <c r="M36" s="165">
        <f>J36+K36</f>
        <v>13.97</v>
      </c>
      <c r="N36" s="166">
        <v>0.57999999999999996</v>
      </c>
      <c r="O36" s="167">
        <v>0.35</v>
      </c>
      <c r="P36" s="168">
        <v>0.2</v>
      </c>
      <c r="Q36" s="309">
        <f t="shared" si="0"/>
        <v>572</v>
      </c>
      <c r="R36" s="152">
        <f t="shared" si="1"/>
        <v>1229.3600000000001</v>
      </c>
      <c r="S36" s="154">
        <f t="shared" si="2"/>
        <v>0</v>
      </c>
      <c r="T36" s="169">
        <f t="shared" si="3"/>
        <v>0</v>
      </c>
      <c r="U36" s="153">
        <f t="shared" si="4"/>
        <v>1229.3600000000001</v>
      </c>
      <c r="V36" s="166">
        <f t="shared" si="5"/>
        <v>51.04</v>
      </c>
      <c r="W36" s="167">
        <f t="shared" si="6"/>
        <v>30.799999999999997</v>
      </c>
      <c r="X36" s="168">
        <f t="shared" si="7"/>
        <v>17.600000000000001</v>
      </c>
      <c r="Y36" s="14"/>
    </row>
    <row r="37" spans="1:25" s="7" customFormat="1" ht="12" customHeight="1">
      <c r="A37" s="232"/>
      <c r="B37" s="27"/>
      <c r="C37" s="24" t="s">
        <v>1050</v>
      </c>
      <c r="D37" s="24" t="s">
        <v>245</v>
      </c>
      <c r="E37" s="25">
        <v>64</v>
      </c>
      <c r="F37" s="27" t="s">
        <v>1148</v>
      </c>
      <c r="G37" s="180">
        <v>45</v>
      </c>
      <c r="H37" s="150">
        <f t="shared" si="8"/>
        <v>2880</v>
      </c>
      <c r="I37" s="306">
        <v>5</v>
      </c>
      <c r="J37" s="155">
        <v>6.89</v>
      </c>
      <c r="K37" s="156">
        <v>0</v>
      </c>
      <c r="L37" s="157">
        <v>0</v>
      </c>
      <c r="M37" s="153">
        <f t="shared" si="9"/>
        <v>6.89</v>
      </c>
      <c r="N37" s="166">
        <v>0.57999999999999996</v>
      </c>
      <c r="O37" s="167">
        <v>0.2</v>
      </c>
      <c r="P37" s="168">
        <v>0.2</v>
      </c>
      <c r="Q37" s="309">
        <f t="shared" si="0"/>
        <v>320</v>
      </c>
      <c r="R37" s="152">
        <f t="shared" si="1"/>
        <v>440.96</v>
      </c>
      <c r="S37" s="154">
        <f t="shared" si="2"/>
        <v>0</v>
      </c>
      <c r="T37" s="169">
        <f t="shared" si="3"/>
        <v>0</v>
      </c>
      <c r="U37" s="153">
        <f t="shared" si="4"/>
        <v>440.96</v>
      </c>
      <c r="V37" s="166">
        <f t="shared" si="5"/>
        <v>37.119999999999997</v>
      </c>
      <c r="W37" s="167">
        <f t="shared" si="6"/>
        <v>12.8</v>
      </c>
      <c r="X37" s="168">
        <f t="shared" si="7"/>
        <v>12.8</v>
      </c>
      <c r="Y37" s="14"/>
    </row>
    <row r="38" spans="1:25" s="7" customFormat="1" ht="12" customHeight="1">
      <c r="A38" s="232"/>
      <c r="B38" s="27"/>
      <c r="C38" s="24" t="s">
        <v>1050</v>
      </c>
      <c r="D38" s="24" t="s">
        <v>245</v>
      </c>
      <c r="E38" s="25">
        <v>152</v>
      </c>
      <c r="F38" s="27" t="s">
        <v>1149</v>
      </c>
      <c r="G38" s="180">
        <v>13</v>
      </c>
      <c r="H38" s="150">
        <f t="shared" si="8"/>
        <v>1976</v>
      </c>
      <c r="I38" s="306">
        <v>1</v>
      </c>
      <c r="J38" s="155">
        <v>2.5499999999999998</v>
      </c>
      <c r="K38" s="156">
        <v>0</v>
      </c>
      <c r="L38" s="157">
        <v>0</v>
      </c>
      <c r="M38" s="153">
        <f t="shared" si="9"/>
        <v>2.5499999999999998</v>
      </c>
      <c r="N38" s="166">
        <v>0.28999999999999998</v>
      </c>
      <c r="O38" s="167">
        <v>0.1</v>
      </c>
      <c r="P38" s="168">
        <v>0.1</v>
      </c>
      <c r="Q38" s="309">
        <f t="shared" si="0"/>
        <v>152</v>
      </c>
      <c r="R38" s="152">
        <f t="shared" si="1"/>
        <v>387.59999999999997</v>
      </c>
      <c r="S38" s="154">
        <f t="shared" si="2"/>
        <v>0</v>
      </c>
      <c r="T38" s="169">
        <f t="shared" si="3"/>
        <v>0</v>
      </c>
      <c r="U38" s="153">
        <f t="shared" si="4"/>
        <v>387.59999999999997</v>
      </c>
      <c r="V38" s="166">
        <f t="shared" si="5"/>
        <v>44.08</v>
      </c>
      <c r="W38" s="167">
        <f t="shared" si="6"/>
        <v>15.200000000000001</v>
      </c>
      <c r="X38" s="168">
        <f t="shared" si="7"/>
        <v>15.200000000000001</v>
      </c>
      <c r="Y38" s="14"/>
    </row>
    <row r="39" spans="1:25" s="7" customFormat="1" ht="12" customHeight="1">
      <c r="A39" s="232"/>
      <c r="B39" s="27"/>
      <c r="C39" s="24" t="s">
        <v>1050</v>
      </c>
      <c r="D39" s="24" t="s">
        <v>245</v>
      </c>
      <c r="E39" s="25">
        <v>4</v>
      </c>
      <c r="F39" s="27" t="s">
        <v>1150</v>
      </c>
      <c r="G39" s="180">
        <v>45</v>
      </c>
      <c r="H39" s="150">
        <f t="shared" si="8"/>
        <v>180</v>
      </c>
      <c r="I39" s="306">
        <v>5</v>
      </c>
      <c r="J39" s="155">
        <v>7.94</v>
      </c>
      <c r="K39" s="156">
        <v>3</v>
      </c>
      <c r="L39" s="157">
        <v>0.45</v>
      </c>
      <c r="M39" s="165">
        <f>J39+K39</f>
        <v>10.940000000000001</v>
      </c>
      <c r="N39" s="166">
        <v>0.57999999999999996</v>
      </c>
      <c r="O39" s="167">
        <v>0.2</v>
      </c>
      <c r="P39" s="168">
        <v>0.2</v>
      </c>
      <c r="Q39" s="309">
        <f t="shared" si="0"/>
        <v>20</v>
      </c>
      <c r="R39" s="152">
        <f t="shared" si="1"/>
        <v>31.76</v>
      </c>
      <c r="S39" s="154">
        <f t="shared" si="2"/>
        <v>12</v>
      </c>
      <c r="T39" s="169">
        <f t="shared" si="3"/>
        <v>1.8</v>
      </c>
      <c r="U39" s="153">
        <f t="shared" si="4"/>
        <v>43.760000000000005</v>
      </c>
      <c r="V39" s="166">
        <f t="shared" si="5"/>
        <v>2.3199999999999998</v>
      </c>
      <c r="W39" s="167">
        <f t="shared" si="6"/>
        <v>0.8</v>
      </c>
      <c r="X39" s="168">
        <f t="shared" si="7"/>
        <v>0.8</v>
      </c>
      <c r="Y39" s="14"/>
    </row>
    <row r="40" spans="1:25" s="7" customFormat="1" ht="12" customHeight="1">
      <c r="A40" s="232">
        <v>40275</v>
      </c>
      <c r="B40" s="27">
        <v>421</v>
      </c>
      <c r="C40" s="24" t="s">
        <v>1075</v>
      </c>
      <c r="D40" s="24" t="s">
        <v>210</v>
      </c>
      <c r="E40" s="25">
        <v>4</v>
      </c>
      <c r="F40" s="27" t="s">
        <v>1151</v>
      </c>
      <c r="G40" s="180">
        <v>35</v>
      </c>
      <c r="H40" s="150">
        <f t="shared" si="8"/>
        <v>140</v>
      </c>
      <c r="I40" s="306">
        <v>5</v>
      </c>
      <c r="J40" s="155">
        <v>10.8</v>
      </c>
      <c r="K40" s="156">
        <v>2</v>
      </c>
      <c r="L40" s="157">
        <v>0.3</v>
      </c>
      <c r="M40" s="153">
        <f t="shared" si="9"/>
        <v>12.8</v>
      </c>
      <c r="N40" s="166">
        <v>0.57999999999999996</v>
      </c>
      <c r="O40" s="167">
        <v>0.1</v>
      </c>
      <c r="P40" s="168">
        <v>0.1</v>
      </c>
      <c r="Q40" s="309">
        <f t="shared" si="0"/>
        <v>20</v>
      </c>
      <c r="R40" s="152">
        <f t="shared" si="1"/>
        <v>43.2</v>
      </c>
      <c r="S40" s="154">
        <f t="shared" si="2"/>
        <v>8</v>
      </c>
      <c r="T40" s="169">
        <f t="shared" si="3"/>
        <v>1.2</v>
      </c>
      <c r="U40" s="153">
        <f t="shared" si="4"/>
        <v>51.2</v>
      </c>
      <c r="V40" s="166">
        <f t="shared" si="5"/>
        <v>2.3199999999999998</v>
      </c>
      <c r="W40" s="167">
        <f t="shared" si="6"/>
        <v>0.4</v>
      </c>
      <c r="X40" s="168">
        <f t="shared" si="7"/>
        <v>0.4</v>
      </c>
      <c r="Y40" s="14"/>
    </row>
    <row r="41" spans="1:25" s="7" customFormat="1" ht="12" customHeight="1">
      <c r="A41" s="232">
        <v>40275</v>
      </c>
      <c r="B41" s="27">
        <v>422</v>
      </c>
      <c r="C41" s="24" t="s">
        <v>514</v>
      </c>
      <c r="D41" s="24" t="s">
        <v>42</v>
      </c>
      <c r="E41" s="25">
        <v>40</v>
      </c>
      <c r="F41" s="27" t="s">
        <v>1152</v>
      </c>
      <c r="G41" s="180">
        <v>38</v>
      </c>
      <c r="H41" s="150">
        <f t="shared" si="8"/>
        <v>1520</v>
      </c>
      <c r="I41" s="306">
        <v>3.5</v>
      </c>
      <c r="J41" s="155">
        <v>6.16</v>
      </c>
      <c r="K41" s="156">
        <v>0</v>
      </c>
      <c r="L41" s="157">
        <v>0</v>
      </c>
      <c r="M41" s="153">
        <f t="shared" si="9"/>
        <v>6.16</v>
      </c>
      <c r="N41" s="166">
        <v>0.33</v>
      </c>
      <c r="O41" s="167">
        <v>0.1</v>
      </c>
      <c r="P41" s="168">
        <v>0.1</v>
      </c>
      <c r="Q41" s="309">
        <f t="shared" si="0"/>
        <v>140</v>
      </c>
      <c r="R41" s="152">
        <f t="shared" si="1"/>
        <v>246.4</v>
      </c>
      <c r="S41" s="154">
        <f t="shared" si="2"/>
        <v>0</v>
      </c>
      <c r="T41" s="169">
        <f t="shared" si="3"/>
        <v>0</v>
      </c>
      <c r="U41" s="153">
        <f t="shared" si="4"/>
        <v>246.4</v>
      </c>
      <c r="V41" s="166">
        <f t="shared" si="5"/>
        <v>13.200000000000001</v>
      </c>
      <c r="W41" s="167">
        <f t="shared" si="6"/>
        <v>4</v>
      </c>
      <c r="X41" s="168">
        <f t="shared" si="7"/>
        <v>4</v>
      </c>
      <c r="Y41" s="14"/>
    </row>
    <row r="42" spans="1:25" s="7" customFormat="1" ht="12" customHeight="1">
      <c r="A42" s="232"/>
      <c r="B42" s="27"/>
      <c r="C42" s="24" t="s">
        <v>514</v>
      </c>
      <c r="D42" s="24" t="s">
        <v>42</v>
      </c>
      <c r="E42" s="25">
        <v>30</v>
      </c>
      <c r="F42" s="27" t="s">
        <v>1153</v>
      </c>
      <c r="G42" s="180">
        <v>34</v>
      </c>
      <c r="H42" s="150">
        <f t="shared" si="8"/>
        <v>1020</v>
      </c>
      <c r="I42" s="306">
        <v>3.5</v>
      </c>
      <c r="J42" s="155">
        <v>9.4</v>
      </c>
      <c r="K42" s="156">
        <v>0</v>
      </c>
      <c r="L42" s="157">
        <v>0</v>
      </c>
      <c r="M42" s="153">
        <f t="shared" si="9"/>
        <v>9.4</v>
      </c>
      <c r="N42" s="166">
        <v>0.33</v>
      </c>
      <c r="O42" s="167">
        <v>0.1</v>
      </c>
      <c r="P42" s="168">
        <v>0.1</v>
      </c>
      <c r="Q42" s="309">
        <f t="shared" si="0"/>
        <v>105</v>
      </c>
      <c r="R42" s="152">
        <f t="shared" si="1"/>
        <v>282</v>
      </c>
      <c r="S42" s="154">
        <f t="shared" si="2"/>
        <v>0</v>
      </c>
      <c r="T42" s="169">
        <f t="shared" si="3"/>
        <v>0</v>
      </c>
      <c r="U42" s="153">
        <f t="shared" si="4"/>
        <v>282</v>
      </c>
      <c r="V42" s="166">
        <f t="shared" si="5"/>
        <v>9.9</v>
      </c>
      <c r="W42" s="167">
        <f t="shared" si="6"/>
        <v>3</v>
      </c>
      <c r="X42" s="168">
        <f t="shared" si="7"/>
        <v>3</v>
      </c>
      <c r="Y42" s="14"/>
    </row>
    <row r="43" spans="1:25" s="7" customFormat="1" ht="12" customHeight="1">
      <c r="A43" s="232"/>
      <c r="B43" s="27"/>
      <c r="C43" s="24" t="s">
        <v>514</v>
      </c>
      <c r="D43" s="24" t="s">
        <v>42</v>
      </c>
      <c r="E43" s="25">
        <v>40</v>
      </c>
      <c r="F43" s="27" t="s">
        <v>1154</v>
      </c>
      <c r="G43" s="180">
        <v>40</v>
      </c>
      <c r="H43" s="150">
        <f t="shared" si="8"/>
        <v>1600</v>
      </c>
      <c r="I43" s="306">
        <v>3.5</v>
      </c>
      <c r="J43" s="155">
        <v>6.16</v>
      </c>
      <c r="K43" s="156">
        <v>0</v>
      </c>
      <c r="L43" s="157">
        <v>0</v>
      </c>
      <c r="M43" s="153">
        <f t="shared" si="9"/>
        <v>6.16</v>
      </c>
      <c r="N43" s="166">
        <v>0.33</v>
      </c>
      <c r="O43" s="167">
        <v>0.1</v>
      </c>
      <c r="P43" s="168">
        <v>0.1</v>
      </c>
      <c r="Q43" s="309">
        <f t="shared" si="0"/>
        <v>140</v>
      </c>
      <c r="R43" s="152">
        <f t="shared" si="1"/>
        <v>246.4</v>
      </c>
      <c r="S43" s="154">
        <f t="shared" si="2"/>
        <v>0</v>
      </c>
      <c r="T43" s="169">
        <f t="shared" si="3"/>
        <v>0</v>
      </c>
      <c r="U43" s="153">
        <f t="shared" si="4"/>
        <v>246.4</v>
      </c>
      <c r="V43" s="166">
        <f t="shared" si="5"/>
        <v>13.200000000000001</v>
      </c>
      <c r="W43" s="167">
        <f t="shared" si="6"/>
        <v>4</v>
      </c>
      <c r="X43" s="168">
        <f t="shared" si="7"/>
        <v>4</v>
      </c>
      <c r="Y43" s="14"/>
    </row>
    <row r="44" spans="1:25" s="7" customFormat="1" ht="12" customHeight="1">
      <c r="A44" s="232"/>
      <c r="B44" s="27"/>
      <c r="C44" s="24" t="s">
        <v>514</v>
      </c>
      <c r="D44" s="24" t="s">
        <v>42</v>
      </c>
      <c r="E44" s="25">
        <v>30</v>
      </c>
      <c r="F44" s="27" t="s">
        <v>1155</v>
      </c>
      <c r="G44" s="180">
        <v>36</v>
      </c>
      <c r="H44" s="150">
        <f t="shared" si="8"/>
        <v>1080</v>
      </c>
      <c r="I44" s="306">
        <v>3.5</v>
      </c>
      <c r="J44" s="155">
        <v>9.4</v>
      </c>
      <c r="K44" s="156">
        <v>0</v>
      </c>
      <c r="L44" s="157">
        <v>0</v>
      </c>
      <c r="M44" s="153">
        <f t="shared" si="9"/>
        <v>9.4</v>
      </c>
      <c r="N44" s="166">
        <v>0.33</v>
      </c>
      <c r="O44" s="167">
        <v>0.1</v>
      </c>
      <c r="P44" s="168">
        <v>0.1</v>
      </c>
      <c r="Q44" s="309">
        <f t="shared" si="0"/>
        <v>105</v>
      </c>
      <c r="R44" s="152">
        <f t="shared" si="1"/>
        <v>282</v>
      </c>
      <c r="S44" s="154">
        <f t="shared" si="2"/>
        <v>0</v>
      </c>
      <c r="T44" s="169">
        <f t="shared" si="3"/>
        <v>0</v>
      </c>
      <c r="U44" s="153">
        <f t="shared" si="4"/>
        <v>282</v>
      </c>
      <c r="V44" s="166">
        <f t="shared" si="5"/>
        <v>9.9</v>
      </c>
      <c r="W44" s="167">
        <f t="shared" si="6"/>
        <v>3</v>
      </c>
      <c r="X44" s="168">
        <f t="shared" si="7"/>
        <v>3</v>
      </c>
      <c r="Y44" s="14"/>
    </row>
    <row r="45" spans="1:25" s="7" customFormat="1" ht="12" customHeight="1">
      <c r="A45" s="232">
        <v>40275</v>
      </c>
      <c r="B45" s="27">
        <v>423</v>
      </c>
      <c r="C45" s="24" t="s">
        <v>1156</v>
      </c>
      <c r="D45" s="24" t="s">
        <v>1156</v>
      </c>
      <c r="E45" s="25">
        <v>19</v>
      </c>
      <c r="F45" s="27" t="s">
        <v>1157</v>
      </c>
      <c r="G45" s="180">
        <v>45</v>
      </c>
      <c r="H45" s="150">
        <f t="shared" si="8"/>
        <v>855</v>
      </c>
      <c r="I45" s="306">
        <v>3.5</v>
      </c>
      <c r="J45" s="155">
        <v>14.88</v>
      </c>
      <c r="K45" s="156">
        <v>2</v>
      </c>
      <c r="L45" s="157">
        <v>0.3</v>
      </c>
      <c r="M45" s="153">
        <f t="shared" si="9"/>
        <v>16.880000000000003</v>
      </c>
      <c r="N45" s="166">
        <v>0.42</v>
      </c>
      <c r="O45" s="167">
        <v>0.1</v>
      </c>
      <c r="P45" s="168">
        <v>0.1</v>
      </c>
      <c r="Q45" s="309">
        <f t="shared" si="0"/>
        <v>66.5</v>
      </c>
      <c r="R45" s="152">
        <f t="shared" si="1"/>
        <v>282.72000000000003</v>
      </c>
      <c r="S45" s="154">
        <f t="shared" si="2"/>
        <v>38</v>
      </c>
      <c r="T45" s="169">
        <f t="shared" si="3"/>
        <v>5.7</v>
      </c>
      <c r="U45" s="153">
        <f t="shared" si="4"/>
        <v>320.72000000000003</v>
      </c>
      <c r="V45" s="166">
        <f t="shared" si="5"/>
        <v>7.9799999999999995</v>
      </c>
      <c r="W45" s="167">
        <f t="shared" si="6"/>
        <v>1.9000000000000001</v>
      </c>
      <c r="X45" s="168">
        <f t="shared" si="7"/>
        <v>1.9000000000000001</v>
      </c>
      <c r="Y45" s="14"/>
    </row>
    <row r="46" spans="1:25" s="7" customFormat="1" ht="12" customHeight="1">
      <c r="A46" s="232"/>
      <c r="B46" s="27"/>
      <c r="C46" s="24" t="s">
        <v>1156</v>
      </c>
      <c r="D46" s="24" t="s">
        <v>1156</v>
      </c>
      <c r="E46" s="25">
        <v>8</v>
      </c>
      <c r="F46" s="27" t="s">
        <v>1158</v>
      </c>
      <c r="G46" s="180">
        <v>45</v>
      </c>
      <c r="H46" s="150">
        <f t="shared" si="8"/>
        <v>360</v>
      </c>
      <c r="I46" s="306">
        <v>3.5</v>
      </c>
      <c r="J46" s="155">
        <v>15.48</v>
      </c>
      <c r="K46" s="156">
        <v>2</v>
      </c>
      <c r="L46" s="157">
        <v>0.3</v>
      </c>
      <c r="M46" s="153">
        <f t="shared" si="9"/>
        <v>17.48</v>
      </c>
      <c r="N46" s="166">
        <v>0.42</v>
      </c>
      <c r="O46" s="167">
        <v>0.1</v>
      </c>
      <c r="P46" s="168">
        <v>0.1</v>
      </c>
      <c r="Q46" s="309">
        <f t="shared" si="0"/>
        <v>28</v>
      </c>
      <c r="R46" s="152">
        <f t="shared" si="1"/>
        <v>123.84</v>
      </c>
      <c r="S46" s="154">
        <f t="shared" si="2"/>
        <v>16</v>
      </c>
      <c r="T46" s="169">
        <f t="shared" si="3"/>
        <v>2.4</v>
      </c>
      <c r="U46" s="153">
        <f t="shared" si="4"/>
        <v>139.84</v>
      </c>
      <c r="V46" s="166">
        <f>N46*E46</f>
        <v>3.36</v>
      </c>
      <c r="W46" s="167">
        <f>O46*E46</f>
        <v>0.8</v>
      </c>
      <c r="X46" s="168">
        <f>P46*E46</f>
        <v>0.8</v>
      </c>
      <c r="Y46" s="14"/>
    </row>
    <row r="47" spans="1:25" s="7" customFormat="1" ht="12" customHeight="1">
      <c r="A47" s="232">
        <v>40276</v>
      </c>
      <c r="B47" s="27">
        <v>424</v>
      </c>
      <c r="C47" s="24" t="s">
        <v>514</v>
      </c>
      <c r="D47" s="24" t="s">
        <v>42</v>
      </c>
      <c r="E47" s="25">
        <v>30</v>
      </c>
      <c r="F47" s="27" t="s">
        <v>1159</v>
      </c>
      <c r="G47" s="180">
        <v>45.5</v>
      </c>
      <c r="H47" s="150">
        <f t="shared" si="8"/>
        <v>1365</v>
      </c>
      <c r="I47" s="306">
        <v>3.5</v>
      </c>
      <c r="J47" s="155">
        <v>3.75</v>
      </c>
      <c r="K47" s="156">
        <v>0</v>
      </c>
      <c r="L47" s="157">
        <v>0</v>
      </c>
      <c r="M47" s="153">
        <f t="shared" si="9"/>
        <v>3.75</v>
      </c>
      <c r="N47" s="166">
        <v>0.33</v>
      </c>
      <c r="O47" s="167">
        <v>0.1</v>
      </c>
      <c r="P47" s="168">
        <v>0.1</v>
      </c>
      <c r="Q47" s="309">
        <f t="shared" si="0"/>
        <v>105</v>
      </c>
      <c r="R47" s="152">
        <f t="shared" si="1"/>
        <v>112.5</v>
      </c>
      <c r="S47" s="154">
        <f t="shared" si="2"/>
        <v>0</v>
      </c>
      <c r="T47" s="169">
        <f t="shared" si="3"/>
        <v>0</v>
      </c>
      <c r="U47" s="153">
        <f t="shared" si="4"/>
        <v>112.5</v>
      </c>
      <c r="V47" s="166">
        <f t="shared" si="5"/>
        <v>9.9</v>
      </c>
      <c r="W47" s="167">
        <f t="shared" si="6"/>
        <v>3</v>
      </c>
      <c r="X47" s="168">
        <f t="shared" si="7"/>
        <v>3</v>
      </c>
      <c r="Y47" s="14"/>
    </row>
    <row r="48" spans="1:25" s="7" customFormat="1" ht="12" customHeight="1">
      <c r="A48" s="232"/>
      <c r="B48" s="27"/>
      <c r="C48" s="24" t="s">
        <v>514</v>
      </c>
      <c r="D48" s="24" t="s">
        <v>42</v>
      </c>
      <c r="E48" s="25">
        <v>30</v>
      </c>
      <c r="F48" s="27" t="s">
        <v>1160</v>
      </c>
      <c r="G48" s="180">
        <v>52.5</v>
      </c>
      <c r="H48" s="150">
        <f t="shared" si="8"/>
        <v>1575</v>
      </c>
      <c r="I48" s="306">
        <v>3.5</v>
      </c>
      <c r="J48" s="155">
        <v>3.75</v>
      </c>
      <c r="K48" s="156">
        <v>0</v>
      </c>
      <c r="L48" s="157">
        <v>0</v>
      </c>
      <c r="M48" s="153">
        <f t="shared" si="9"/>
        <v>3.75</v>
      </c>
      <c r="N48" s="166">
        <v>0.33</v>
      </c>
      <c r="O48" s="167">
        <v>0.1</v>
      </c>
      <c r="P48" s="168">
        <v>0.1</v>
      </c>
      <c r="Q48" s="309">
        <f t="shared" si="0"/>
        <v>105</v>
      </c>
      <c r="R48" s="152">
        <f t="shared" si="1"/>
        <v>112.5</v>
      </c>
      <c r="S48" s="154">
        <f t="shared" si="2"/>
        <v>0</v>
      </c>
      <c r="T48" s="169">
        <f t="shared" si="3"/>
        <v>0</v>
      </c>
      <c r="U48" s="153">
        <f t="shared" si="4"/>
        <v>112.5</v>
      </c>
      <c r="V48" s="166">
        <f>N48*E48</f>
        <v>9.9</v>
      </c>
      <c r="W48" s="167">
        <f>O48*E48</f>
        <v>3</v>
      </c>
      <c r="X48" s="168">
        <f>P48*E48</f>
        <v>3</v>
      </c>
      <c r="Y48" s="14"/>
    </row>
    <row r="49" spans="1:25" s="7" customFormat="1" ht="12" customHeight="1">
      <c r="A49" s="232">
        <v>40276</v>
      </c>
      <c r="B49" s="27">
        <v>425</v>
      </c>
      <c r="C49" s="24" t="s">
        <v>469</v>
      </c>
      <c r="D49" s="24" t="s">
        <v>59</v>
      </c>
      <c r="E49" s="25">
        <v>220</v>
      </c>
      <c r="F49" s="27" t="s">
        <v>1161</v>
      </c>
      <c r="G49" s="180">
        <v>49</v>
      </c>
      <c r="H49" s="150">
        <f t="shared" si="8"/>
        <v>10780</v>
      </c>
      <c r="I49" s="306">
        <v>5</v>
      </c>
      <c r="J49" s="155">
        <v>19.07</v>
      </c>
      <c r="K49" s="156">
        <v>3</v>
      </c>
      <c r="L49" s="157">
        <v>0.45</v>
      </c>
      <c r="M49" s="153">
        <f t="shared" si="9"/>
        <v>22.07</v>
      </c>
      <c r="N49" s="166">
        <v>0.57999999999999996</v>
      </c>
      <c r="O49" s="167">
        <v>1</v>
      </c>
      <c r="P49" s="168">
        <v>0.5</v>
      </c>
      <c r="Q49" s="309">
        <f t="shared" si="0"/>
        <v>1100</v>
      </c>
      <c r="R49" s="152">
        <f t="shared" si="1"/>
        <v>4195.3999999999996</v>
      </c>
      <c r="S49" s="154">
        <f t="shared" si="2"/>
        <v>660</v>
      </c>
      <c r="T49" s="169">
        <f t="shared" si="3"/>
        <v>99</v>
      </c>
      <c r="U49" s="153">
        <f t="shared" si="4"/>
        <v>4855.3999999999996</v>
      </c>
      <c r="V49" s="166">
        <f t="shared" si="5"/>
        <v>127.6</v>
      </c>
      <c r="W49" s="167">
        <f t="shared" si="6"/>
        <v>220</v>
      </c>
      <c r="X49" s="168">
        <f t="shared" si="7"/>
        <v>110</v>
      </c>
      <c r="Y49" s="14"/>
    </row>
    <row r="50" spans="1:25" s="7" customFormat="1" ht="12" customHeight="1">
      <c r="A50" s="232"/>
      <c r="B50" s="27"/>
      <c r="C50" s="24" t="s">
        <v>469</v>
      </c>
      <c r="D50" s="24" t="s">
        <v>59</v>
      </c>
      <c r="E50" s="25">
        <v>220</v>
      </c>
      <c r="F50" s="27" t="s">
        <v>1162</v>
      </c>
      <c r="G50" s="180">
        <v>38.5</v>
      </c>
      <c r="H50" s="150">
        <f t="shared" si="8"/>
        <v>8470</v>
      </c>
      <c r="I50" s="306">
        <v>4</v>
      </c>
      <c r="J50" s="155">
        <v>12.1</v>
      </c>
      <c r="K50" s="156">
        <v>3</v>
      </c>
      <c r="L50" s="157">
        <v>0.45</v>
      </c>
      <c r="M50" s="153">
        <f t="shared" si="9"/>
        <v>15.1</v>
      </c>
      <c r="N50" s="166">
        <v>0.57999999999999996</v>
      </c>
      <c r="O50" s="167">
        <v>0.2</v>
      </c>
      <c r="P50" s="168">
        <v>1</v>
      </c>
      <c r="Q50" s="309">
        <f t="shared" si="0"/>
        <v>880</v>
      </c>
      <c r="R50" s="152">
        <f t="shared" si="1"/>
        <v>2662</v>
      </c>
      <c r="S50" s="154">
        <f t="shared" si="2"/>
        <v>660</v>
      </c>
      <c r="T50" s="169">
        <f t="shared" si="3"/>
        <v>99</v>
      </c>
      <c r="U50" s="153">
        <f t="shared" si="4"/>
        <v>3322</v>
      </c>
      <c r="V50" s="166">
        <f t="shared" si="5"/>
        <v>127.6</v>
      </c>
      <c r="W50" s="167">
        <f t="shared" si="6"/>
        <v>44</v>
      </c>
      <c r="X50" s="168">
        <f t="shared" si="7"/>
        <v>220</v>
      </c>
      <c r="Y50" s="14"/>
    </row>
    <row r="51" spans="1:25" s="7" customFormat="1" ht="12" customHeight="1">
      <c r="A51" s="232">
        <v>40278</v>
      </c>
      <c r="B51" s="27">
        <v>426</v>
      </c>
      <c r="C51" s="24" t="s">
        <v>183</v>
      </c>
      <c r="D51" s="24" t="s">
        <v>183</v>
      </c>
      <c r="E51" s="25">
        <v>25</v>
      </c>
      <c r="F51" s="27" t="s">
        <v>1163</v>
      </c>
      <c r="G51" s="180">
        <v>50</v>
      </c>
      <c r="H51" s="150">
        <f t="shared" si="8"/>
        <v>1250</v>
      </c>
      <c r="I51" s="306">
        <v>3.5</v>
      </c>
      <c r="J51" s="155">
        <v>9.7100000000000009</v>
      </c>
      <c r="K51" s="156">
        <v>0</v>
      </c>
      <c r="L51" s="157">
        <v>0</v>
      </c>
      <c r="M51" s="153">
        <f t="shared" si="9"/>
        <v>9.7100000000000009</v>
      </c>
      <c r="N51" s="166">
        <v>0.28999999999999998</v>
      </c>
      <c r="O51" s="167">
        <v>0.1</v>
      </c>
      <c r="P51" s="168">
        <v>0.1</v>
      </c>
      <c r="Q51" s="309">
        <f t="shared" si="0"/>
        <v>87.5</v>
      </c>
      <c r="R51" s="152">
        <f t="shared" si="1"/>
        <v>242.75000000000003</v>
      </c>
      <c r="S51" s="154">
        <f t="shared" si="2"/>
        <v>0</v>
      </c>
      <c r="T51" s="169">
        <f t="shared" si="3"/>
        <v>0</v>
      </c>
      <c r="U51" s="153">
        <f t="shared" si="4"/>
        <v>242.75000000000003</v>
      </c>
      <c r="V51" s="166">
        <f t="shared" si="5"/>
        <v>7.2499999999999991</v>
      </c>
      <c r="W51" s="167">
        <f t="shared" si="6"/>
        <v>2.5</v>
      </c>
      <c r="X51" s="168">
        <f t="shared" si="7"/>
        <v>2.5</v>
      </c>
      <c r="Y51" s="14"/>
    </row>
    <row r="52" spans="1:25" s="7" customFormat="1" ht="12" customHeight="1">
      <c r="A52" s="232"/>
      <c r="B52" s="27"/>
      <c r="C52" s="24" t="s">
        <v>183</v>
      </c>
      <c r="D52" s="24" t="s">
        <v>183</v>
      </c>
      <c r="E52" s="25">
        <v>25</v>
      </c>
      <c r="F52" s="27" t="s">
        <v>1164</v>
      </c>
      <c r="G52" s="180">
        <v>30</v>
      </c>
      <c r="H52" s="150">
        <f t="shared" si="8"/>
        <v>750</v>
      </c>
      <c r="I52" s="306">
        <v>0</v>
      </c>
      <c r="J52" s="155">
        <v>0</v>
      </c>
      <c r="K52" s="156">
        <v>0</v>
      </c>
      <c r="L52" s="157">
        <v>0</v>
      </c>
      <c r="M52" s="153">
        <f t="shared" si="9"/>
        <v>0</v>
      </c>
      <c r="N52" s="166">
        <v>0</v>
      </c>
      <c r="O52" s="167">
        <v>0</v>
      </c>
      <c r="P52" s="168">
        <v>0</v>
      </c>
      <c r="Q52" s="309">
        <f t="shared" si="0"/>
        <v>0</v>
      </c>
      <c r="R52" s="152">
        <f t="shared" si="1"/>
        <v>0</v>
      </c>
      <c r="S52" s="154">
        <f t="shared" si="2"/>
        <v>0</v>
      </c>
      <c r="T52" s="169">
        <f t="shared" si="3"/>
        <v>0</v>
      </c>
      <c r="U52" s="153">
        <f t="shared" si="4"/>
        <v>0</v>
      </c>
      <c r="V52" s="166">
        <f t="shared" si="5"/>
        <v>0</v>
      </c>
      <c r="W52" s="167">
        <f t="shared" si="6"/>
        <v>0</v>
      </c>
      <c r="X52" s="168">
        <f t="shared" si="7"/>
        <v>0</v>
      </c>
      <c r="Y52" s="14" t="s">
        <v>1720</v>
      </c>
    </row>
    <row r="53" spans="1:25" s="7" customFormat="1" ht="12" customHeight="1">
      <c r="A53" s="232">
        <v>40278</v>
      </c>
      <c r="B53" s="27">
        <v>427</v>
      </c>
      <c r="C53" s="24" t="s">
        <v>1165</v>
      </c>
      <c r="D53" s="24" t="s">
        <v>42</v>
      </c>
      <c r="E53" s="25">
        <v>70</v>
      </c>
      <c r="F53" s="27" t="s">
        <v>1166</v>
      </c>
      <c r="G53" s="180">
        <v>13.75</v>
      </c>
      <c r="H53" s="150">
        <f t="shared" si="8"/>
        <v>962.5</v>
      </c>
      <c r="I53" s="306">
        <v>1.5</v>
      </c>
      <c r="J53" s="155">
        <v>4.16</v>
      </c>
      <c r="K53" s="156">
        <v>0.5</v>
      </c>
      <c r="L53" s="157">
        <v>7.4999999999999997E-2</v>
      </c>
      <c r="M53" s="153">
        <f t="shared" si="9"/>
        <v>4.66</v>
      </c>
      <c r="N53" s="166">
        <v>0.17</v>
      </c>
      <c r="O53" s="167">
        <v>0.1</v>
      </c>
      <c r="P53" s="168">
        <v>0.2</v>
      </c>
      <c r="Q53" s="309">
        <f t="shared" si="0"/>
        <v>105</v>
      </c>
      <c r="R53" s="152">
        <f t="shared" si="1"/>
        <v>291.2</v>
      </c>
      <c r="S53" s="154">
        <f t="shared" si="2"/>
        <v>35</v>
      </c>
      <c r="T53" s="169">
        <f t="shared" si="3"/>
        <v>5.25</v>
      </c>
      <c r="U53" s="153">
        <f t="shared" si="4"/>
        <v>326.2</v>
      </c>
      <c r="V53" s="166">
        <f t="shared" si="5"/>
        <v>11.9</v>
      </c>
      <c r="W53" s="167">
        <f t="shared" si="6"/>
        <v>7</v>
      </c>
      <c r="X53" s="168">
        <f t="shared" si="7"/>
        <v>14</v>
      </c>
      <c r="Y53" s="14"/>
    </row>
    <row r="54" spans="1:25" s="7" customFormat="1" ht="12" customHeight="1">
      <c r="A54" s="232">
        <v>40278</v>
      </c>
      <c r="B54" s="27">
        <v>428</v>
      </c>
      <c r="C54" s="24" t="s">
        <v>1167</v>
      </c>
      <c r="D54" s="24" t="s">
        <v>1167</v>
      </c>
      <c r="E54" s="25">
        <v>30</v>
      </c>
      <c r="F54" s="27" t="s">
        <v>1168</v>
      </c>
      <c r="G54" s="180">
        <v>60.5</v>
      </c>
      <c r="H54" s="150">
        <f t="shared" si="8"/>
        <v>1815</v>
      </c>
      <c r="I54" s="306">
        <v>5</v>
      </c>
      <c r="J54" s="155">
        <v>18.59</v>
      </c>
      <c r="K54" s="177">
        <v>10</v>
      </c>
      <c r="L54" s="157">
        <v>1.5</v>
      </c>
      <c r="M54" s="153">
        <f t="shared" si="9"/>
        <v>28.59</v>
      </c>
      <c r="N54" s="166">
        <v>0.57999999999999996</v>
      </c>
      <c r="O54" s="167">
        <v>0.2</v>
      </c>
      <c r="P54" s="168">
        <v>0.2</v>
      </c>
      <c r="Q54" s="309">
        <f t="shared" si="0"/>
        <v>150</v>
      </c>
      <c r="R54" s="178">
        <f t="shared" si="1"/>
        <v>557.70000000000005</v>
      </c>
      <c r="S54" s="154">
        <f t="shared" si="2"/>
        <v>300</v>
      </c>
      <c r="T54" s="169">
        <f t="shared" si="3"/>
        <v>45</v>
      </c>
      <c r="U54" s="179">
        <f t="shared" si="4"/>
        <v>857.7</v>
      </c>
      <c r="V54" s="166">
        <f t="shared" si="5"/>
        <v>17.399999999999999</v>
      </c>
      <c r="W54" s="167">
        <f t="shared" si="6"/>
        <v>6</v>
      </c>
      <c r="X54" s="168">
        <f t="shared" si="7"/>
        <v>6</v>
      </c>
      <c r="Y54" s="14"/>
    </row>
    <row r="55" spans="1:25" s="7" customFormat="1" ht="12" customHeight="1">
      <c r="A55" s="232"/>
      <c r="B55" s="27"/>
      <c r="C55" s="24" t="s">
        <v>1167</v>
      </c>
      <c r="D55" s="24" t="s">
        <v>1167</v>
      </c>
      <c r="E55" s="25">
        <v>6</v>
      </c>
      <c r="F55" s="27" t="s">
        <v>1169</v>
      </c>
      <c r="G55" s="180">
        <v>60</v>
      </c>
      <c r="H55" s="150">
        <f t="shared" si="8"/>
        <v>360</v>
      </c>
      <c r="I55" s="306">
        <v>0</v>
      </c>
      <c r="J55" s="155">
        <v>0</v>
      </c>
      <c r="K55" s="156">
        <v>0</v>
      </c>
      <c r="L55" s="157">
        <v>0</v>
      </c>
      <c r="M55" s="153">
        <f t="shared" si="9"/>
        <v>0</v>
      </c>
      <c r="N55" s="166">
        <v>0</v>
      </c>
      <c r="O55" s="167">
        <v>0</v>
      </c>
      <c r="P55" s="168">
        <v>0</v>
      </c>
      <c r="Q55" s="309">
        <f t="shared" si="0"/>
        <v>0</v>
      </c>
      <c r="R55" s="152">
        <f t="shared" si="1"/>
        <v>0</v>
      </c>
      <c r="S55" s="154">
        <f t="shared" si="2"/>
        <v>0</v>
      </c>
      <c r="T55" s="169">
        <f t="shared" si="3"/>
        <v>0</v>
      </c>
      <c r="U55" s="153">
        <f t="shared" si="4"/>
        <v>0</v>
      </c>
      <c r="V55" s="166">
        <f t="shared" si="5"/>
        <v>0</v>
      </c>
      <c r="W55" s="167">
        <f t="shared" si="6"/>
        <v>0</v>
      </c>
      <c r="X55" s="168">
        <f t="shared" si="7"/>
        <v>0</v>
      </c>
      <c r="Y55" s="14" t="s">
        <v>1510</v>
      </c>
    </row>
    <row r="56" spans="1:25" s="7" customFormat="1" ht="12" customHeight="1">
      <c r="A56" s="232">
        <v>40276</v>
      </c>
      <c r="B56" s="27">
        <v>429</v>
      </c>
      <c r="C56" s="24" t="s">
        <v>362</v>
      </c>
      <c r="D56" s="24" t="s">
        <v>42</v>
      </c>
      <c r="E56" s="25">
        <v>70</v>
      </c>
      <c r="F56" s="27" t="s">
        <v>1170</v>
      </c>
      <c r="G56" s="180">
        <v>5</v>
      </c>
      <c r="H56" s="150">
        <f t="shared" si="8"/>
        <v>350</v>
      </c>
      <c r="I56" s="306">
        <v>1</v>
      </c>
      <c r="J56" s="155">
        <v>1</v>
      </c>
      <c r="K56" s="156">
        <v>2</v>
      </c>
      <c r="L56" s="157">
        <v>0.3</v>
      </c>
      <c r="M56" s="153">
        <f t="shared" si="9"/>
        <v>3</v>
      </c>
      <c r="N56" s="166">
        <v>0</v>
      </c>
      <c r="O56" s="167">
        <v>0.1</v>
      </c>
      <c r="P56" s="168">
        <v>0.1</v>
      </c>
      <c r="Q56" s="309">
        <f t="shared" si="0"/>
        <v>70</v>
      </c>
      <c r="R56" s="152">
        <f t="shared" si="1"/>
        <v>70</v>
      </c>
      <c r="S56" s="154">
        <f t="shared" si="2"/>
        <v>140</v>
      </c>
      <c r="T56" s="169">
        <f t="shared" si="3"/>
        <v>21</v>
      </c>
      <c r="U56" s="153">
        <f t="shared" si="4"/>
        <v>210</v>
      </c>
      <c r="V56" s="166">
        <f t="shared" si="5"/>
        <v>0</v>
      </c>
      <c r="W56" s="167">
        <f t="shared" si="6"/>
        <v>7</v>
      </c>
      <c r="X56" s="168">
        <f t="shared" si="7"/>
        <v>7</v>
      </c>
      <c r="Y56" s="14"/>
    </row>
    <row r="57" spans="1:25" s="7" customFormat="1" ht="12" customHeight="1">
      <c r="A57" s="232"/>
      <c r="B57" s="27"/>
      <c r="C57" s="24" t="s">
        <v>362</v>
      </c>
      <c r="D57" s="24" t="s">
        <v>42</v>
      </c>
      <c r="E57" s="25">
        <v>70</v>
      </c>
      <c r="F57" s="27" t="s">
        <v>1171</v>
      </c>
      <c r="G57" s="180">
        <v>3</v>
      </c>
      <c r="H57" s="150">
        <f t="shared" si="8"/>
        <v>210</v>
      </c>
      <c r="I57" s="306">
        <v>1</v>
      </c>
      <c r="J57" s="155">
        <v>0.92</v>
      </c>
      <c r="K57" s="156">
        <v>0</v>
      </c>
      <c r="L57" s="157">
        <v>0</v>
      </c>
      <c r="M57" s="153">
        <f t="shared" si="9"/>
        <v>0.92</v>
      </c>
      <c r="N57" s="166">
        <v>0</v>
      </c>
      <c r="O57" s="167">
        <v>0.1</v>
      </c>
      <c r="P57" s="168">
        <v>0.1</v>
      </c>
      <c r="Q57" s="309">
        <f t="shared" si="0"/>
        <v>70</v>
      </c>
      <c r="R57" s="152">
        <f t="shared" si="1"/>
        <v>64.400000000000006</v>
      </c>
      <c r="S57" s="154">
        <f t="shared" si="2"/>
        <v>0</v>
      </c>
      <c r="T57" s="169">
        <f t="shared" si="3"/>
        <v>0</v>
      </c>
      <c r="U57" s="153">
        <f t="shared" si="4"/>
        <v>64.400000000000006</v>
      </c>
      <c r="V57" s="166">
        <f t="shared" si="5"/>
        <v>0</v>
      </c>
      <c r="W57" s="167">
        <f t="shared" si="6"/>
        <v>7</v>
      </c>
      <c r="X57" s="168">
        <f t="shared" si="7"/>
        <v>7</v>
      </c>
      <c r="Y57" s="14"/>
    </row>
    <row r="58" spans="1:25" s="7" customFormat="1" ht="12" customHeight="1">
      <c r="A58" s="232">
        <v>40280</v>
      </c>
      <c r="B58" s="27">
        <v>430</v>
      </c>
      <c r="C58" s="24" t="s">
        <v>1172</v>
      </c>
      <c r="D58" s="24" t="s">
        <v>37</v>
      </c>
      <c r="E58" s="25">
        <v>200</v>
      </c>
      <c r="F58" s="27" t="s">
        <v>1173</v>
      </c>
      <c r="G58" s="180">
        <f>12.75-0.75</f>
        <v>12</v>
      </c>
      <c r="H58" s="150">
        <f t="shared" si="8"/>
        <v>2400</v>
      </c>
      <c r="I58" s="306">
        <v>1</v>
      </c>
      <c r="J58" s="155">
        <v>1.05</v>
      </c>
      <c r="K58" s="156">
        <v>1.5</v>
      </c>
      <c r="L58" s="157">
        <v>0.23</v>
      </c>
      <c r="M58" s="153">
        <f t="shared" si="9"/>
        <v>2.5499999999999998</v>
      </c>
      <c r="N58" s="166">
        <v>0.28999999999999998</v>
      </c>
      <c r="O58" s="167">
        <v>0.1</v>
      </c>
      <c r="P58" s="168">
        <v>0.1</v>
      </c>
      <c r="Q58" s="309">
        <f t="shared" si="0"/>
        <v>200</v>
      </c>
      <c r="R58" s="152">
        <f t="shared" si="1"/>
        <v>210</v>
      </c>
      <c r="S58" s="154">
        <f t="shared" si="2"/>
        <v>300</v>
      </c>
      <c r="T58" s="169">
        <f t="shared" si="3"/>
        <v>46</v>
      </c>
      <c r="U58" s="153">
        <f t="shared" si="4"/>
        <v>509.99999999999994</v>
      </c>
      <c r="V58" s="166">
        <f t="shared" si="5"/>
        <v>57.999999999999993</v>
      </c>
      <c r="W58" s="167">
        <f t="shared" si="6"/>
        <v>20</v>
      </c>
      <c r="X58" s="168">
        <f t="shared" si="7"/>
        <v>20</v>
      </c>
      <c r="Y58" s="14"/>
    </row>
    <row r="59" spans="1:25" ht="12" customHeight="1">
      <c r="A59" s="232"/>
      <c r="B59" s="27"/>
      <c r="C59" s="24" t="s">
        <v>1172</v>
      </c>
      <c r="D59" s="24" t="s">
        <v>37</v>
      </c>
      <c r="E59" s="25">
        <v>200</v>
      </c>
      <c r="F59" s="27" t="s">
        <v>1174</v>
      </c>
      <c r="G59" s="180">
        <f>12.75-0.75</f>
        <v>12</v>
      </c>
      <c r="H59" s="150">
        <f t="shared" si="8"/>
        <v>2400</v>
      </c>
      <c r="I59" s="306">
        <v>1</v>
      </c>
      <c r="J59" s="155">
        <v>1.05</v>
      </c>
      <c r="K59" s="156">
        <v>1.5</v>
      </c>
      <c r="L59" s="157">
        <v>0.23</v>
      </c>
      <c r="M59" s="153">
        <f>J59+K59</f>
        <v>2.5499999999999998</v>
      </c>
      <c r="N59" s="166">
        <v>0.28999999999999998</v>
      </c>
      <c r="O59" s="167">
        <v>0.1</v>
      </c>
      <c r="P59" s="168">
        <v>0.1</v>
      </c>
      <c r="Q59" s="309">
        <f t="shared" si="0"/>
        <v>200</v>
      </c>
      <c r="R59" s="152">
        <f t="shared" si="1"/>
        <v>210</v>
      </c>
      <c r="S59" s="154">
        <f t="shared" si="2"/>
        <v>300</v>
      </c>
      <c r="T59" s="169">
        <f t="shared" si="3"/>
        <v>46</v>
      </c>
      <c r="U59" s="153">
        <f t="shared" si="4"/>
        <v>509.99999999999994</v>
      </c>
      <c r="V59" s="166">
        <f t="shared" si="5"/>
        <v>57.999999999999993</v>
      </c>
      <c r="W59" s="167">
        <f t="shared" si="6"/>
        <v>20</v>
      </c>
      <c r="X59" s="168">
        <f t="shared" si="7"/>
        <v>20</v>
      </c>
      <c r="Y59" s="14"/>
    </row>
    <row r="60" spans="1:25" ht="12" customHeight="1">
      <c r="A60" s="232"/>
      <c r="B60" s="27"/>
      <c r="C60" s="24" t="s">
        <v>1172</v>
      </c>
      <c r="D60" s="24" t="s">
        <v>37</v>
      </c>
      <c r="E60" s="25">
        <v>300</v>
      </c>
      <c r="F60" s="27" t="s">
        <v>1175</v>
      </c>
      <c r="G60" s="180">
        <f>12.75-0.75</f>
        <v>12</v>
      </c>
      <c r="H60" s="150">
        <f t="shared" si="8"/>
        <v>3600</v>
      </c>
      <c r="I60" s="306">
        <v>1</v>
      </c>
      <c r="J60" s="155">
        <v>1.05</v>
      </c>
      <c r="K60" s="156">
        <v>1.5</v>
      </c>
      <c r="L60" s="157">
        <v>0.23</v>
      </c>
      <c r="M60" s="153">
        <f>J60+K60</f>
        <v>2.5499999999999998</v>
      </c>
      <c r="N60" s="166">
        <v>0.28999999999999998</v>
      </c>
      <c r="O60" s="167">
        <v>0.1</v>
      </c>
      <c r="P60" s="168">
        <v>0.1</v>
      </c>
      <c r="Q60" s="309">
        <f t="shared" si="0"/>
        <v>300</v>
      </c>
      <c r="R60" s="152">
        <f t="shared" si="1"/>
        <v>315</v>
      </c>
      <c r="S60" s="154">
        <f t="shared" si="2"/>
        <v>450</v>
      </c>
      <c r="T60" s="169">
        <f t="shared" si="3"/>
        <v>69</v>
      </c>
      <c r="U60" s="153">
        <f t="shared" si="4"/>
        <v>765</v>
      </c>
      <c r="V60" s="166">
        <f t="shared" si="5"/>
        <v>87</v>
      </c>
      <c r="W60" s="167">
        <f t="shared" si="6"/>
        <v>30</v>
      </c>
      <c r="X60" s="168">
        <f t="shared" si="7"/>
        <v>30</v>
      </c>
      <c r="Y60" s="14"/>
    </row>
    <row r="61" spans="1:25" ht="12" customHeight="1">
      <c r="A61" s="232"/>
      <c r="B61" s="27"/>
      <c r="C61" s="24" t="s">
        <v>1172</v>
      </c>
      <c r="D61" s="24" t="s">
        <v>37</v>
      </c>
      <c r="E61" s="25">
        <v>300</v>
      </c>
      <c r="F61" s="27" t="s">
        <v>1176</v>
      </c>
      <c r="G61" s="180">
        <f>12.75-0.75</f>
        <v>12</v>
      </c>
      <c r="H61" s="150">
        <f t="shared" si="8"/>
        <v>3600</v>
      </c>
      <c r="I61" s="306">
        <v>1</v>
      </c>
      <c r="J61" s="155">
        <v>1.05</v>
      </c>
      <c r="K61" s="156">
        <v>1.5</v>
      </c>
      <c r="L61" s="157">
        <v>0.23</v>
      </c>
      <c r="M61" s="153">
        <f>J61+K61</f>
        <v>2.5499999999999998</v>
      </c>
      <c r="N61" s="166">
        <v>0.28999999999999998</v>
      </c>
      <c r="O61" s="167">
        <v>0.1</v>
      </c>
      <c r="P61" s="168">
        <v>0.1</v>
      </c>
      <c r="Q61" s="309">
        <f t="shared" si="0"/>
        <v>300</v>
      </c>
      <c r="R61" s="152">
        <f t="shared" si="1"/>
        <v>315</v>
      </c>
      <c r="S61" s="154">
        <f t="shared" si="2"/>
        <v>450</v>
      </c>
      <c r="T61" s="169">
        <f t="shared" si="3"/>
        <v>69</v>
      </c>
      <c r="U61" s="153">
        <f t="shared" si="4"/>
        <v>765</v>
      </c>
      <c r="V61" s="166">
        <f t="shared" si="5"/>
        <v>87</v>
      </c>
      <c r="W61" s="167">
        <f t="shared" si="6"/>
        <v>30</v>
      </c>
      <c r="X61" s="168">
        <f t="shared" si="7"/>
        <v>30</v>
      </c>
      <c r="Y61" s="14"/>
    </row>
    <row r="62" spans="1:25" ht="12" customHeight="1">
      <c r="A62" s="232">
        <v>40281</v>
      </c>
      <c r="B62" s="27">
        <v>431</v>
      </c>
      <c r="C62" s="24" t="s">
        <v>1177</v>
      </c>
      <c r="D62" s="24" t="s">
        <v>37</v>
      </c>
      <c r="E62" s="25">
        <v>10</v>
      </c>
      <c r="F62" s="27" t="s">
        <v>1178</v>
      </c>
      <c r="G62" s="180">
        <v>12.75</v>
      </c>
      <c r="H62" s="150">
        <f t="shared" si="8"/>
        <v>127.5</v>
      </c>
      <c r="I62" s="306">
        <v>1</v>
      </c>
      <c r="J62" s="155">
        <v>0.98</v>
      </c>
      <c r="K62" s="156">
        <v>2</v>
      </c>
      <c r="L62" s="157">
        <v>0.3</v>
      </c>
      <c r="M62" s="153">
        <f t="shared" si="9"/>
        <v>2.98</v>
      </c>
      <c r="N62" s="166">
        <v>0.28999999999999998</v>
      </c>
      <c r="O62" s="167">
        <v>0.1</v>
      </c>
      <c r="P62" s="168">
        <v>0.1</v>
      </c>
      <c r="Q62" s="309">
        <f t="shared" si="0"/>
        <v>10</v>
      </c>
      <c r="R62" s="152">
        <f t="shared" si="1"/>
        <v>9.8000000000000007</v>
      </c>
      <c r="S62" s="154">
        <f t="shared" si="2"/>
        <v>20</v>
      </c>
      <c r="T62" s="169">
        <f t="shared" si="3"/>
        <v>3</v>
      </c>
      <c r="U62" s="153">
        <f t="shared" si="4"/>
        <v>29.8</v>
      </c>
      <c r="V62" s="166">
        <f t="shared" si="5"/>
        <v>2.9</v>
      </c>
      <c r="W62" s="167">
        <f t="shared" si="6"/>
        <v>1</v>
      </c>
      <c r="X62" s="168">
        <f t="shared" si="7"/>
        <v>1</v>
      </c>
      <c r="Y62" s="14"/>
    </row>
    <row r="63" spans="1:25" ht="12" customHeight="1">
      <c r="A63" s="232">
        <v>40281</v>
      </c>
      <c r="B63" s="27">
        <v>432</v>
      </c>
      <c r="C63" s="24" t="s">
        <v>1066</v>
      </c>
      <c r="D63" s="24" t="s">
        <v>653</v>
      </c>
      <c r="E63" s="25">
        <v>200</v>
      </c>
      <c r="F63" s="27" t="s">
        <v>1179</v>
      </c>
      <c r="G63" s="180">
        <v>12.5</v>
      </c>
      <c r="H63" s="150">
        <f t="shared" si="8"/>
        <v>2500</v>
      </c>
      <c r="I63" s="306">
        <v>1</v>
      </c>
      <c r="J63" s="155">
        <v>2.5499999999999998</v>
      </c>
      <c r="K63" s="177">
        <v>0</v>
      </c>
      <c r="L63" s="157">
        <v>0</v>
      </c>
      <c r="M63" s="179">
        <f t="shared" si="9"/>
        <v>2.5499999999999998</v>
      </c>
      <c r="N63" s="166">
        <v>0.28999999999999998</v>
      </c>
      <c r="O63" s="167">
        <v>0.1</v>
      </c>
      <c r="P63" s="168">
        <v>0.1</v>
      </c>
      <c r="Q63" s="309">
        <f t="shared" si="0"/>
        <v>200</v>
      </c>
      <c r="R63" s="152">
        <f t="shared" si="1"/>
        <v>509.99999999999994</v>
      </c>
      <c r="S63" s="154">
        <f t="shared" si="2"/>
        <v>0</v>
      </c>
      <c r="T63" s="169">
        <f t="shared" si="3"/>
        <v>0</v>
      </c>
      <c r="U63" s="153">
        <f t="shared" si="4"/>
        <v>509.99999999999994</v>
      </c>
      <c r="V63" s="166">
        <f t="shared" si="5"/>
        <v>57.999999999999993</v>
      </c>
      <c r="W63" s="167">
        <f t="shared" si="6"/>
        <v>20</v>
      </c>
      <c r="X63" s="168">
        <f t="shared" si="7"/>
        <v>20</v>
      </c>
      <c r="Y63" s="14"/>
    </row>
    <row r="64" spans="1:25" ht="12" customHeight="1">
      <c r="A64" s="232">
        <v>40276</v>
      </c>
      <c r="B64" s="27">
        <v>433</v>
      </c>
      <c r="C64" s="24" t="s">
        <v>1050</v>
      </c>
      <c r="D64" s="24" t="s">
        <v>245</v>
      </c>
      <c r="E64" s="25">
        <f>84+1</f>
        <v>85</v>
      </c>
      <c r="F64" s="27" t="s">
        <v>1180</v>
      </c>
      <c r="G64" s="180">
        <v>49</v>
      </c>
      <c r="H64" s="150">
        <f t="shared" si="8"/>
        <v>4165</v>
      </c>
      <c r="I64" s="306">
        <v>6.5</v>
      </c>
      <c r="J64" s="155">
        <v>11.98</v>
      </c>
      <c r="K64" s="156">
        <v>0</v>
      </c>
      <c r="L64" s="157">
        <v>0</v>
      </c>
      <c r="M64" s="153">
        <f t="shared" si="9"/>
        <v>11.98</v>
      </c>
      <c r="N64" s="166">
        <v>0.57999999999999996</v>
      </c>
      <c r="O64" s="167">
        <v>0.2</v>
      </c>
      <c r="P64" s="168">
        <v>0.2</v>
      </c>
      <c r="Q64" s="309">
        <f t="shared" si="0"/>
        <v>552.5</v>
      </c>
      <c r="R64" s="152">
        <f t="shared" si="1"/>
        <v>1018.3000000000001</v>
      </c>
      <c r="S64" s="154">
        <f t="shared" si="2"/>
        <v>0</v>
      </c>
      <c r="T64" s="169">
        <f t="shared" si="3"/>
        <v>0</v>
      </c>
      <c r="U64" s="153">
        <f t="shared" si="4"/>
        <v>1018.3000000000001</v>
      </c>
      <c r="V64" s="166">
        <f t="shared" si="5"/>
        <v>49.3</v>
      </c>
      <c r="W64" s="167">
        <f t="shared" si="6"/>
        <v>17</v>
      </c>
      <c r="X64" s="168">
        <f t="shared" si="7"/>
        <v>17</v>
      </c>
      <c r="Y64" s="14"/>
    </row>
    <row r="65" spans="1:25" ht="12" customHeight="1">
      <c r="A65" s="232"/>
      <c r="B65" s="27"/>
      <c r="C65" s="24" t="s">
        <v>1050</v>
      </c>
      <c r="D65" s="24" t="s">
        <v>245</v>
      </c>
      <c r="E65" s="25">
        <f>84+1</f>
        <v>85</v>
      </c>
      <c r="F65" s="27" t="s">
        <v>1181</v>
      </c>
      <c r="G65" s="180">
        <v>40</v>
      </c>
      <c r="H65" s="150">
        <f t="shared" si="8"/>
        <v>3400</v>
      </c>
      <c r="I65" s="306">
        <v>5</v>
      </c>
      <c r="J65" s="155">
        <v>11.42</v>
      </c>
      <c r="K65" s="156">
        <v>0</v>
      </c>
      <c r="L65" s="157">
        <v>0</v>
      </c>
      <c r="M65" s="153">
        <f t="shared" si="9"/>
        <v>11.42</v>
      </c>
      <c r="N65" s="166">
        <v>0.57999999999999996</v>
      </c>
      <c r="O65" s="167">
        <v>0.2</v>
      </c>
      <c r="P65" s="168">
        <v>0.2</v>
      </c>
      <c r="Q65" s="309">
        <f t="shared" si="0"/>
        <v>425</v>
      </c>
      <c r="R65" s="152">
        <f t="shared" si="1"/>
        <v>970.7</v>
      </c>
      <c r="S65" s="154">
        <f t="shared" si="2"/>
        <v>0</v>
      </c>
      <c r="T65" s="169">
        <f t="shared" si="3"/>
        <v>0</v>
      </c>
      <c r="U65" s="153">
        <f t="shared" si="4"/>
        <v>970.7</v>
      </c>
      <c r="V65" s="166">
        <f t="shared" si="5"/>
        <v>49.3</v>
      </c>
      <c r="W65" s="167">
        <f t="shared" si="6"/>
        <v>17</v>
      </c>
      <c r="X65" s="168">
        <f t="shared" si="7"/>
        <v>17</v>
      </c>
      <c r="Y65" s="14"/>
    </row>
    <row r="66" spans="1:25" ht="12" customHeight="1">
      <c r="A66" s="232"/>
      <c r="B66" s="27"/>
      <c r="C66" s="24" t="s">
        <v>1050</v>
      </c>
      <c r="D66" s="24" t="s">
        <v>245</v>
      </c>
      <c r="E66" s="25">
        <f>84+1</f>
        <v>85</v>
      </c>
      <c r="F66" s="27" t="s">
        <v>1182</v>
      </c>
      <c r="G66" s="180">
        <v>13</v>
      </c>
      <c r="H66" s="150">
        <f t="shared" si="8"/>
        <v>1105</v>
      </c>
      <c r="I66" s="306">
        <v>1</v>
      </c>
      <c r="J66" s="155">
        <v>2.5499999999999998</v>
      </c>
      <c r="K66" s="156">
        <v>0</v>
      </c>
      <c r="L66" s="157">
        <v>0</v>
      </c>
      <c r="M66" s="153">
        <f t="shared" si="9"/>
        <v>2.5499999999999998</v>
      </c>
      <c r="N66" s="166">
        <v>0.28999999999999998</v>
      </c>
      <c r="O66" s="167">
        <v>0.1</v>
      </c>
      <c r="P66" s="168">
        <v>0.1</v>
      </c>
      <c r="Q66" s="309">
        <f t="shared" si="0"/>
        <v>85</v>
      </c>
      <c r="R66" s="152">
        <f t="shared" si="1"/>
        <v>216.74999999999997</v>
      </c>
      <c r="S66" s="154">
        <f t="shared" si="2"/>
        <v>0</v>
      </c>
      <c r="T66" s="169">
        <f t="shared" si="3"/>
        <v>0</v>
      </c>
      <c r="U66" s="153">
        <f t="shared" si="4"/>
        <v>216.74999999999997</v>
      </c>
      <c r="V66" s="166">
        <f t="shared" si="5"/>
        <v>24.65</v>
      </c>
      <c r="W66" s="167">
        <f t="shared" si="6"/>
        <v>8.5</v>
      </c>
      <c r="X66" s="168">
        <f t="shared" si="7"/>
        <v>8.5</v>
      </c>
      <c r="Y66" s="14"/>
    </row>
    <row r="67" spans="1:25" ht="12" customHeight="1">
      <c r="A67" s="232">
        <v>40281</v>
      </c>
      <c r="B67" s="27">
        <v>434</v>
      </c>
      <c r="C67" s="20" t="s">
        <v>23</v>
      </c>
      <c r="D67" s="24" t="s">
        <v>24</v>
      </c>
      <c r="E67" s="25">
        <v>100</v>
      </c>
      <c r="F67" s="27" t="s">
        <v>1183</v>
      </c>
      <c r="G67" s="180">
        <v>10</v>
      </c>
      <c r="H67" s="150">
        <f t="shared" si="8"/>
        <v>1000</v>
      </c>
      <c r="I67" s="306">
        <v>1.85</v>
      </c>
      <c r="J67" s="155">
        <v>0.65</v>
      </c>
      <c r="K67" s="156">
        <v>2.5</v>
      </c>
      <c r="L67" s="157">
        <v>0.38</v>
      </c>
      <c r="M67" s="153">
        <f t="shared" si="9"/>
        <v>3.15</v>
      </c>
      <c r="N67" s="166">
        <v>0.13</v>
      </c>
      <c r="O67" s="167">
        <v>0.1</v>
      </c>
      <c r="P67" s="168">
        <v>0.1</v>
      </c>
      <c r="Q67" s="309">
        <f t="shared" si="0"/>
        <v>185</v>
      </c>
      <c r="R67" s="152">
        <f t="shared" si="1"/>
        <v>65</v>
      </c>
      <c r="S67" s="154">
        <f t="shared" si="2"/>
        <v>250</v>
      </c>
      <c r="T67" s="169">
        <f t="shared" si="3"/>
        <v>38</v>
      </c>
      <c r="U67" s="153">
        <f t="shared" si="4"/>
        <v>315</v>
      </c>
      <c r="V67" s="166">
        <f t="shared" si="5"/>
        <v>13</v>
      </c>
      <c r="W67" s="167">
        <f t="shared" si="6"/>
        <v>10</v>
      </c>
      <c r="X67" s="168">
        <f t="shared" si="7"/>
        <v>10</v>
      </c>
      <c r="Y67" s="14"/>
    </row>
    <row r="68" spans="1:25" ht="12" customHeight="1">
      <c r="A68" s="232">
        <v>40281</v>
      </c>
      <c r="B68" s="27">
        <v>435</v>
      </c>
      <c r="C68" s="20" t="s">
        <v>514</v>
      </c>
      <c r="D68" s="24" t="s">
        <v>42</v>
      </c>
      <c r="E68" s="25">
        <v>90</v>
      </c>
      <c r="F68" s="27" t="s">
        <v>1184</v>
      </c>
      <c r="G68" s="180">
        <v>22.2</v>
      </c>
      <c r="H68" s="150">
        <f t="shared" si="8"/>
        <v>1998</v>
      </c>
      <c r="I68" s="306">
        <v>1.5</v>
      </c>
      <c r="J68" s="155">
        <v>5.76</v>
      </c>
      <c r="K68" s="156">
        <v>0</v>
      </c>
      <c r="L68" s="157">
        <v>0</v>
      </c>
      <c r="M68" s="153">
        <f t="shared" si="9"/>
        <v>5.76</v>
      </c>
      <c r="N68" s="166">
        <v>0.21</v>
      </c>
      <c r="O68" s="167">
        <v>0.1</v>
      </c>
      <c r="P68" s="168">
        <v>0.2</v>
      </c>
      <c r="Q68" s="309">
        <f t="shared" si="0"/>
        <v>135</v>
      </c>
      <c r="R68" s="152">
        <f t="shared" si="1"/>
        <v>518.4</v>
      </c>
      <c r="S68" s="154">
        <f t="shared" si="2"/>
        <v>0</v>
      </c>
      <c r="T68" s="169">
        <f t="shared" si="3"/>
        <v>0</v>
      </c>
      <c r="U68" s="153">
        <f t="shared" si="4"/>
        <v>518.4</v>
      </c>
      <c r="V68" s="166">
        <f t="shared" si="5"/>
        <v>18.899999999999999</v>
      </c>
      <c r="W68" s="167">
        <f t="shared" si="6"/>
        <v>9</v>
      </c>
      <c r="X68" s="168">
        <f t="shared" si="7"/>
        <v>18</v>
      </c>
      <c r="Y68" s="14"/>
    </row>
    <row r="69" spans="1:25" ht="12" customHeight="1">
      <c r="A69" s="232"/>
      <c r="B69" s="27"/>
      <c r="C69" s="20" t="s">
        <v>514</v>
      </c>
      <c r="D69" s="24" t="s">
        <v>42</v>
      </c>
      <c r="E69" s="25">
        <v>90</v>
      </c>
      <c r="F69" s="27" t="s">
        <v>1185</v>
      </c>
      <c r="G69" s="180">
        <v>22.2</v>
      </c>
      <c r="H69" s="150">
        <f t="shared" si="8"/>
        <v>1998</v>
      </c>
      <c r="I69" s="306">
        <v>1.5</v>
      </c>
      <c r="J69" s="155">
        <v>5.76</v>
      </c>
      <c r="K69" s="156">
        <v>0</v>
      </c>
      <c r="L69" s="157">
        <v>0</v>
      </c>
      <c r="M69" s="153">
        <f t="shared" si="9"/>
        <v>5.76</v>
      </c>
      <c r="N69" s="166">
        <v>0.21</v>
      </c>
      <c r="O69" s="167">
        <v>0.1</v>
      </c>
      <c r="P69" s="168">
        <v>0.2</v>
      </c>
      <c r="Q69" s="309">
        <f t="shared" si="0"/>
        <v>135</v>
      </c>
      <c r="R69" s="152">
        <f t="shared" si="1"/>
        <v>518.4</v>
      </c>
      <c r="S69" s="154">
        <f t="shared" si="2"/>
        <v>0</v>
      </c>
      <c r="T69" s="169">
        <f t="shared" si="3"/>
        <v>0</v>
      </c>
      <c r="U69" s="153">
        <f t="shared" si="4"/>
        <v>518.4</v>
      </c>
      <c r="V69" s="166">
        <f t="shared" si="5"/>
        <v>18.899999999999999</v>
      </c>
      <c r="W69" s="167">
        <f t="shared" si="6"/>
        <v>9</v>
      </c>
      <c r="X69" s="168">
        <f t="shared" si="7"/>
        <v>18</v>
      </c>
      <c r="Y69" s="14"/>
    </row>
    <row r="70" spans="1:25" ht="12" customHeight="1">
      <c r="A70" s="232">
        <v>40282</v>
      </c>
      <c r="B70" s="27">
        <v>436</v>
      </c>
      <c r="C70" s="24" t="s">
        <v>1186</v>
      </c>
      <c r="D70" s="24"/>
      <c r="E70" s="25">
        <v>13</v>
      </c>
      <c r="F70" s="27" t="s">
        <v>1187</v>
      </c>
      <c r="G70" s="180">
        <v>48</v>
      </c>
      <c r="H70" s="150">
        <f t="shared" si="8"/>
        <v>624</v>
      </c>
      <c r="I70" s="306">
        <v>3.5</v>
      </c>
      <c r="J70" s="155">
        <v>16.34</v>
      </c>
      <c r="K70" s="156">
        <v>2.5</v>
      </c>
      <c r="L70" s="157">
        <v>0.38</v>
      </c>
      <c r="M70" s="153">
        <f t="shared" si="9"/>
        <v>18.84</v>
      </c>
      <c r="N70" s="166">
        <v>0.28999999999999998</v>
      </c>
      <c r="O70" s="167">
        <v>0.25</v>
      </c>
      <c r="P70" s="168">
        <v>0.1</v>
      </c>
      <c r="Q70" s="309">
        <f t="shared" si="0"/>
        <v>45.5</v>
      </c>
      <c r="R70" s="152">
        <f t="shared" si="1"/>
        <v>212.42</v>
      </c>
      <c r="S70" s="154">
        <f t="shared" si="2"/>
        <v>32.5</v>
      </c>
      <c r="T70" s="169">
        <f t="shared" si="3"/>
        <v>4.9400000000000004</v>
      </c>
      <c r="U70" s="153">
        <f t="shared" si="4"/>
        <v>244.92</v>
      </c>
      <c r="V70" s="166">
        <f t="shared" si="5"/>
        <v>3.7699999999999996</v>
      </c>
      <c r="W70" s="167">
        <f t="shared" si="6"/>
        <v>3.25</v>
      </c>
      <c r="X70" s="168">
        <f t="shared" si="7"/>
        <v>1.3</v>
      </c>
      <c r="Y70" s="14"/>
    </row>
    <row r="71" spans="1:25" ht="12" customHeight="1">
      <c r="A71" s="232"/>
      <c r="B71" s="27"/>
      <c r="C71" s="24" t="s">
        <v>1186</v>
      </c>
      <c r="D71" s="24"/>
      <c r="E71" s="25">
        <v>5</v>
      </c>
      <c r="F71" s="27" t="s">
        <v>1188</v>
      </c>
      <c r="G71" s="180">
        <v>48</v>
      </c>
      <c r="H71" s="150">
        <f t="shared" si="8"/>
        <v>240</v>
      </c>
      <c r="I71" s="306">
        <v>3.5</v>
      </c>
      <c r="J71" s="155">
        <v>16.34</v>
      </c>
      <c r="K71" s="156">
        <v>2.5</v>
      </c>
      <c r="L71" s="157">
        <v>0.38</v>
      </c>
      <c r="M71" s="153">
        <f t="shared" si="9"/>
        <v>18.84</v>
      </c>
      <c r="N71" s="166">
        <v>0.28999999999999998</v>
      </c>
      <c r="O71" s="167">
        <v>0.25</v>
      </c>
      <c r="P71" s="168">
        <v>0.1</v>
      </c>
      <c r="Q71" s="309">
        <f t="shared" si="0"/>
        <v>17.5</v>
      </c>
      <c r="R71" s="152">
        <f t="shared" si="1"/>
        <v>81.7</v>
      </c>
      <c r="S71" s="154">
        <f t="shared" si="2"/>
        <v>12.5</v>
      </c>
      <c r="T71" s="169">
        <f t="shared" si="3"/>
        <v>1.9</v>
      </c>
      <c r="U71" s="153">
        <f t="shared" si="4"/>
        <v>94.2</v>
      </c>
      <c r="V71" s="166">
        <f t="shared" si="5"/>
        <v>1.45</v>
      </c>
      <c r="W71" s="167">
        <f t="shared" si="6"/>
        <v>1.25</v>
      </c>
      <c r="X71" s="168">
        <f t="shared" si="7"/>
        <v>0.5</v>
      </c>
      <c r="Y71" s="14"/>
    </row>
    <row r="72" spans="1:25" ht="12" customHeight="1">
      <c r="A72" s="232">
        <v>40282</v>
      </c>
      <c r="B72" s="27">
        <v>437</v>
      </c>
      <c r="C72" s="24" t="s">
        <v>23</v>
      </c>
      <c r="D72" s="24" t="s">
        <v>24</v>
      </c>
      <c r="E72" s="25">
        <v>60</v>
      </c>
      <c r="F72" s="27" t="s">
        <v>1189</v>
      </c>
      <c r="G72" s="180">
        <v>41</v>
      </c>
      <c r="H72" s="150">
        <f t="shared" si="8"/>
        <v>2460</v>
      </c>
      <c r="I72" s="306">
        <v>5</v>
      </c>
      <c r="J72" s="155">
        <v>15.7</v>
      </c>
      <c r="K72" s="156">
        <v>2.5</v>
      </c>
      <c r="L72" s="157">
        <v>0.38</v>
      </c>
      <c r="M72" s="153">
        <f t="shared" si="9"/>
        <v>18.2</v>
      </c>
      <c r="N72" s="166">
        <v>0.57999999999999996</v>
      </c>
      <c r="O72" s="167">
        <v>0.1</v>
      </c>
      <c r="P72" s="168">
        <v>0.1</v>
      </c>
      <c r="Q72" s="309">
        <f t="shared" si="0"/>
        <v>300</v>
      </c>
      <c r="R72" s="152">
        <f t="shared" si="1"/>
        <v>942</v>
      </c>
      <c r="S72" s="154">
        <f t="shared" si="2"/>
        <v>150</v>
      </c>
      <c r="T72" s="169">
        <f t="shared" si="3"/>
        <v>22.8</v>
      </c>
      <c r="U72" s="153">
        <f t="shared" si="4"/>
        <v>1092</v>
      </c>
      <c r="V72" s="166">
        <f t="shared" si="5"/>
        <v>34.799999999999997</v>
      </c>
      <c r="W72" s="167">
        <f t="shared" si="6"/>
        <v>6</v>
      </c>
      <c r="X72" s="168">
        <f t="shared" si="7"/>
        <v>6</v>
      </c>
      <c r="Y72" s="15"/>
    </row>
    <row r="73" spans="1:25" ht="12" customHeight="1">
      <c r="A73" s="232">
        <v>40283</v>
      </c>
      <c r="B73" s="27">
        <v>438</v>
      </c>
      <c r="C73" s="24" t="s">
        <v>49</v>
      </c>
      <c r="D73" s="24"/>
      <c r="E73" s="25">
        <v>20</v>
      </c>
      <c r="F73" s="27" t="s">
        <v>1190</v>
      </c>
      <c r="G73" s="180">
        <v>7.5</v>
      </c>
      <c r="H73" s="150">
        <f t="shared" ref="H73:H136" si="10">E73*G73</f>
        <v>150</v>
      </c>
      <c r="I73" s="306">
        <v>0.8</v>
      </c>
      <c r="J73" s="155">
        <v>1.43</v>
      </c>
      <c r="K73" s="156">
        <v>0</v>
      </c>
      <c r="L73" s="157">
        <v>0</v>
      </c>
      <c r="M73" s="153">
        <f t="shared" si="9"/>
        <v>1.43</v>
      </c>
      <c r="N73" s="166">
        <v>0.17</v>
      </c>
      <c r="O73" s="167">
        <v>0.1</v>
      </c>
      <c r="P73" s="168">
        <v>0.1</v>
      </c>
      <c r="Q73" s="309">
        <f t="shared" si="0"/>
        <v>16</v>
      </c>
      <c r="R73" s="152">
        <f t="shared" si="1"/>
        <v>28.599999999999998</v>
      </c>
      <c r="S73" s="154">
        <f t="shared" si="2"/>
        <v>0</v>
      </c>
      <c r="T73" s="169">
        <f t="shared" si="3"/>
        <v>0</v>
      </c>
      <c r="U73" s="153">
        <f t="shared" si="4"/>
        <v>28.599999999999998</v>
      </c>
      <c r="V73" s="166">
        <f t="shared" si="5"/>
        <v>3.4000000000000004</v>
      </c>
      <c r="W73" s="167">
        <f t="shared" si="6"/>
        <v>2</v>
      </c>
      <c r="X73" s="168">
        <f t="shared" si="7"/>
        <v>2</v>
      </c>
      <c r="Y73" s="14"/>
    </row>
    <row r="74" spans="1:25" ht="12" customHeight="1">
      <c r="A74" s="232">
        <v>40283</v>
      </c>
      <c r="B74" s="27">
        <v>439</v>
      </c>
      <c r="C74" s="24" t="s">
        <v>469</v>
      </c>
      <c r="D74" s="24" t="s">
        <v>59</v>
      </c>
      <c r="E74" s="25">
        <v>5</v>
      </c>
      <c r="F74" s="27" t="s">
        <v>1191</v>
      </c>
      <c r="G74" s="180">
        <v>10</v>
      </c>
      <c r="H74" s="150">
        <f t="shared" si="10"/>
        <v>50</v>
      </c>
      <c r="I74" s="306">
        <v>0.5</v>
      </c>
      <c r="J74" s="155">
        <v>0.37</v>
      </c>
      <c r="K74" s="156">
        <v>1.5</v>
      </c>
      <c r="L74" s="157">
        <v>0.23</v>
      </c>
      <c r="M74" s="153">
        <f t="shared" ref="M74:M138" si="11">J74+K74</f>
        <v>1.87</v>
      </c>
      <c r="N74" s="166">
        <v>0.25</v>
      </c>
      <c r="O74" s="167">
        <v>0.1</v>
      </c>
      <c r="P74" s="168">
        <v>0.1</v>
      </c>
      <c r="Q74" s="309">
        <f t="shared" si="0"/>
        <v>2.5</v>
      </c>
      <c r="R74" s="152">
        <f t="shared" si="1"/>
        <v>1.85</v>
      </c>
      <c r="S74" s="154">
        <f t="shared" si="2"/>
        <v>7.5</v>
      </c>
      <c r="T74" s="169">
        <f t="shared" si="3"/>
        <v>1.1500000000000001</v>
      </c>
      <c r="U74" s="153">
        <f t="shared" si="4"/>
        <v>9.3500000000000014</v>
      </c>
      <c r="V74" s="166">
        <f t="shared" si="5"/>
        <v>1.25</v>
      </c>
      <c r="W74" s="167">
        <f t="shared" si="6"/>
        <v>0.5</v>
      </c>
      <c r="X74" s="168">
        <f t="shared" si="7"/>
        <v>0.5</v>
      </c>
      <c r="Y74" s="14"/>
    </row>
    <row r="75" spans="1:25" ht="12" customHeight="1">
      <c r="A75" s="232">
        <v>40284</v>
      </c>
      <c r="B75" s="27">
        <v>440</v>
      </c>
      <c r="C75" s="24" t="s">
        <v>1050</v>
      </c>
      <c r="D75" s="24" t="s">
        <v>245</v>
      </c>
      <c r="E75" s="25">
        <v>49</v>
      </c>
      <c r="F75" s="27" t="s">
        <v>1192</v>
      </c>
      <c r="G75" s="180">
        <v>45</v>
      </c>
      <c r="H75" s="150">
        <f t="shared" si="10"/>
        <v>2205</v>
      </c>
      <c r="I75" s="306">
        <v>5.5</v>
      </c>
      <c r="J75" s="155">
        <v>8.01</v>
      </c>
      <c r="K75" s="156">
        <v>0</v>
      </c>
      <c r="L75" s="157">
        <v>0</v>
      </c>
      <c r="M75" s="153">
        <f t="shared" si="11"/>
        <v>8.01</v>
      </c>
      <c r="N75" s="166">
        <v>0.57999999999999996</v>
      </c>
      <c r="O75" s="167">
        <v>0.2</v>
      </c>
      <c r="P75" s="168">
        <v>0.2</v>
      </c>
      <c r="Q75" s="309">
        <f t="shared" si="0"/>
        <v>269.5</v>
      </c>
      <c r="R75" s="152">
        <f t="shared" si="1"/>
        <v>392.49</v>
      </c>
      <c r="S75" s="154">
        <f t="shared" si="2"/>
        <v>0</v>
      </c>
      <c r="T75" s="169">
        <f t="shared" si="3"/>
        <v>0</v>
      </c>
      <c r="U75" s="153">
        <f t="shared" si="4"/>
        <v>392.49</v>
      </c>
      <c r="V75" s="166">
        <f t="shared" si="5"/>
        <v>28.419999999999998</v>
      </c>
      <c r="W75" s="167">
        <f t="shared" si="6"/>
        <v>9.8000000000000007</v>
      </c>
      <c r="X75" s="168">
        <f t="shared" si="7"/>
        <v>9.8000000000000007</v>
      </c>
      <c r="Y75" s="14"/>
    </row>
    <row r="76" spans="1:25" ht="12" customHeight="1">
      <c r="A76" s="232"/>
      <c r="B76" s="27"/>
      <c r="C76" s="24" t="s">
        <v>1050</v>
      </c>
      <c r="D76" s="24" t="s">
        <v>245</v>
      </c>
      <c r="E76" s="25">
        <v>49</v>
      </c>
      <c r="F76" s="27" t="s">
        <v>1193</v>
      </c>
      <c r="G76" s="180">
        <v>13</v>
      </c>
      <c r="H76" s="150">
        <f t="shared" si="10"/>
        <v>637</v>
      </c>
      <c r="I76" s="306">
        <v>1</v>
      </c>
      <c r="J76" s="155">
        <v>2.5499999999999998</v>
      </c>
      <c r="K76" s="156">
        <v>0</v>
      </c>
      <c r="L76" s="157">
        <v>0</v>
      </c>
      <c r="M76" s="153">
        <f t="shared" si="11"/>
        <v>2.5499999999999998</v>
      </c>
      <c r="N76" s="166">
        <v>0.28999999999999998</v>
      </c>
      <c r="O76" s="167">
        <v>0.1</v>
      </c>
      <c r="P76" s="168">
        <v>0.1</v>
      </c>
      <c r="Q76" s="309">
        <f t="shared" si="0"/>
        <v>49</v>
      </c>
      <c r="R76" s="152">
        <f t="shared" si="1"/>
        <v>124.94999999999999</v>
      </c>
      <c r="S76" s="154">
        <f t="shared" si="2"/>
        <v>0</v>
      </c>
      <c r="T76" s="169">
        <f t="shared" si="3"/>
        <v>0</v>
      </c>
      <c r="U76" s="153">
        <f t="shared" si="4"/>
        <v>124.94999999999999</v>
      </c>
      <c r="V76" s="166">
        <f t="shared" si="5"/>
        <v>14.209999999999999</v>
      </c>
      <c r="W76" s="167">
        <f t="shared" si="6"/>
        <v>4.9000000000000004</v>
      </c>
      <c r="X76" s="168">
        <f t="shared" si="7"/>
        <v>4.9000000000000004</v>
      </c>
      <c r="Y76" s="14"/>
    </row>
    <row r="77" spans="1:25" ht="12" customHeight="1">
      <c r="A77" s="232"/>
      <c r="B77" s="27"/>
      <c r="C77" s="24" t="s">
        <v>1050</v>
      </c>
      <c r="D77" s="24" t="s">
        <v>245</v>
      </c>
      <c r="E77" s="25">
        <v>3</v>
      </c>
      <c r="F77" s="23" t="s">
        <v>1194</v>
      </c>
      <c r="G77" s="180">
        <v>49.5</v>
      </c>
      <c r="H77" s="150">
        <f t="shared" si="10"/>
        <v>148.5</v>
      </c>
      <c r="I77" s="306">
        <v>5.5</v>
      </c>
      <c r="J77" s="155">
        <v>10.210000000000001</v>
      </c>
      <c r="K77" s="156">
        <v>0</v>
      </c>
      <c r="L77" s="157">
        <v>0</v>
      </c>
      <c r="M77" s="153">
        <f t="shared" si="11"/>
        <v>10.210000000000001</v>
      </c>
      <c r="N77" s="166">
        <v>0.63</v>
      </c>
      <c r="O77" s="167">
        <v>0.2</v>
      </c>
      <c r="P77" s="168">
        <v>0.2</v>
      </c>
      <c r="Q77" s="309">
        <f t="shared" ref="Q77:Q140" si="12">E77*I77</f>
        <v>16.5</v>
      </c>
      <c r="R77" s="152">
        <f t="shared" ref="R77:R140" si="13">E77*J77</f>
        <v>30.630000000000003</v>
      </c>
      <c r="S77" s="154">
        <f t="shared" ref="S77:S140" si="14">E77*K77</f>
        <v>0</v>
      </c>
      <c r="T77" s="169">
        <f t="shared" ref="T77:T140" si="15">E77*L77</f>
        <v>0</v>
      </c>
      <c r="U77" s="153">
        <f t="shared" ref="U77:U140" si="16">E77*M77</f>
        <v>30.630000000000003</v>
      </c>
      <c r="V77" s="166">
        <f t="shared" ref="V77:V140" si="17">N77*E77</f>
        <v>1.8900000000000001</v>
      </c>
      <c r="W77" s="167">
        <f t="shared" ref="W77:W140" si="18">O77*E77</f>
        <v>0.60000000000000009</v>
      </c>
      <c r="X77" s="168">
        <f t="shared" ref="X77:X140" si="19">P77*E77</f>
        <v>0.60000000000000009</v>
      </c>
      <c r="Y77" s="14"/>
    </row>
    <row r="78" spans="1:25" ht="12" customHeight="1">
      <c r="A78" s="232"/>
      <c r="B78" s="27"/>
      <c r="C78" s="24" t="s">
        <v>1050</v>
      </c>
      <c r="D78" s="24" t="s">
        <v>245</v>
      </c>
      <c r="E78" s="25">
        <v>8</v>
      </c>
      <c r="F78" s="196" t="s">
        <v>1195</v>
      </c>
      <c r="G78" s="180">
        <v>37.5</v>
      </c>
      <c r="H78" s="150">
        <f t="shared" si="10"/>
        <v>300</v>
      </c>
      <c r="I78" s="306">
        <v>5.5</v>
      </c>
      <c r="J78" s="155">
        <v>8.01</v>
      </c>
      <c r="K78" s="156">
        <v>0</v>
      </c>
      <c r="L78" s="157">
        <v>0</v>
      </c>
      <c r="M78" s="153">
        <f>J78+K78</f>
        <v>8.01</v>
      </c>
      <c r="N78" s="166">
        <v>0.57999999999999996</v>
      </c>
      <c r="O78" s="167">
        <v>0.2</v>
      </c>
      <c r="P78" s="168">
        <v>0.2</v>
      </c>
      <c r="Q78" s="309">
        <f t="shared" si="12"/>
        <v>44</v>
      </c>
      <c r="R78" s="178">
        <f t="shared" si="13"/>
        <v>64.08</v>
      </c>
      <c r="S78" s="154">
        <f t="shared" si="14"/>
        <v>0</v>
      </c>
      <c r="T78" s="169">
        <f t="shared" si="15"/>
        <v>0</v>
      </c>
      <c r="U78" s="179">
        <f t="shared" si="16"/>
        <v>64.08</v>
      </c>
      <c r="V78" s="166">
        <f t="shared" si="17"/>
        <v>4.6399999999999997</v>
      </c>
      <c r="W78" s="167">
        <f t="shared" si="18"/>
        <v>1.6</v>
      </c>
      <c r="X78" s="168">
        <f t="shared" si="19"/>
        <v>1.6</v>
      </c>
      <c r="Y78" s="14"/>
    </row>
    <row r="79" spans="1:25" ht="12" customHeight="1">
      <c r="A79" s="232"/>
      <c r="B79" s="27"/>
      <c r="C79" s="24" t="s">
        <v>1050</v>
      </c>
      <c r="D79" s="24" t="s">
        <v>245</v>
      </c>
      <c r="E79" s="25">
        <v>430</v>
      </c>
      <c r="F79" s="27" t="s">
        <v>1196</v>
      </c>
      <c r="G79" s="180">
        <v>59.75</v>
      </c>
      <c r="H79" s="150">
        <f t="shared" si="10"/>
        <v>25692.5</v>
      </c>
      <c r="I79" s="306">
        <v>6</v>
      </c>
      <c r="J79" s="155">
        <v>7.59</v>
      </c>
      <c r="K79" s="156">
        <v>1.5</v>
      </c>
      <c r="L79" s="157">
        <v>0.23</v>
      </c>
      <c r="M79" s="153">
        <f t="shared" si="11"/>
        <v>9.09</v>
      </c>
      <c r="N79" s="166">
        <v>0.57999999999999996</v>
      </c>
      <c r="O79" s="167">
        <v>0.2</v>
      </c>
      <c r="P79" s="168">
        <v>0.2</v>
      </c>
      <c r="Q79" s="309">
        <f t="shared" si="12"/>
        <v>2580</v>
      </c>
      <c r="R79" s="152">
        <f t="shared" si="13"/>
        <v>3263.7</v>
      </c>
      <c r="S79" s="154">
        <f t="shared" si="14"/>
        <v>645</v>
      </c>
      <c r="T79" s="169">
        <f t="shared" si="15"/>
        <v>98.9</v>
      </c>
      <c r="U79" s="153">
        <f t="shared" si="16"/>
        <v>3908.7</v>
      </c>
      <c r="V79" s="166">
        <f t="shared" si="17"/>
        <v>249.39999999999998</v>
      </c>
      <c r="W79" s="167">
        <f t="shared" si="18"/>
        <v>86</v>
      </c>
      <c r="X79" s="168">
        <f t="shared" si="19"/>
        <v>86</v>
      </c>
      <c r="Y79" s="14"/>
    </row>
    <row r="80" spans="1:25" ht="12" customHeight="1">
      <c r="A80" s="232">
        <v>40287</v>
      </c>
      <c r="B80" s="27">
        <v>441</v>
      </c>
      <c r="C80" s="24" t="s">
        <v>1050</v>
      </c>
      <c r="D80" s="24" t="s">
        <v>245</v>
      </c>
      <c r="E80" s="25">
        <v>10</v>
      </c>
      <c r="F80" s="27" t="s">
        <v>1197</v>
      </c>
      <c r="G80" s="180">
        <v>67.5</v>
      </c>
      <c r="H80" s="150">
        <f t="shared" si="10"/>
        <v>675</v>
      </c>
      <c r="I80" s="306">
        <v>7.5</v>
      </c>
      <c r="J80" s="155">
        <v>24.32</v>
      </c>
      <c r="K80" s="156">
        <v>0</v>
      </c>
      <c r="L80" s="157">
        <v>0</v>
      </c>
      <c r="M80" s="153">
        <f t="shared" si="11"/>
        <v>24.32</v>
      </c>
      <c r="N80" s="166">
        <v>0.83</v>
      </c>
      <c r="O80" s="167">
        <v>0.2</v>
      </c>
      <c r="P80" s="168">
        <v>0.2</v>
      </c>
      <c r="Q80" s="309">
        <f t="shared" si="12"/>
        <v>75</v>
      </c>
      <c r="R80" s="152">
        <f t="shared" si="13"/>
        <v>243.2</v>
      </c>
      <c r="S80" s="154">
        <f t="shared" si="14"/>
        <v>0</v>
      </c>
      <c r="T80" s="169">
        <f t="shared" si="15"/>
        <v>0</v>
      </c>
      <c r="U80" s="153">
        <f t="shared" si="16"/>
        <v>243.2</v>
      </c>
      <c r="V80" s="166">
        <f t="shared" si="17"/>
        <v>8.2999999999999989</v>
      </c>
      <c r="W80" s="167">
        <f t="shared" si="18"/>
        <v>2</v>
      </c>
      <c r="X80" s="168">
        <f t="shared" si="19"/>
        <v>2</v>
      </c>
      <c r="Y80" s="14"/>
    </row>
    <row r="81" spans="1:25" ht="12" customHeight="1">
      <c r="A81" s="232"/>
      <c r="B81" s="27"/>
      <c r="C81" s="24" t="s">
        <v>1050</v>
      </c>
      <c r="D81" s="24" t="s">
        <v>245</v>
      </c>
      <c r="E81" s="25">
        <v>10</v>
      </c>
      <c r="F81" s="27" t="s">
        <v>1198</v>
      </c>
      <c r="G81" s="180">
        <v>45</v>
      </c>
      <c r="H81" s="150">
        <f t="shared" si="10"/>
        <v>450</v>
      </c>
      <c r="I81" s="306">
        <v>5.5</v>
      </c>
      <c r="J81" s="155">
        <v>9.52</v>
      </c>
      <c r="K81" s="156">
        <v>0</v>
      </c>
      <c r="L81" s="182">
        <v>0</v>
      </c>
      <c r="M81" s="153">
        <f t="shared" si="11"/>
        <v>9.52</v>
      </c>
      <c r="N81" s="166">
        <v>0.57999999999999996</v>
      </c>
      <c r="O81" s="167">
        <v>0.2</v>
      </c>
      <c r="P81" s="168">
        <v>0.2</v>
      </c>
      <c r="Q81" s="309">
        <f t="shared" si="12"/>
        <v>55</v>
      </c>
      <c r="R81" s="152">
        <f t="shared" si="13"/>
        <v>95.199999999999989</v>
      </c>
      <c r="S81" s="154">
        <f t="shared" si="14"/>
        <v>0</v>
      </c>
      <c r="T81" s="169">
        <f t="shared" si="15"/>
        <v>0</v>
      </c>
      <c r="U81" s="153">
        <f t="shared" si="16"/>
        <v>95.199999999999989</v>
      </c>
      <c r="V81" s="166">
        <f t="shared" si="17"/>
        <v>5.8</v>
      </c>
      <c r="W81" s="167">
        <f t="shared" si="18"/>
        <v>2</v>
      </c>
      <c r="X81" s="168">
        <f t="shared" si="19"/>
        <v>2</v>
      </c>
      <c r="Y81" s="14"/>
    </row>
    <row r="82" spans="1:25" ht="12" customHeight="1">
      <c r="A82" s="232"/>
      <c r="B82" s="27"/>
      <c r="C82" s="24" t="s">
        <v>1050</v>
      </c>
      <c r="D82" s="24" t="s">
        <v>245</v>
      </c>
      <c r="E82" s="25">
        <v>10</v>
      </c>
      <c r="F82" s="27" t="s">
        <v>1199</v>
      </c>
      <c r="G82" s="180">
        <v>98.6</v>
      </c>
      <c r="H82" s="150">
        <f t="shared" si="10"/>
        <v>986</v>
      </c>
      <c r="I82" s="307">
        <v>8</v>
      </c>
      <c r="J82" s="155">
        <v>18.22</v>
      </c>
      <c r="K82" s="156">
        <v>0</v>
      </c>
      <c r="L82" s="182">
        <v>0</v>
      </c>
      <c r="M82" s="153">
        <f t="shared" si="11"/>
        <v>18.22</v>
      </c>
      <c r="N82" s="166">
        <v>1.25</v>
      </c>
      <c r="O82" s="167">
        <v>0.1</v>
      </c>
      <c r="P82" s="168">
        <v>0.1</v>
      </c>
      <c r="Q82" s="309">
        <f t="shared" si="12"/>
        <v>80</v>
      </c>
      <c r="R82" s="152">
        <f t="shared" si="13"/>
        <v>182.2</v>
      </c>
      <c r="S82" s="154">
        <f t="shared" si="14"/>
        <v>0</v>
      </c>
      <c r="T82" s="169">
        <f t="shared" si="15"/>
        <v>0</v>
      </c>
      <c r="U82" s="153">
        <f t="shared" si="16"/>
        <v>182.2</v>
      </c>
      <c r="V82" s="166">
        <f t="shared" si="17"/>
        <v>12.5</v>
      </c>
      <c r="W82" s="167">
        <f t="shared" si="18"/>
        <v>1</v>
      </c>
      <c r="X82" s="168">
        <f t="shared" si="19"/>
        <v>1</v>
      </c>
      <c r="Y82" s="14"/>
    </row>
    <row r="83" spans="1:25" ht="12" customHeight="1">
      <c r="A83" s="232"/>
      <c r="B83" s="27"/>
      <c r="C83" s="24" t="s">
        <v>1050</v>
      </c>
      <c r="D83" s="24" t="s">
        <v>245</v>
      </c>
      <c r="E83" s="25">
        <v>4</v>
      </c>
      <c r="F83" s="27" t="s">
        <v>1200</v>
      </c>
      <c r="G83" s="180">
        <v>45</v>
      </c>
      <c r="H83" s="150">
        <f t="shared" si="10"/>
        <v>180</v>
      </c>
      <c r="I83" s="306">
        <v>7</v>
      </c>
      <c r="J83" s="155">
        <v>15.12</v>
      </c>
      <c r="K83" s="156">
        <v>0</v>
      </c>
      <c r="L83" s="157">
        <v>0</v>
      </c>
      <c r="M83" s="153">
        <f t="shared" si="11"/>
        <v>15.12</v>
      </c>
      <c r="N83" s="166">
        <v>0.57999999999999996</v>
      </c>
      <c r="O83" s="167">
        <v>0.2</v>
      </c>
      <c r="P83" s="168">
        <v>0.2</v>
      </c>
      <c r="Q83" s="309">
        <f t="shared" si="12"/>
        <v>28</v>
      </c>
      <c r="R83" s="152">
        <f t="shared" si="13"/>
        <v>60.48</v>
      </c>
      <c r="S83" s="154">
        <f t="shared" si="14"/>
        <v>0</v>
      </c>
      <c r="T83" s="169">
        <f t="shared" si="15"/>
        <v>0</v>
      </c>
      <c r="U83" s="153">
        <f t="shared" si="16"/>
        <v>60.48</v>
      </c>
      <c r="V83" s="166">
        <f t="shared" si="17"/>
        <v>2.3199999999999998</v>
      </c>
      <c r="W83" s="167">
        <f t="shared" si="18"/>
        <v>0.8</v>
      </c>
      <c r="X83" s="168">
        <f t="shared" si="19"/>
        <v>0.8</v>
      </c>
      <c r="Y83" s="14"/>
    </row>
    <row r="84" spans="1:25" ht="12" customHeight="1">
      <c r="A84" s="232">
        <v>40287</v>
      </c>
      <c r="B84" s="27">
        <v>442</v>
      </c>
      <c r="C84" s="24" t="s">
        <v>1050</v>
      </c>
      <c r="D84" s="24" t="s">
        <v>245</v>
      </c>
      <c r="E84" s="25">
        <v>2</v>
      </c>
      <c r="F84" s="27" t="s">
        <v>1201</v>
      </c>
      <c r="G84" s="180">
        <v>60</v>
      </c>
      <c r="H84" s="150">
        <f t="shared" si="10"/>
        <v>120</v>
      </c>
      <c r="I84" s="306">
        <v>8.5</v>
      </c>
      <c r="J84" s="155">
        <v>11.07</v>
      </c>
      <c r="K84" s="156">
        <v>0</v>
      </c>
      <c r="L84" s="157">
        <v>0</v>
      </c>
      <c r="M84" s="153">
        <f t="shared" si="11"/>
        <v>11.07</v>
      </c>
      <c r="N84" s="166">
        <v>0.83</v>
      </c>
      <c r="O84" s="167">
        <v>0.2</v>
      </c>
      <c r="P84" s="168">
        <v>0.2</v>
      </c>
      <c r="Q84" s="309">
        <f t="shared" si="12"/>
        <v>17</v>
      </c>
      <c r="R84" s="152">
        <f t="shared" si="13"/>
        <v>22.14</v>
      </c>
      <c r="S84" s="154">
        <f t="shared" si="14"/>
        <v>0</v>
      </c>
      <c r="T84" s="169">
        <f t="shared" si="15"/>
        <v>0</v>
      </c>
      <c r="U84" s="153">
        <f t="shared" si="16"/>
        <v>22.14</v>
      </c>
      <c r="V84" s="166">
        <f t="shared" si="17"/>
        <v>1.66</v>
      </c>
      <c r="W84" s="167">
        <f t="shared" si="18"/>
        <v>0.4</v>
      </c>
      <c r="X84" s="168">
        <f t="shared" si="19"/>
        <v>0.4</v>
      </c>
      <c r="Y84" s="14"/>
    </row>
    <row r="85" spans="1:25" ht="12" customHeight="1">
      <c r="A85" s="232"/>
      <c r="B85" s="27"/>
      <c r="C85" s="24" t="s">
        <v>1050</v>
      </c>
      <c r="D85" s="24" t="s">
        <v>245</v>
      </c>
      <c r="E85" s="25">
        <v>2</v>
      </c>
      <c r="F85" s="27" t="s">
        <v>1202</v>
      </c>
      <c r="G85" s="180">
        <v>27</v>
      </c>
      <c r="H85" s="150">
        <f t="shared" si="10"/>
        <v>54</v>
      </c>
      <c r="I85" s="306">
        <v>3</v>
      </c>
      <c r="J85" s="155">
        <v>8.49</v>
      </c>
      <c r="K85" s="156">
        <v>0</v>
      </c>
      <c r="L85" s="157">
        <v>0</v>
      </c>
      <c r="M85" s="153">
        <f t="shared" si="11"/>
        <v>8.49</v>
      </c>
      <c r="N85" s="166">
        <v>0.28999999999999998</v>
      </c>
      <c r="O85" s="167">
        <v>0.2</v>
      </c>
      <c r="P85" s="168">
        <v>0.2</v>
      </c>
      <c r="Q85" s="309">
        <f t="shared" si="12"/>
        <v>6</v>
      </c>
      <c r="R85" s="178">
        <f t="shared" si="13"/>
        <v>16.98</v>
      </c>
      <c r="S85" s="154">
        <f t="shared" si="14"/>
        <v>0</v>
      </c>
      <c r="T85" s="169">
        <f t="shared" si="15"/>
        <v>0</v>
      </c>
      <c r="U85" s="179">
        <f t="shared" si="16"/>
        <v>16.98</v>
      </c>
      <c r="V85" s="166">
        <f t="shared" si="17"/>
        <v>0.57999999999999996</v>
      </c>
      <c r="W85" s="167">
        <f t="shared" si="18"/>
        <v>0.4</v>
      </c>
      <c r="X85" s="168">
        <f t="shared" si="19"/>
        <v>0.4</v>
      </c>
      <c r="Y85" s="14"/>
    </row>
    <row r="86" spans="1:25" ht="12" customHeight="1">
      <c r="A86" s="232"/>
      <c r="B86" s="27"/>
      <c r="C86" s="24" t="s">
        <v>1050</v>
      </c>
      <c r="D86" s="24" t="s">
        <v>245</v>
      </c>
      <c r="E86" s="25">
        <v>12</v>
      </c>
      <c r="F86" s="27" t="s">
        <v>1203</v>
      </c>
      <c r="G86" s="180">
        <v>15</v>
      </c>
      <c r="H86" s="150">
        <f t="shared" si="10"/>
        <v>180</v>
      </c>
      <c r="I86" s="306">
        <v>2.5</v>
      </c>
      <c r="J86" s="155">
        <v>4.29</v>
      </c>
      <c r="K86" s="156">
        <v>0</v>
      </c>
      <c r="L86" s="157">
        <v>0</v>
      </c>
      <c r="M86" s="153">
        <f t="shared" si="11"/>
        <v>4.29</v>
      </c>
      <c r="N86" s="166">
        <v>0.21</v>
      </c>
      <c r="O86" s="167">
        <v>0.2</v>
      </c>
      <c r="P86" s="168">
        <v>0.2</v>
      </c>
      <c r="Q86" s="309">
        <f t="shared" si="12"/>
        <v>30</v>
      </c>
      <c r="R86" s="152">
        <f t="shared" si="13"/>
        <v>51.480000000000004</v>
      </c>
      <c r="S86" s="154">
        <f t="shared" si="14"/>
        <v>0</v>
      </c>
      <c r="T86" s="169">
        <f t="shared" si="15"/>
        <v>0</v>
      </c>
      <c r="U86" s="153">
        <f t="shared" si="16"/>
        <v>51.480000000000004</v>
      </c>
      <c r="V86" s="166">
        <f t="shared" si="17"/>
        <v>2.52</v>
      </c>
      <c r="W86" s="167">
        <f t="shared" si="18"/>
        <v>2.4000000000000004</v>
      </c>
      <c r="X86" s="168">
        <f t="shared" si="19"/>
        <v>2.4000000000000004</v>
      </c>
      <c r="Y86" s="14"/>
    </row>
    <row r="87" spans="1:25" ht="12" customHeight="1">
      <c r="A87" s="232"/>
      <c r="B87" s="27"/>
      <c r="C87" s="24" t="s">
        <v>1050</v>
      </c>
      <c r="D87" s="24" t="s">
        <v>245</v>
      </c>
      <c r="E87" s="25">
        <v>12</v>
      </c>
      <c r="F87" s="27" t="s">
        <v>1204</v>
      </c>
      <c r="G87" s="180">
        <v>15</v>
      </c>
      <c r="H87" s="150">
        <f t="shared" si="10"/>
        <v>180</v>
      </c>
      <c r="I87" s="306">
        <v>2.5</v>
      </c>
      <c r="J87" s="155">
        <v>4.29</v>
      </c>
      <c r="K87" s="156">
        <v>0</v>
      </c>
      <c r="L87" s="157">
        <v>0</v>
      </c>
      <c r="M87" s="153">
        <f t="shared" si="11"/>
        <v>4.29</v>
      </c>
      <c r="N87" s="166">
        <v>0.21</v>
      </c>
      <c r="O87" s="167">
        <v>0.2</v>
      </c>
      <c r="P87" s="168">
        <v>0.2</v>
      </c>
      <c r="Q87" s="309">
        <f t="shared" si="12"/>
        <v>30</v>
      </c>
      <c r="R87" s="152">
        <f t="shared" si="13"/>
        <v>51.480000000000004</v>
      </c>
      <c r="S87" s="154">
        <f t="shared" si="14"/>
        <v>0</v>
      </c>
      <c r="T87" s="169">
        <f t="shared" si="15"/>
        <v>0</v>
      </c>
      <c r="U87" s="153">
        <f t="shared" si="16"/>
        <v>51.480000000000004</v>
      </c>
      <c r="V87" s="166">
        <f t="shared" si="17"/>
        <v>2.52</v>
      </c>
      <c r="W87" s="167">
        <f t="shared" si="18"/>
        <v>2.4000000000000004</v>
      </c>
      <c r="X87" s="168">
        <f t="shared" si="19"/>
        <v>2.4000000000000004</v>
      </c>
      <c r="Y87" s="14"/>
    </row>
    <row r="88" spans="1:25" ht="12" customHeight="1">
      <c r="A88" s="232"/>
      <c r="B88" s="27"/>
      <c r="C88" s="24" t="s">
        <v>1050</v>
      </c>
      <c r="D88" s="24" t="s">
        <v>245</v>
      </c>
      <c r="E88" s="25">
        <v>12</v>
      </c>
      <c r="F88" s="27" t="s">
        <v>1205</v>
      </c>
      <c r="G88" s="180">
        <v>45</v>
      </c>
      <c r="H88" s="150">
        <f t="shared" si="10"/>
        <v>540</v>
      </c>
      <c r="I88" s="306">
        <v>8.5</v>
      </c>
      <c r="J88" s="155">
        <v>12.22</v>
      </c>
      <c r="K88" s="156">
        <v>0</v>
      </c>
      <c r="L88" s="157">
        <v>0</v>
      </c>
      <c r="M88" s="153">
        <f t="shared" si="11"/>
        <v>12.22</v>
      </c>
      <c r="N88" s="166">
        <v>0.57999999999999996</v>
      </c>
      <c r="O88" s="167">
        <v>0.2</v>
      </c>
      <c r="P88" s="168">
        <v>0.2</v>
      </c>
      <c r="Q88" s="309">
        <f t="shared" si="12"/>
        <v>102</v>
      </c>
      <c r="R88" s="152">
        <f t="shared" si="13"/>
        <v>146.64000000000001</v>
      </c>
      <c r="S88" s="154">
        <f t="shared" si="14"/>
        <v>0</v>
      </c>
      <c r="T88" s="169">
        <f t="shared" si="15"/>
        <v>0</v>
      </c>
      <c r="U88" s="153">
        <f t="shared" si="16"/>
        <v>146.64000000000001</v>
      </c>
      <c r="V88" s="166">
        <f t="shared" si="17"/>
        <v>6.9599999999999991</v>
      </c>
      <c r="W88" s="167">
        <f t="shared" si="18"/>
        <v>2.4000000000000004</v>
      </c>
      <c r="X88" s="168">
        <f t="shared" si="19"/>
        <v>2.4000000000000004</v>
      </c>
      <c r="Y88" s="14"/>
    </row>
    <row r="89" spans="1:25" ht="12" customHeight="1">
      <c r="A89" s="232"/>
      <c r="B89" s="27"/>
      <c r="C89" s="24" t="s">
        <v>1050</v>
      </c>
      <c r="D89" s="24" t="s">
        <v>245</v>
      </c>
      <c r="E89" s="25">
        <v>12</v>
      </c>
      <c r="F89" s="27" t="s">
        <v>1206</v>
      </c>
      <c r="G89" s="180">
        <v>45</v>
      </c>
      <c r="H89" s="150">
        <f t="shared" si="10"/>
        <v>540</v>
      </c>
      <c r="I89" s="306">
        <v>8.5</v>
      </c>
      <c r="J89" s="155">
        <v>12.22</v>
      </c>
      <c r="K89" s="156">
        <v>0</v>
      </c>
      <c r="L89" s="157">
        <v>0</v>
      </c>
      <c r="M89" s="153">
        <f t="shared" si="11"/>
        <v>12.22</v>
      </c>
      <c r="N89" s="166">
        <v>0.57999999999999996</v>
      </c>
      <c r="O89" s="167">
        <v>0.2</v>
      </c>
      <c r="P89" s="168">
        <v>0.2</v>
      </c>
      <c r="Q89" s="309">
        <f t="shared" si="12"/>
        <v>102</v>
      </c>
      <c r="R89" s="152">
        <f t="shared" si="13"/>
        <v>146.64000000000001</v>
      </c>
      <c r="S89" s="154">
        <f t="shared" si="14"/>
        <v>0</v>
      </c>
      <c r="T89" s="169">
        <f t="shared" si="15"/>
        <v>0</v>
      </c>
      <c r="U89" s="153">
        <f t="shared" si="16"/>
        <v>146.64000000000001</v>
      </c>
      <c r="V89" s="166">
        <f t="shared" si="17"/>
        <v>6.9599999999999991</v>
      </c>
      <c r="W89" s="167">
        <f t="shared" si="18"/>
        <v>2.4000000000000004</v>
      </c>
      <c r="X89" s="168">
        <f t="shared" si="19"/>
        <v>2.4000000000000004</v>
      </c>
      <c r="Y89" s="14"/>
    </row>
    <row r="90" spans="1:25" ht="12" customHeight="1">
      <c r="A90" s="232">
        <v>40287</v>
      </c>
      <c r="B90" s="27">
        <v>443</v>
      </c>
      <c r="C90" s="24" t="s">
        <v>1050</v>
      </c>
      <c r="D90" s="24" t="s">
        <v>245</v>
      </c>
      <c r="E90" s="25">
        <v>61</v>
      </c>
      <c r="F90" s="27" t="s">
        <v>1207</v>
      </c>
      <c r="G90" s="180">
        <v>48.5</v>
      </c>
      <c r="H90" s="150">
        <f t="shared" si="10"/>
        <v>2958.5</v>
      </c>
      <c r="I90" s="306">
        <v>5.5</v>
      </c>
      <c r="J90" s="155">
        <v>8.36</v>
      </c>
      <c r="K90" s="156">
        <v>0</v>
      </c>
      <c r="L90" s="157">
        <v>0</v>
      </c>
      <c r="M90" s="153">
        <f>J90+K90</f>
        <v>8.36</v>
      </c>
      <c r="N90" s="166">
        <v>0.67</v>
      </c>
      <c r="O90" s="167">
        <v>0.2</v>
      </c>
      <c r="P90" s="168">
        <v>0.2</v>
      </c>
      <c r="Q90" s="309">
        <f t="shared" si="12"/>
        <v>335.5</v>
      </c>
      <c r="R90" s="152">
        <f t="shared" si="13"/>
        <v>509.96</v>
      </c>
      <c r="S90" s="154">
        <f t="shared" si="14"/>
        <v>0</v>
      </c>
      <c r="T90" s="169">
        <f t="shared" si="15"/>
        <v>0</v>
      </c>
      <c r="U90" s="153">
        <f t="shared" si="16"/>
        <v>509.96</v>
      </c>
      <c r="V90" s="166">
        <f t="shared" si="17"/>
        <v>40.870000000000005</v>
      </c>
      <c r="W90" s="167">
        <f t="shared" si="18"/>
        <v>12.200000000000001</v>
      </c>
      <c r="X90" s="168">
        <f t="shared" si="19"/>
        <v>12.200000000000001</v>
      </c>
      <c r="Y90" s="14"/>
    </row>
    <row r="91" spans="1:25" ht="12" customHeight="1">
      <c r="A91" s="232"/>
      <c r="B91" s="27"/>
      <c r="C91" s="24" t="s">
        <v>1050</v>
      </c>
      <c r="D91" s="24" t="s">
        <v>245</v>
      </c>
      <c r="E91" s="25">
        <v>50</v>
      </c>
      <c r="F91" s="27" t="s">
        <v>1208</v>
      </c>
      <c r="G91" s="180">
        <v>49.5</v>
      </c>
      <c r="H91" s="150">
        <f t="shared" si="10"/>
        <v>2475</v>
      </c>
      <c r="I91" s="306">
        <v>5</v>
      </c>
      <c r="J91" s="155">
        <v>11.65</v>
      </c>
      <c r="K91" s="156">
        <v>0</v>
      </c>
      <c r="L91" s="157">
        <v>0</v>
      </c>
      <c r="M91" s="153">
        <f t="shared" si="11"/>
        <v>11.65</v>
      </c>
      <c r="N91" s="166">
        <v>0.57999999999999996</v>
      </c>
      <c r="O91" s="167">
        <v>0.1</v>
      </c>
      <c r="P91" s="168">
        <v>0.1</v>
      </c>
      <c r="Q91" s="309">
        <f t="shared" si="12"/>
        <v>250</v>
      </c>
      <c r="R91" s="152">
        <f t="shared" si="13"/>
        <v>582.5</v>
      </c>
      <c r="S91" s="154">
        <f t="shared" si="14"/>
        <v>0</v>
      </c>
      <c r="T91" s="169">
        <f t="shared" si="15"/>
        <v>0</v>
      </c>
      <c r="U91" s="153">
        <f t="shared" si="16"/>
        <v>582.5</v>
      </c>
      <c r="V91" s="166">
        <f t="shared" si="17"/>
        <v>28.999999999999996</v>
      </c>
      <c r="W91" s="167">
        <f t="shared" si="18"/>
        <v>5</v>
      </c>
      <c r="X91" s="168">
        <f t="shared" si="19"/>
        <v>5</v>
      </c>
      <c r="Y91" s="14"/>
    </row>
    <row r="92" spans="1:25" ht="12" customHeight="1">
      <c r="A92" s="232"/>
      <c r="B92" s="27"/>
      <c r="C92" s="24" t="s">
        <v>1050</v>
      </c>
      <c r="D92" s="24" t="s">
        <v>245</v>
      </c>
      <c r="E92" s="25">
        <v>19</v>
      </c>
      <c r="F92" s="27" t="s">
        <v>1209</v>
      </c>
      <c r="G92" s="180">
        <v>45</v>
      </c>
      <c r="H92" s="150">
        <f t="shared" si="10"/>
        <v>855</v>
      </c>
      <c r="I92" s="306">
        <v>3.5</v>
      </c>
      <c r="J92" s="155">
        <v>4.5</v>
      </c>
      <c r="K92" s="156">
        <v>0</v>
      </c>
      <c r="L92" s="157">
        <v>0</v>
      </c>
      <c r="M92" s="153">
        <f t="shared" si="11"/>
        <v>4.5</v>
      </c>
      <c r="N92" s="166">
        <v>0</v>
      </c>
      <c r="O92" s="167">
        <v>0.1</v>
      </c>
      <c r="P92" s="168">
        <v>0.1</v>
      </c>
      <c r="Q92" s="309">
        <f t="shared" si="12"/>
        <v>66.5</v>
      </c>
      <c r="R92" s="152">
        <f t="shared" si="13"/>
        <v>85.5</v>
      </c>
      <c r="S92" s="154">
        <f t="shared" si="14"/>
        <v>0</v>
      </c>
      <c r="T92" s="169">
        <f t="shared" si="15"/>
        <v>0</v>
      </c>
      <c r="U92" s="153">
        <f t="shared" si="16"/>
        <v>85.5</v>
      </c>
      <c r="V92" s="166">
        <f t="shared" si="17"/>
        <v>0</v>
      </c>
      <c r="W92" s="167">
        <f t="shared" si="18"/>
        <v>1.9000000000000001</v>
      </c>
      <c r="X92" s="168">
        <f t="shared" si="19"/>
        <v>1.9000000000000001</v>
      </c>
      <c r="Y92" s="14"/>
    </row>
    <row r="93" spans="1:25" ht="12" customHeight="1">
      <c r="A93" s="232"/>
      <c r="B93" s="27"/>
      <c r="C93" s="24" t="s">
        <v>1050</v>
      </c>
      <c r="D93" s="24" t="s">
        <v>245</v>
      </c>
      <c r="E93" s="25">
        <v>15</v>
      </c>
      <c r="F93" s="27" t="s">
        <v>1210</v>
      </c>
      <c r="G93" s="180">
        <v>75</v>
      </c>
      <c r="H93" s="150">
        <f t="shared" si="10"/>
        <v>1125</v>
      </c>
      <c r="I93" s="306">
        <v>5</v>
      </c>
      <c r="J93" s="155">
        <v>15.97</v>
      </c>
      <c r="K93" s="156">
        <v>0</v>
      </c>
      <c r="L93" s="157">
        <v>0</v>
      </c>
      <c r="M93" s="153">
        <f t="shared" si="11"/>
        <v>15.97</v>
      </c>
      <c r="N93" s="166">
        <v>0.83</v>
      </c>
      <c r="O93" s="167">
        <v>0.1</v>
      </c>
      <c r="P93" s="168">
        <v>0.2</v>
      </c>
      <c r="Q93" s="309">
        <f t="shared" si="12"/>
        <v>75</v>
      </c>
      <c r="R93" s="152">
        <f t="shared" si="13"/>
        <v>239.55</v>
      </c>
      <c r="S93" s="154">
        <f t="shared" si="14"/>
        <v>0</v>
      </c>
      <c r="T93" s="169">
        <f t="shared" si="15"/>
        <v>0</v>
      </c>
      <c r="U93" s="153">
        <f t="shared" si="16"/>
        <v>239.55</v>
      </c>
      <c r="V93" s="166">
        <f t="shared" si="17"/>
        <v>12.45</v>
      </c>
      <c r="W93" s="167">
        <f t="shared" si="18"/>
        <v>1.5</v>
      </c>
      <c r="X93" s="168">
        <f t="shared" si="19"/>
        <v>3</v>
      </c>
      <c r="Y93" s="14"/>
    </row>
    <row r="94" spans="1:25" ht="12" customHeight="1">
      <c r="A94" s="232">
        <v>40287</v>
      </c>
      <c r="B94" s="27">
        <v>444</v>
      </c>
      <c r="C94" s="24" t="s">
        <v>1211</v>
      </c>
      <c r="D94" s="24" t="s">
        <v>1212</v>
      </c>
      <c r="E94" s="25">
        <v>5</v>
      </c>
      <c r="F94" s="27" t="s">
        <v>1213</v>
      </c>
      <c r="G94" s="180">
        <v>35.700000000000003</v>
      </c>
      <c r="H94" s="150">
        <f t="shared" si="10"/>
        <v>178.5</v>
      </c>
      <c r="I94" s="306">
        <v>3.5</v>
      </c>
      <c r="J94" s="155">
        <v>3.4</v>
      </c>
      <c r="K94" s="156">
        <v>2.5</v>
      </c>
      <c r="L94" s="157">
        <v>0.38</v>
      </c>
      <c r="M94" s="153">
        <f t="shared" si="11"/>
        <v>5.9</v>
      </c>
      <c r="N94" s="166">
        <v>0.33</v>
      </c>
      <c r="O94" s="167">
        <v>0.15</v>
      </c>
      <c r="P94" s="168">
        <v>0.15</v>
      </c>
      <c r="Q94" s="309">
        <f t="shared" si="12"/>
        <v>17.5</v>
      </c>
      <c r="R94" s="152">
        <f t="shared" si="13"/>
        <v>17</v>
      </c>
      <c r="S94" s="154">
        <f t="shared" si="14"/>
        <v>12.5</v>
      </c>
      <c r="T94" s="169">
        <f t="shared" si="15"/>
        <v>1.9</v>
      </c>
      <c r="U94" s="153">
        <f t="shared" si="16"/>
        <v>29.5</v>
      </c>
      <c r="V94" s="166">
        <f t="shared" si="17"/>
        <v>1.6500000000000001</v>
      </c>
      <c r="W94" s="167">
        <f t="shared" si="18"/>
        <v>0.75</v>
      </c>
      <c r="X94" s="168">
        <f t="shared" si="19"/>
        <v>0.75</v>
      </c>
      <c r="Y94" s="14"/>
    </row>
    <row r="95" spans="1:25" ht="12" customHeight="1">
      <c r="A95" s="232"/>
      <c r="B95" s="27"/>
      <c r="C95" s="24" t="s">
        <v>1211</v>
      </c>
      <c r="D95" s="24" t="s">
        <v>1212</v>
      </c>
      <c r="E95" s="25">
        <v>4</v>
      </c>
      <c r="F95" s="27" t="s">
        <v>1214</v>
      </c>
      <c r="G95" s="180">
        <v>35.700000000000003</v>
      </c>
      <c r="H95" s="150">
        <f t="shared" si="10"/>
        <v>142.80000000000001</v>
      </c>
      <c r="I95" s="306">
        <v>3.5</v>
      </c>
      <c r="J95" s="155">
        <v>3.4</v>
      </c>
      <c r="K95" s="156">
        <v>2.5</v>
      </c>
      <c r="L95" s="157">
        <v>0.38</v>
      </c>
      <c r="M95" s="153">
        <f>J95+K95</f>
        <v>5.9</v>
      </c>
      <c r="N95" s="166">
        <v>0.33</v>
      </c>
      <c r="O95" s="167">
        <v>0.15</v>
      </c>
      <c r="P95" s="168">
        <v>0.15</v>
      </c>
      <c r="Q95" s="309">
        <f t="shared" si="12"/>
        <v>14</v>
      </c>
      <c r="R95" s="152">
        <f t="shared" si="13"/>
        <v>13.6</v>
      </c>
      <c r="S95" s="154">
        <f t="shared" si="14"/>
        <v>10</v>
      </c>
      <c r="T95" s="169">
        <f t="shared" si="15"/>
        <v>1.52</v>
      </c>
      <c r="U95" s="153">
        <f t="shared" si="16"/>
        <v>23.6</v>
      </c>
      <c r="V95" s="166">
        <f t="shared" si="17"/>
        <v>1.32</v>
      </c>
      <c r="W95" s="167">
        <f t="shared" si="18"/>
        <v>0.6</v>
      </c>
      <c r="X95" s="168">
        <f t="shared" si="19"/>
        <v>0.6</v>
      </c>
      <c r="Y95" s="14"/>
    </row>
    <row r="96" spans="1:25" ht="12" customHeight="1">
      <c r="A96" s="232"/>
      <c r="B96" s="27"/>
      <c r="C96" s="24" t="s">
        <v>1211</v>
      </c>
      <c r="D96" s="24" t="s">
        <v>1212</v>
      </c>
      <c r="E96" s="25">
        <v>2</v>
      </c>
      <c r="F96" s="27" t="s">
        <v>1215</v>
      </c>
      <c r="G96" s="180">
        <v>39.5</v>
      </c>
      <c r="H96" s="150">
        <f t="shared" si="10"/>
        <v>79</v>
      </c>
      <c r="I96" s="306">
        <v>3.5</v>
      </c>
      <c r="J96" s="155">
        <v>3.4</v>
      </c>
      <c r="K96" s="156">
        <v>2.5</v>
      </c>
      <c r="L96" s="157">
        <v>0.38</v>
      </c>
      <c r="M96" s="153">
        <f>J96+K96</f>
        <v>5.9</v>
      </c>
      <c r="N96" s="166">
        <v>0.33</v>
      </c>
      <c r="O96" s="167">
        <v>0.15</v>
      </c>
      <c r="P96" s="168">
        <v>0.15</v>
      </c>
      <c r="Q96" s="309">
        <f t="shared" si="12"/>
        <v>7</v>
      </c>
      <c r="R96" s="152">
        <f t="shared" si="13"/>
        <v>6.8</v>
      </c>
      <c r="S96" s="154">
        <f t="shared" si="14"/>
        <v>5</v>
      </c>
      <c r="T96" s="169">
        <f t="shared" si="15"/>
        <v>0.76</v>
      </c>
      <c r="U96" s="153">
        <f t="shared" si="16"/>
        <v>11.8</v>
      </c>
      <c r="V96" s="166">
        <f t="shared" si="17"/>
        <v>0.66</v>
      </c>
      <c r="W96" s="167">
        <f t="shared" si="18"/>
        <v>0.3</v>
      </c>
      <c r="X96" s="168">
        <f t="shared" si="19"/>
        <v>0.3</v>
      </c>
      <c r="Y96" s="14"/>
    </row>
    <row r="97" spans="1:25" ht="12" customHeight="1">
      <c r="A97" s="232"/>
      <c r="B97" s="27"/>
      <c r="C97" s="24" t="s">
        <v>1211</v>
      </c>
      <c r="D97" s="24" t="s">
        <v>1212</v>
      </c>
      <c r="E97" s="25">
        <v>3</v>
      </c>
      <c r="F97" s="27" t="s">
        <v>1216</v>
      </c>
      <c r="G97" s="180">
        <v>35.700000000000003</v>
      </c>
      <c r="H97" s="150">
        <f t="shared" si="10"/>
        <v>107.10000000000001</v>
      </c>
      <c r="I97" s="306">
        <v>3.5</v>
      </c>
      <c r="J97" s="155">
        <v>3.4</v>
      </c>
      <c r="K97" s="156">
        <v>2.5</v>
      </c>
      <c r="L97" s="157">
        <v>0.38</v>
      </c>
      <c r="M97" s="153">
        <f>J97+K97</f>
        <v>5.9</v>
      </c>
      <c r="N97" s="166">
        <v>0.33</v>
      </c>
      <c r="O97" s="167">
        <v>0.15</v>
      </c>
      <c r="P97" s="168">
        <v>0.15</v>
      </c>
      <c r="Q97" s="309">
        <f t="shared" si="12"/>
        <v>10.5</v>
      </c>
      <c r="R97" s="152">
        <f t="shared" si="13"/>
        <v>10.199999999999999</v>
      </c>
      <c r="S97" s="154">
        <f t="shared" si="14"/>
        <v>7.5</v>
      </c>
      <c r="T97" s="169">
        <f t="shared" si="15"/>
        <v>1.1400000000000001</v>
      </c>
      <c r="U97" s="153">
        <f t="shared" si="16"/>
        <v>17.700000000000003</v>
      </c>
      <c r="V97" s="166">
        <f t="shared" si="17"/>
        <v>0.99</v>
      </c>
      <c r="W97" s="167">
        <f t="shared" si="18"/>
        <v>0.44999999999999996</v>
      </c>
      <c r="X97" s="168">
        <f t="shared" si="19"/>
        <v>0.44999999999999996</v>
      </c>
      <c r="Y97" s="14"/>
    </row>
    <row r="98" spans="1:25" ht="12" customHeight="1">
      <c r="A98" s="232"/>
      <c r="B98" s="27"/>
      <c r="C98" s="24" t="s">
        <v>1211</v>
      </c>
      <c r="D98" s="24" t="s">
        <v>1212</v>
      </c>
      <c r="E98" s="25">
        <v>2</v>
      </c>
      <c r="F98" s="27" t="s">
        <v>1217</v>
      </c>
      <c r="G98" s="180">
        <v>35.700000000000003</v>
      </c>
      <c r="H98" s="150">
        <f t="shared" si="10"/>
        <v>71.400000000000006</v>
      </c>
      <c r="I98" s="306">
        <v>3.5</v>
      </c>
      <c r="J98" s="155">
        <v>3.4</v>
      </c>
      <c r="K98" s="156">
        <v>2.5</v>
      </c>
      <c r="L98" s="157">
        <v>0.38</v>
      </c>
      <c r="M98" s="153">
        <f>J98+K98</f>
        <v>5.9</v>
      </c>
      <c r="N98" s="166">
        <v>0.33</v>
      </c>
      <c r="O98" s="167">
        <v>0.15</v>
      </c>
      <c r="P98" s="168">
        <v>0.15</v>
      </c>
      <c r="Q98" s="309">
        <f t="shared" si="12"/>
        <v>7</v>
      </c>
      <c r="R98" s="152">
        <f t="shared" si="13"/>
        <v>6.8</v>
      </c>
      <c r="S98" s="154">
        <f t="shared" si="14"/>
        <v>5</v>
      </c>
      <c r="T98" s="169">
        <f t="shared" si="15"/>
        <v>0.76</v>
      </c>
      <c r="U98" s="153">
        <f t="shared" si="16"/>
        <v>11.8</v>
      </c>
      <c r="V98" s="166">
        <f t="shared" si="17"/>
        <v>0.66</v>
      </c>
      <c r="W98" s="167">
        <f t="shared" si="18"/>
        <v>0.3</v>
      </c>
      <c r="X98" s="168">
        <f t="shared" si="19"/>
        <v>0.3</v>
      </c>
      <c r="Y98" s="14"/>
    </row>
    <row r="99" spans="1:25" ht="12" customHeight="1">
      <c r="A99" s="232"/>
      <c r="B99" s="27"/>
      <c r="C99" s="24" t="s">
        <v>1211</v>
      </c>
      <c r="D99" s="24" t="s">
        <v>1212</v>
      </c>
      <c r="E99" s="25">
        <v>2</v>
      </c>
      <c r="F99" s="27" t="s">
        <v>1218</v>
      </c>
      <c r="G99" s="180">
        <v>39.5</v>
      </c>
      <c r="H99" s="150">
        <f t="shared" si="10"/>
        <v>79</v>
      </c>
      <c r="I99" s="306">
        <v>3.5</v>
      </c>
      <c r="J99" s="155">
        <v>3.4</v>
      </c>
      <c r="K99" s="156">
        <v>2.5</v>
      </c>
      <c r="L99" s="157">
        <v>0.38</v>
      </c>
      <c r="M99" s="153">
        <f>J99+K99</f>
        <v>5.9</v>
      </c>
      <c r="N99" s="166">
        <v>0.33</v>
      </c>
      <c r="O99" s="167">
        <v>0.15</v>
      </c>
      <c r="P99" s="168">
        <v>0.15</v>
      </c>
      <c r="Q99" s="309">
        <f t="shared" si="12"/>
        <v>7</v>
      </c>
      <c r="R99" s="152">
        <f t="shared" si="13"/>
        <v>6.8</v>
      </c>
      <c r="S99" s="154">
        <f t="shared" si="14"/>
        <v>5</v>
      </c>
      <c r="T99" s="169">
        <f t="shared" si="15"/>
        <v>0.76</v>
      </c>
      <c r="U99" s="153">
        <f t="shared" si="16"/>
        <v>11.8</v>
      </c>
      <c r="V99" s="166">
        <f t="shared" si="17"/>
        <v>0.66</v>
      </c>
      <c r="W99" s="167">
        <f t="shared" si="18"/>
        <v>0.3</v>
      </c>
      <c r="X99" s="168">
        <f t="shared" si="19"/>
        <v>0.3</v>
      </c>
      <c r="Y99" s="14"/>
    </row>
    <row r="100" spans="1:25" ht="12" customHeight="1">
      <c r="A100" s="232">
        <v>40288</v>
      </c>
      <c r="B100" s="27">
        <v>445</v>
      </c>
      <c r="C100" s="24" t="s">
        <v>1219</v>
      </c>
      <c r="D100" s="24" t="s">
        <v>144</v>
      </c>
      <c r="E100" s="25">
        <v>10</v>
      </c>
      <c r="F100" s="27" t="s">
        <v>1220</v>
      </c>
      <c r="G100" s="180">
        <v>50</v>
      </c>
      <c r="H100" s="150">
        <f t="shared" si="10"/>
        <v>500</v>
      </c>
      <c r="I100" s="306">
        <v>0</v>
      </c>
      <c r="J100" s="155">
        <v>0</v>
      </c>
      <c r="K100" s="156">
        <v>0</v>
      </c>
      <c r="L100" s="157">
        <v>0</v>
      </c>
      <c r="M100" s="153">
        <f t="shared" si="11"/>
        <v>0</v>
      </c>
      <c r="N100" s="166">
        <v>0</v>
      </c>
      <c r="O100" s="167">
        <v>0</v>
      </c>
      <c r="P100" s="168">
        <v>0</v>
      </c>
      <c r="Q100" s="309">
        <f t="shared" si="12"/>
        <v>0</v>
      </c>
      <c r="R100" s="152">
        <f t="shared" si="13"/>
        <v>0</v>
      </c>
      <c r="S100" s="154">
        <f t="shared" si="14"/>
        <v>0</v>
      </c>
      <c r="T100" s="169">
        <f t="shared" si="15"/>
        <v>0</v>
      </c>
      <c r="U100" s="153">
        <f t="shared" si="16"/>
        <v>0</v>
      </c>
      <c r="V100" s="166">
        <f t="shared" si="17"/>
        <v>0</v>
      </c>
      <c r="W100" s="167">
        <f t="shared" si="18"/>
        <v>0</v>
      </c>
      <c r="X100" s="168">
        <f t="shared" si="19"/>
        <v>0</v>
      </c>
      <c r="Y100" s="14" t="s">
        <v>1721</v>
      </c>
    </row>
    <row r="101" spans="1:25" ht="12" customHeight="1">
      <c r="A101" s="232"/>
      <c r="B101" s="27"/>
      <c r="C101" s="24" t="s">
        <v>1219</v>
      </c>
      <c r="D101" s="24" t="s">
        <v>144</v>
      </c>
      <c r="E101" s="25">
        <v>10</v>
      </c>
      <c r="F101" s="27" t="s">
        <v>1221</v>
      </c>
      <c r="G101" s="180">
        <v>50</v>
      </c>
      <c r="H101" s="150">
        <f t="shared" si="10"/>
        <v>500</v>
      </c>
      <c r="I101" s="306">
        <v>0</v>
      </c>
      <c r="J101" s="155">
        <v>0</v>
      </c>
      <c r="K101" s="156">
        <v>0</v>
      </c>
      <c r="L101" s="157">
        <v>0</v>
      </c>
      <c r="M101" s="153">
        <f t="shared" si="11"/>
        <v>0</v>
      </c>
      <c r="N101" s="166">
        <v>0</v>
      </c>
      <c r="O101" s="167">
        <v>0</v>
      </c>
      <c r="P101" s="168">
        <v>0</v>
      </c>
      <c r="Q101" s="309">
        <f t="shared" si="12"/>
        <v>0</v>
      </c>
      <c r="R101" s="152">
        <f t="shared" si="13"/>
        <v>0</v>
      </c>
      <c r="S101" s="154">
        <f t="shared" si="14"/>
        <v>0</v>
      </c>
      <c r="T101" s="169">
        <f t="shared" si="15"/>
        <v>0</v>
      </c>
      <c r="U101" s="153">
        <f t="shared" si="16"/>
        <v>0</v>
      </c>
      <c r="V101" s="166">
        <f t="shared" si="17"/>
        <v>0</v>
      </c>
      <c r="W101" s="167">
        <f t="shared" si="18"/>
        <v>0</v>
      </c>
      <c r="X101" s="168">
        <f t="shared" si="19"/>
        <v>0</v>
      </c>
      <c r="Y101" s="14" t="s">
        <v>1721</v>
      </c>
    </row>
    <row r="102" spans="1:25">
      <c r="A102" s="232"/>
      <c r="B102" s="27"/>
      <c r="C102" s="24" t="s">
        <v>1219</v>
      </c>
      <c r="D102" s="24" t="s">
        <v>144</v>
      </c>
      <c r="E102" s="25">
        <v>10</v>
      </c>
      <c r="F102" s="27" t="s">
        <v>1222</v>
      </c>
      <c r="G102" s="180">
        <v>98.5</v>
      </c>
      <c r="H102" s="150">
        <f t="shared" si="10"/>
        <v>985</v>
      </c>
      <c r="I102" s="306">
        <v>3.5</v>
      </c>
      <c r="J102" s="155">
        <v>10.77</v>
      </c>
      <c r="K102" s="156">
        <v>0</v>
      </c>
      <c r="L102" s="157">
        <v>0</v>
      </c>
      <c r="M102" s="153">
        <f t="shared" si="11"/>
        <v>10.77</v>
      </c>
      <c r="N102" s="166">
        <v>0.67</v>
      </c>
      <c r="O102" s="167">
        <v>0.15</v>
      </c>
      <c r="P102" s="168">
        <v>0.15</v>
      </c>
      <c r="Q102" s="309">
        <f t="shared" si="12"/>
        <v>35</v>
      </c>
      <c r="R102" s="152">
        <f t="shared" si="13"/>
        <v>107.69999999999999</v>
      </c>
      <c r="S102" s="154">
        <f t="shared" si="14"/>
        <v>0</v>
      </c>
      <c r="T102" s="169">
        <f t="shared" si="15"/>
        <v>0</v>
      </c>
      <c r="U102" s="153">
        <f t="shared" si="16"/>
        <v>107.69999999999999</v>
      </c>
      <c r="V102" s="166">
        <f t="shared" si="17"/>
        <v>6.7</v>
      </c>
      <c r="W102" s="167">
        <f t="shared" si="18"/>
        <v>1.5</v>
      </c>
      <c r="X102" s="168">
        <f t="shared" si="19"/>
        <v>1.5</v>
      </c>
      <c r="Y102" s="14"/>
    </row>
    <row r="103" spans="1:25">
      <c r="A103" s="232"/>
      <c r="B103" s="27"/>
      <c r="C103" s="24" t="s">
        <v>1219</v>
      </c>
      <c r="D103" s="24" t="s">
        <v>144</v>
      </c>
      <c r="E103" s="25">
        <v>10</v>
      </c>
      <c r="F103" s="27" t="s">
        <v>1223</v>
      </c>
      <c r="G103" s="180">
        <v>98.5</v>
      </c>
      <c r="H103" s="150">
        <f t="shared" si="10"/>
        <v>985</v>
      </c>
      <c r="I103" s="306">
        <v>3.5</v>
      </c>
      <c r="J103" s="155">
        <v>10.77</v>
      </c>
      <c r="K103" s="156">
        <v>0</v>
      </c>
      <c r="L103" s="157">
        <v>0</v>
      </c>
      <c r="M103" s="153">
        <f t="shared" si="11"/>
        <v>10.77</v>
      </c>
      <c r="N103" s="166">
        <v>0.67</v>
      </c>
      <c r="O103" s="167">
        <v>0.15</v>
      </c>
      <c r="P103" s="168">
        <v>0.15</v>
      </c>
      <c r="Q103" s="309">
        <f t="shared" si="12"/>
        <v>35</v>
      </c>
      <c r="R103" s="152">
        <f t="shared" si="13"/>
        <v>107.69999999999999</v>
      </c>
      <c r="S103" s="154">
        <f t="shared" si="14"/>
        <v>0</v>
      </c>
      <c r="T103" s="169">
        <f t="shared" si="15"/>
        <v>0</v>
      </c>
      <c r="U103" s="153">
        <f t="shared" si="16"/>
        <v>107.69999999999999</v>
      </c>
      <c r="V103" s="166">
        <f t="shared" si="17"/>
        <v>6.7</v>
      </c>
      <c r="W103" s="167">
        <f t="shared" si="18"/>
        <v>1.5</v>
      </c>
      <c r="X103" s="168">
        <f t="shared" si="19"/>
        <v>1.5</v>
      </c>
      <c r="Y103" s="14"/>
    </row>
    <row r="104" spans="1:25">
      <c r="A104" s="232">
        <v>40288</v>
      </c>
      <c r="B104" s="27">
        <v>446</v>
      </c>
      <c r="C104" s="24" t="s">
        <v>1224</v>
      </c>
      <c r="D104" s="24"/>
      <c r="E104" s="197">
        <f>21+15</f>
        <v>36</v>
      </c>
      <c r="F104" s="27" t="s">
        <v>1225</v>
      </c>
      <c r="G104" s="180">
        <v>40</v>
      </c>
      <c r="H104" s="150">
        <f t="shared" si="10"/>
        <v>1440</v>
      </c>
      <c r="I104" s="306">
        <v>3.5</v>
      </c>
      <c r="J104" s="155">
        <v>10.210000000000001</v>
      </c>
      <c r="K104" s="156">
        <v>2.5</v>
      </c>
      <c r="L104" s="157">
        <v>0.38</v>
      </c>
      <c r="M104" s="153">
        <f t="shared" si="11"/>
        <v>12.71</v>
      </c>
      <c r="N104" s="166">
        <v>0.33</v>
      </c>
      <c r="O104" s="167">
        <v>0.1</v>
      </c>
      <c r="P104" s="168">
        <v>0.1</v>
      </c>
      <c r="Q104" s="309">
        <f t="shared" si="12"/>
        <v>126</v>
      </c>
      <c r="R104" s="152">
        <f t="shared" si="13"/>
        <v>367.56000000000006</v>
      </c>
      <c r="S104" s="154">
        <f t="shared" si="14"/>
        <v>90</v>
      </c>
      <c r="T104" s="169">
        <f t="shared" si="15"/>
        <v>13.68</v>
      </c>
      <c r="U104" s="153">
        <f t="shared" si="16"/>
        <v>457.56000000000006</v>
      </c>
      <c r="V104" s="166">
        <f t="shared" si="17"/>
        <v>11.88</v>
      </c>
      <c r="W104" s="167">
        <f t="shared" si="18"/>
        <v>3.6</v>
      </c>
      <c r="X104" s="168">
        <f t="shared" si="19"/>
        <v>3.6</v>
      </c>
      <c r="Y104" s="14"/>
    </row>
    <row r="105" spans="1:25">
      <c r="A105" s="232"/>
      <c r="B105" s="27"/>
      <c r="C105" s="24" t="s">
        <v>1224</v>
      </c>
      <c r="D105" s="24"/>
      <c r="E105" s="197">
        <f>4+6</f>
        <v>10</v>
      </c>
      <c r="F105" s="27" t="s">
        <v>1226</v>
      </c>
      <c r="G105" s="180">
        <v>37</v>
      </c>
      <c r="H105" s="150">
        <f t="shared" si="10"/>
        <v>370</v>
      </c>
      <c r="I105" s="306">
        <v>3.5</v>
      </c>
      <c r="J105" s="155">
        <v>10.210000000000001</v>
      </c>
      <c r="K105" s="156">
        <v>2.5</v>
      </c>
      <c r="L105" s="157">
        <v>0.38</v>
      </c>
      <c r="M105" s="153">
        <f>J105+K105</f>
        <v>12.71</v>
      </c>
      <c r="N105" s="166">
        <v>0.33</v>
      </c>
      <c r="O105" s="167">
        <v>0.1</v>
      </c>
      <c r="P105" s="168">
        <v>0.1</v>
      </c>
      <c r="Q105" s="309">
        <f t="shared" si="12"/>
        <v>35</v>
      </c>
      <c r="R105" s="152">
        <f t="shared" si="13"/>
        <v>102.10000000000001</v>
      </c>
      <c r="S105" s="154">
        <f t="shared" si="14"/>
        <v>25</v>
      </c>
      <c r="T105" s="169">
        <f t="shared" si="15"/>
        <v>3.8</v>
      </c>
      <c r="U105" s="153">
        <f t="shared" si="16"/>
        <v>127.10000000000001</v>
      </c>
      <c r="V105" s="166">
        <f t="shared" si="17"/>
        <v>3.3000000000000003</v>
      </c>
      <c r="W105" s="167">
        <f t="shared" si="18"/>
        <v>1</v>
      </c>
      <c r="X105" s="168">
        <f t="shared" si="19"/>
        <v>1</v>
      </c>
      <c r="Y105" s="14"/>
    </row>
    <row r="106" spans="1:25">
      <c r="A106" s="232"/>
      <c r="B106" s="27"/>
      <c r="C106" s="24" t="s">
        <v>1224</v>
      </c>
      <c r="D106" s="24"/>
      <c r="E106" s="25">
        <f>27+14</f>
        <v>41</v>
      </c>
      <c r="F106" s="27" t="s">
        <v>1227</v>
      </c>
      <c r="G106" s="180">
        <v>37</v>
      </c>
      <c r="H106" s="150">
        <f t="shared" si="10"/>
        <v>1517</v>
      </c>
      <c r="I106" s="306">
        <v>3.5</v>
      </c>
      <c r="J106" s="155">
        <v>10.210000000000001</v>
      </c>
      <c r="K106" s="156">
        <v>2.5</v>
      </c>
      <c r="L106" s="157">
        <v>0.38</v>
      </c>
      <c r="M106" s="153">
        <f>J106+K106</f>
        <v>12.71</v>
      </c>
      <c r="N106" s="166">
        <v>0.33</v>
      </c>
      <c r="O106" s="167">
        <v>0.1</v>
      </c>
      <c r="P106" s="168">
        <v>0.1</v>
      </c>
      <c r="Q106" s="309">
        <f t="shared" si="12"/>
        <v>143.5</v>
      </c>
      <c r="R106" s="152">
        <f t="shared" si="13"/>
        <v>418.61</v>
      </c>
      <c r="S106" s="154">
        <f t="shared" si="14"/>
        <v>102.5</v>
      </c>
      <c r="T106" s="169">
        <f t="shared" si="15"/>
        <v>15.58</v>
      </c>
      <c r="U106" s="153">
        <f t="shared" si="16"/>
        <v>521.11</v>
      </c>
      <c r="V106" s="166">
        <f t="shared" si="17"/>
        <v>13.530000000000001</v>
      </c>
      <c r="W106" s="167">
        <f t="shared" si="18"/>
        <v>4.1000000000000005</v>
      </c>
      <c r="X106" s="168">
        <f t="shared" si="19"/>
        <v>4.1000000000000005</v>
      </c>
      <c r="Y106" s="14"/>
    </row>
    <row r="107" spans="1:25">
      <c r="A107" s="232">
        <v>40288</v>
      </c>
      <c r="B107" s="27">
        <v>447</v>
      </c>
      <c r="C107" s="24" t="s">
        <v>85</v>
      </c>
      <c r="D107" s="24" t="s">
        <v>85</v>
      </c>
      <c r="E107" s="25">
        <v>35</v>
      </c>
      <c r="F107" s="27" t="s">
        <v>1228</v>
      </c>
      <c r="G107" s="180">
        <v>18.5</v>
      </c>
      <c r="H107" s="150">
        <f t="shared" si="10"/>
        <v>647.5</v>
      </c>
      <c r="I107" s="306">
        <v>1.5</v>
      </c>
      <c r="J107" s="155">
        <v>5.99</v>
      </c>
      <c r="K107" s="156">
        <v>2.5</v>
      </c>
      <c r="L107" s="157">
        <v>0.38</v>
      </c>
      <c r="M107" s="153">
        <f t="shared" si="11"/>
        <v>8.49</v>
      </c>
      <c r="N107" s="166">
        <v>0.21</v>
      </c>
      <c r="O107" s="167">
        <v>0.1</v>
      </c>
      <c r="P107" s="168">
        <v>0.2</v>
      </c>
      <c r="Q107" s="309">
        <f t="shared" si="12"/>
        <v>52.5</v>
      </c>
      <c r="R107" s="152">
        <f t="shared" si="13"/>
        <v>209.65</v>
      </c>
      <c r="S107" s="154">
        <f t="shared" si="14"/>
        <v>87.5</v>
      </c>
      <c r="T107" s="169">
        <f t="shared" si="15"/>
        <v>13.3</v>
      </c>
      <c r="U107" s="153">
        <f t="shared" si="16"/>
        <v>297.15000000000003</v>
      </c>
      <c r="V107" s="166">
        <f t="shared" si="17"/>
        <v>7.35</v>
      </c>
      <c r="W107" s="167">
        <f t="shared" si="18"/>
        <v>3.5</v>
      </c>
      <c r="X107" s="168">
        <f t="shared" si="19"/>
        <v>7</v>
      </c>
      <c r="Y107" s="14"/>
    </row>
    <row r="108" spans="1:25">
      <c r="A108" s="232">
        <v>40288</v>
      </c>
      <c r="B108" s="27">
        <v>448</v>
      </c>
      <c r="C108" s="24" t="s">
        <v>944</v>
      </c>
      <c r="D108" s="24" t="s">
        <v>523</v>
      </c>
      <c r="E108" s="25">
        <v>35</v>
      </c>
      <c r="F108" s="27" t="s">
        <v>1229</v>
      </c>
      <c r="G108" s="180">
        <v>45.5</v>
      </c>
      <c r="H108" s="150">
        <f t="shared" si="10"/>
        <v>1592.5</v>
      </c>
      <c r="I108" s="306">
        <v>8.5</v>
      </c>
      <c r="J108" s="155">
        <v>9.73</v>
      </c>
      <c r="K108" s="156">
        <v>1.5</v>
      </c>
      <c r="L108" s="157">
        <v>0.23</v>
      </c>
      <c r="M108" s="153">
        <f t="shared" si="11"/>
        <v>11.23</v>
      </c>
      <c r="N108" s="166">
        <v>0.67</v>
      </c>
      <c r="O108" s="167">
        <v>0.25</v>
      </c>
      <c r="P108" s="168">
        <v>0.5</v>
      </c>
      <c r="Q108" s="309">
        <f t="shared" si="12"/>
        <v>297.5</v>
      </c>
      <c r="R108" s="152">
        <f t="shared" si="13"/>
        <v>340.55</v>
      </c>
      <c r="S108" s="154">
        <f t="shared" si="14"/>
        <v>52.5</v>
      </c>
      <c r="T108" s="169">
        <f t="shared" si="15"/>
        <v>8.0500000000000007</v>
      </c>
      <c r="U108" s="153">
        <f t="shared" si="16"/>
        <v>393.05</v>
      </c>
      <c r="V108" s="166">
        <f t="shared" si="17"/>
        <v>23.450000000000003</v>
      </c>
      <c r="W108" s="167">
        <f t="shared" si="18"/>
        <v>8.75</v>
      </c>
      <c r="X108" s="168">
        <f t="shared" si="19"/>
        <v>17.5</v>
      </c>
      <c r="Y108" s="14"/>
    </row>
    <row r="109" spans="1:25">
      <c r="A109" s="232">
        <v>40289</v>
      </c>
      <c r="B109" s="27">
        <v>449</v>
      </c>
      <c r="C109" s="24" t="s">
        <v>1066</v>
      </c>
      <c r="D109" s="24" t="s">
        <v>653</v>
      </c>
      <c r="E109" s="25">
        <v>6</v>
      </c>
      <c r="F109" s="27" t="s">
        <v>1230</v>
      </c>
      <c r="G109" s="180">
        <v>38</v>
      </c>
      <c r="H109" s="150">
        <f t="shared" si="10"/>
        <v>228</v>
      </c>
      <c r="I109" s="306">
        <v>3.5</v>
      </c>
      <c r="J109" s="155">
        <v>8.2100000000000009</v>
      </c>
      <c r="K109" s="156">
        <v>2.5</v>
      </c>
      <c r="L109" s="157">
        <v>0.38</v>
      </c>
      <c r="M109" s="153">
        <f t="shared" si="11"/>
        <v>10.71</v>
      </c>
      <c r="N109" s="166">
        <v>0.33</v>
      </c>
      <c r="O109" s="167">
        <v>0.1</v>
      </c>
      <c r="P109" s="168">
        <v>0.1</v>
      </c>
      <c r="Q109" s="309">
        <f t="shared" si="12"/>
        <v>21</v>
      </c>
      <c r="R109" s="152">
        <f t="shared" si="13"/>
        <v>49.260000000000005</v>
      </c>
      <c r="S109" s="154">
        <f t="shared" si="14"/>
        <v>15</v>
      </c>
      <c r="T109" s="169">
        <f t="shared" si="15"/>
        <v>2.2800000000000002</v>
      </c>
      <c r="U109" s="153">
        <f t="shared" si="16"/>
        <v>64.260000000000005</v>
      </c>
      <c r="V109" s="166">
        <f t="shared" si="17"/>
        <v>1.98</v>
      </c>
      <c r="W109" s="167">
        <f t="shared" si="18"/>
        <v>0.60000000000000009</v>
      </c>
      <c r="X109" s="168">
        <f t="shared" si="19"/>
        <v>0.60000000000000009</v>
      </c>
      <c r="Y109" s="14"/>
    </row>
    <row r="110" spans="1:25">
      <c r="A110" s="232"/>
      <c r="B110" s="27"/>
      <c r="C110" s="24" t="s">
        <v>1066</v>
      </c>
      <c r="D110" s="24" t="s">
        <v>653</v>
      </c>
      <c r="E110" s="25">
        <v>19</v>
      </c>
      <c r="F110" s="27" t="s">
        <v>1231</v>
      </c>
      <c r="G110" s="180">
        <v>38</v>
      </c>
      <c r="H110" s="150">
        <f t="shared" si="10"/>
        <v>722</v>
      </c>
      <c r="I110" s="306">
        <v>3.5</v>
      </c>
      <c r="J110" s="155">
        <v>3.69</v>
      </c>
      <c r="K110" s="156">
        <v>2.5</v>
      </c>
      <c r="L110" s="157">
        <v>0.38</v>
      </c>
      <c r="M110" s="153">
        <f t="shared" si="11"/>
        <v>6.1899999999999995</v>
      </c>
      <c r="N110" s="166">
        <v>0.33</v>
      </c>
      <c r="O110" s="167">
        <v>0.1</v>
      </c>
      <c r="P110" s="168">
        <v>0.1</v>
      </c>
      <c r="Q110" s="309">
        <f t="shared" si="12"/>
        <v>66.5</v>
      </c>
      <c r="R110" s="152">
        <f t="shared" si="13"/>
        <v>70.11</v>
      </c>
      <c r="S110" s="154">
        <f t="shared" si="14"/>
        <v>47.5</v>
      </c>
      <c r="T110" s="169">
        <f t="shared" si="15"/>
        <v>7.22</v>
      </c>
      <c r="U110" s="153">
        <f t="shared" si="16"/>
        <v>117.60999999999999</v>
      </c>
      <c r="V110" s="166">
        <f t="shared" si="17"/>
        <v>6.2700000000000005</v>
      </c>
      <c r="W110" s="167">
        <f t="shared" si="18"/>
        <v>1.9000000000000001</v>
      </c>
      <c r="X110" s="168">
        <f t="shared" si="19"/>
        <v>1.9000000000000001</v>
      </c>
      <c r="Y110" s="14"/>
    </row>
    <row r="111" spans="1:25">
      <c r="A111" s="232">
        <v>40288</v>
      </c>
      <c r="B111" s="27">
        <v>450</v>
      </c>
      <c r="C111" s="24" t="s">
        <v>30</v>
      </c>
      <c r="D111" s="24" t="s">
        <v>42</v>
      </c>
      <c r="E111" s="25">
        <v>3000</v>
      </c>
      <c r="F111" s="27" t="s">
        <v>1232</v>
      </c>
      <c r="G111" s="180">
        <v>2.35</v>
      </c>
      <c r="H111" s="150">
        <f t="shared" si="10"/>
        <v>7050</v>
      </c>
      <c r="I111" s="306">
        <v>0.75</v>
      </c>
      <c r="J111" s="155">
        <v>0.76</v>
      </c>
      <c r="K111" s="156">
        <v>0</v>
      </c>
      <c r="L111" s="157">
        <v>0</v>
      </c>
      <c r="M111" s="153">
        <f t="shared" si="11"/>
        <v>0.76</v>
      </c>
      <c r="N111" s="166">
        <v>0</v>
      </c>
      <c r="O111" s="167">
        <v>0.1</v>
      </c>
      <c r="P111" s="168">
        <v>0.25</v>
      </c>
      <c r="Q111" s="309">
        <f t="shared" si="12"/>
        <v>2250</v>
      </c>
      <c r="R111" s="152">
        <f t="shared" si="13"/>
        <v>2280</v>
      </c>
      <c r="S111" s="154">
        <f t="shared" si="14"/>
        <v>0</v>
      </c>
      <c r="T111" s="169">
        <f t="shared" si="15"/>
        <v>0</v>
      </c>
      <c r="U111" s="153">
        <f t="shared" si="16"/>
        <v>2280</v>
      </c>
      <c r="V111" s="166">
        <f t="shared" si="17"/>
        <v>0</v>
      </c>
      <c r="W111" s="167">
        <f t="shared" si="18"/>
        <v>300</v>
      </c>
      <c r="X111" s="168">
        <f t="shared" si="19"/>
        <v>750</v>
      </c>
      <c r="Y111" s="14"/>
    </row>
    <row r="112" spans="1:25">
      <c r="A112" s="232">
        <v>40289</v>
      </c>
      <c r="B112" s="27">
        <v>451</v>
      </c>
      <c r="C112" s="24" t="s">
        <v>27</v>
      </c>
      <c r="D112" s="24" t="s">
        <v>24</v>
      </c>
      <c r="E112" s="25">
        <v>2</v>
      </c>
      <c r="F112" s="27" t="s">
        <v>1233</v>
      </c>
      <c r="G112" s="180">
        <v>627</v>
      </c>
      <c r="H112" s="150">
        <f t="shared" si="10"/>
        <v>1254</v>
      </c>
      <c r="I112" s="307">
        <v>50</v>
      </c>
      <c r="J112" s="239">
        <v>335.82</v>
      </c>
      <c r="K112" s="156">
        <v>0</v>
      </c>
      <c r="L112" s="157">
        <v>0</v>
      </c>
      <c r="M112" s="179">
        <f t="shared" si="11"/>
        <v>335.82</v>
      </c>
      <c r="N112" s="166">
        <v>2.08</v>
      </c>
      <c r="O112" s="167">
        <v>0</v>
      </c>
      <c r="P112" s="240">
        <v>30</v>
      </c>
      <c r="Q112" s="309">
        <f t="shared" si="12"/>
        <v>100</v>
      </c>
      <c r="R112" s="152">
        <f t="shared" si="13"/>
        <v>671.64</v>
      </c>
      <c r="S112" s="154">
        <f t="shared" si="14"/>
        <v>0</v>
      </c>
      <c r="T112" s="169">
        <f t="shared" si="15"/>
        <v>0</v>
      </c>
      <c r="U112" s="153">
        <f t="shared" si="16"/>
        <v>671.64</v>
      </c>
      <c r="V112" s="166">
        <f t="shared" si="17"/>
        <v>4.16</v>
      </c>
      <c r="W112" s="167">
        <f t="shared" si="18"/>
        <v>0</v>
      </c>
      <c r="X112" s="168">
        <f t="shared" si="19"/>
        <v>60</v>
      </c>
      <c r="Y112" s="14"/>
    </row>
    <row r="113" spans="1:25">
      <c r="A113" s="232"/>
      <c r="B113" s="27"/>
      <c r="C113" s="24" t="s">
        <v>27</v>
      </c>
      <c r="D113" s="24" t="s">
        <v>24</v>
      </c>
      <c r="E113" s="25">
        <v>12</v>
      </c>
      <c r="F113" s="27" t="s">
        <v>1234</v>
      </c>
      <c r="G113" s="180">
        <v>49</v>
      </c>
      <c r="H113" s="150">
        <f t="shared" si="10"/>
        <v>588</v>
      </c>
      <c r="I113" s="307">
        <v>10</v>
      </c>
      <c r="J113" s="155">
        <v>13.44</v>
      </c>
      <c r="K113" s="156">
        <v>0</v>
      </c>
      <c r="L113" s="157">
        <v>0</v>
      </c>
      <c r="M113" s="153">
        <f t="shared" si="11"/>
        <v>13.44</v>
      </c>
      <c r="N113" s="166">
        <v>0.42</v>
      </c>
      <c r="O113" s="167">
        <v>2</v>
      </c>
      <c r="P113" s="168">
        <v>5</v>
      </c>
      <c r="Q113" s="309">
        <f t="shared" si="12"/>
        <v>120</v>
      </c>
      <c r="R113" s="152">
        <f t="shared" si="13"/>
        <v>161.28</v>
      </c>
      <c r="S113" s="154">
        <f t="shared" si="14"/>
        <v>0</v>
      </c>
      <c r="T113" s="169">
        <f t="shared" si="15"/>
        <v>0</v>
      </c>
      <c r="U113" s="153">
        <f t="shared" si="16"/>
        <v>161.28</v>
      </c>
      <c r="V113" s="166">
        <f t="shared" si="17"/>
        <v>5.04</v>
      </c>
      <c r="W113" s="167">
        <f t="shared" si="18"/>
        <v>24</v>
      </c>
      <c r="X113" s="168">
        <f t="shared" si="19"/>
        <v>60</v>
      </c>
      <c r="Y113" s="14"/>
    </row>
    <row r="114" spans="1:25">
      <c r="A114" s="232">
        <v>40290</v>
      </c>
      <c r="B114" s="27">
        <v>452</v>
      </c>
      <c r="C114" s="24" t="s">
        <v>1165</v>
      </c>
      <c r="D114" s="24" t="s">
        <v>42</v>
      </c>
      <c r="E114" s="25">
        <f>28*2</f>
        <v>56</v>
      </c>
      <c r="F114" s="27" t="s">
        <v>1235</v>
      </c>
      <c r="G114" s="180">
        <v>45</v>
      </c>
      <c r="H114" s="150">
        <f t="shared" si="10"/>
        <v>2520</v>
      </c>
      <c r="I114" s="306">
        <v>6</v>
      </c>
      <c r="J114" s="155">
        <v>9.2200000000000006</v>
      </c>
      <c r="K114" s="156">
        <v>1</v>
      </c>
      <c r="L114" s="157">
        <v>0.15</v>
      </c>
      <c r="M114" s="153">
        <f t="shared" si="11"/>
        <v>10.220000000000001</v>
      </c>
      <c r="N114" s="166">
        <v>0.57999999999999996</v>
      </c>
      <c r="O114" s="167">
        <v>0.2</v>
      </c>
      <c r="P114" s="168">
        <v>0.25</v>
      </c>
      <c r="Q114" s="309">
        <f t="shared" si="12"/>
        <v>336</v>
      </c>
      <c r="R114" s="152">
        <f t="shared" si="13"/>
        <v>516.32000000000005</v>
      </c>
      <c r="S114" s="154">
        <f t="shared" si="14"/>
        <v>56</v>
      </c>
      <c r="T114" s="169">
        <f t="shared" si="15"/>
        <v>8.4</v>
      </c>
      <c r="U114" s="153">
        <f t="shared" si="16"/>
        <v>572.32000000000005</v>
      </c>
      <c r="V114" s="166">
        <f t="shared" si="17"/>
        <v>32.479999999999997</v>
      </c>
      <c r="W114" s="167">
        <f t="shared" si="18"/>
        <v>11.200000000000001</v>
      </c>
      <c r="X114" s="168">
        <f t="shared" si="19"/>
        <v>14</v>
      </c>
      <c r="Y114" s="14"/>
    </row>
    <row r="115" spans="1:25">
      <c r="A115" s="232"/>
      <c r="B115" s="27"/>
      <c r="C115" s="24" t="s">
        <v>1165</v>
      </c>
      <c r="D115" s="24" t="s">
        <v>42</v>
      </c>
      <c r="E115" s="25">
        <f>2*2</f>
        <v>4</v>
      </c>
      <c r="F115" s="27" t="s">
        <v>1236</v>
      </c>
      <c r="G115" s="180">
        <v>45</v>
      </c>
      <c r="H115" s="150">
        <f t="shared" si="10"/>
        <v>180</v>
      </c>
      <c r="I115" s="306">
        <v>6</v>
      </c>
      <c r="J115" s="155">
        <v>9.2200000000000006</v>
      </c>
      <c r="K115" s="156">
        <v>1</v>
      </c>
      <c r="L115" s="157">
        <v>0.15</v>
      </c>
      <c r="M115" s="153">
        <f>J115+K115</f>
        <v>10.220000000000001</v>
      </c>
      <c r="N115" s="166">
        <v>0.57999999999999996</v>
      </c>
      <c r="O115" s="167">
        <v>0.2</v>
      </c>
      <c r="P115" s="168">
        <v>0.25</v>
      </c>
      <c r="Q115" s="309">
        <f t="shared" si="12"/>
        <v>24</v>
      </c>
      <c r="R115" s="152">
        <f t="shared" si="13"/>
        <v>36.880000000000003</v>
      </c>
      <c r="S115" s="154">
        <f t="shared" si="14"/>
        <v>4</v>
      </c>
      <c r="T115" s="169">
        <f t="shared" si="15"/>
        <v>0.6</v>
      </c>
      <c r="U115" s="153">
        <f t="shared" si="16"/>
        <v>40.880000000000003</v>
      </c>
      <c r="V115" s="166">
        <f t="shared" si="17"/>
        <v>2.3199999999999998</v>
      </c>
      <c r="W115" s="167">
        <f t="shared" si="18"/>
        <v>0.8</v>
      </c>
      <c r="X115" s="168">
        <f t="shared" si="19"/>
        <v>1</v>
      </c>
      <c r="Y115" s="14"/>
    </row>
    <row r="116" spans="1:25">
      <c r="A116" s="232"/>
      <c r="B116" s="27"/>
      <c r="C116" s="24" t="s">
        <v>1165</v>
      </c>
      <c r="D116" s="24" t="s">
        <v>42</v>
      </c>
      <c r="E116" s="25">
        <v>42</v>
      </c>
      <c r="F116" s="27" t="s">
        <v>1237</v>
      </c>
      <c r="G116" s="180">
        <v>105</v>
      </c>
      <c r="H116" s="150">
        <f t="shared" si="10"/>
        <v>4410</v>
      </c>
      <c r="I116" s="306">
        <v>9</v>
      </c>
      <c r="J116" s="155">
        <v>14.41</v>
      </c>
      <c r="K116" s="156">
        <v>2</v>
      </c>
      <c r="L116" s="157">
        <v>0.3</v>
      </c>
      <c r="M116" s="153">
        <f t="shared" si="11"/>
        <v>16.41</v>
      </c>
      <c r="N116" s="166">
        <v>1.42</v>
      </c>
      <c r="O116" s="167">
        <v>0.1</v>
      </c>
      <c r="P116" s="168">
        <v>0.5</v>
      </c>
      <c r="Q116" s="309">
        <f t="shared" si="12"/>
        <v>378</v>
      </c>
      <c r="R116" s="152">
        <f t="shared" si="13"/>
        <v>605.22</v>
      </c>
      <c r="S116" s="154">
        <f t="shared" si="14"/>
        <v>84</v>
      </c>
      <c r="T116" s="169">
        <f t="shared" si="15"/>
        <v>12.6</v>
      </c>
      <c r="U116" s="153">
        <f t="shared" si="16"/>
        <v>689.22</v>
      </c>
      <c r="V116" s="166">
        <f t="shared" si="17"/>
        <v>59.64</v>
      </c>
      <c r="W116" s="167">
        <f t="shared" si="18"/>
        <v>4.2</v>
      </c>
      <c r="X116" s="168">
        <f t="shared" si="19"/>
        <v>21</v>
      </c>
      <c r="Y116" s="14"/>
    </row>
    <row r="117" spans="1:25">
      <c r="A117" s="232"/>
      <c r="B117" s="27"/>
      <c r="C117" s="24" t="s">
        <v>1165</v>
      </c>
      <c r="D117" s="24" t="s">
        <v>42</v>
      </c>
      <c r="E117" s="25">
        <v>50</v>
      </c>
      <c r="F117" s="27" t="s">
        <v>1238</v>
      </c>
      <c r="G117" s="180">
        <v>38</v>
      </c>
      <c r="H117" s="150">
        <f t="shared" si="10"/>
        <v>1900</v>
      </c>
      <c r="I117" s="306">
        <v>3.5</v>
      </c>
      <c r="J117" s="155">
        <v>9.4</v>
      </c>
      <c r="K117" s="156">
        <v>0</v>
      </c>
      <c r="L117" s="157">
        <v>0</v>
      </c>
      <c r="M117" s="153">
        <f t="shared" si="11"/>
        <v>9.4</v>
      </c>
      <c r="N117" s="166">
        <v>0.33</v>
      </c>
      <c r="O117" s="167">
        <v>0.1</v>
      </c>
      <c r="P117" s="168">
        <v>0.1</v>
      </c>
      <c r="Q117" s="309">
        <f t="shared" si="12"/>
        <v>175</v>
      </c>
      <c r="R117" s="152">
        <f t="shared" si="13"/>
        <v>470</v>
      </c>
      <c r="S117" s="154">
        <f t="shared" si="14"/>
        <v>0</v>
      </c>
      <c r="T117" s="169">
        <f t="shared" si="15"/>
        <v>0</v>
      </c>
      <c r="U117" s="153">
        <f t="shared" si="16"/>
        <v>470</v>
      </c>
      <c r="V117" s="166">
        <f t="shared" si="17"/>
        <v>16.5</v>
      </c>
      <c r="W117" s="167">
        <f t="shared" si="18"/>
        <v>5</v>
      </c>
      <c r="X117" s="168">
        <f t="shared" si="19"/>
        <v>5</v>
      </c>
      <c r="Y117" s="14"/>
    </row>
    <row r="118" spans="1:25">
      <c r="A118" s="232">
        <v>40288</v>
      </c>
      <c r="B118" s="27">
        <v>453</v>
      </c>
      <c r="C118" s="24" t="s">
        <v>1050</v>
      </c>
      <c r="D118" s="24" t="s">
        <v>245</v>
      </c>
      <c r="E118" s="25">
        <v>15</v>
      </c>
      <c r="F118" s="27" t="s">
        <v>1239</v>
      </c>
      <c r="G118" s="180">
        <v>13</v>
      </c>
      <c r="H118" s="150">
        <f t="shared" si="10"/>
        <v>195</v>
      </c>
      <c r="I118" s="306">
        <v>1</v>
      </c>
      <c r="J118" s="155">
        <v>0.33</v>
      </c>
      <c r="K118" s="156">
        <v>1.5</v>
      </c>
      <c r="L118" s="157">
        <v>0.23</v>
      </c>
      <c r="M118" s="153">
        <f t="shared" si="11"/>
        <v>1.83</v>
      </c>
      <c r="N118" s="166">
        <v>0.28999999999999998</v>
      </c>
      <c r="O118" s="167">
        <v>0.1</v>
      </c>
      <c r="P118" s="168">
        <v>0.1</v>
      </c>
      <c r="Q118" s="309">
        <f t="shared" si="12"/>
        <v>15</v>
      </c>
      <c r="R118" s="152">
        <f t="shared" si="13"/>
        <v>4.95</v>
      </c>
      <c r="S118" s="154">
        <f t="shared" si="14"/>
        <v>22.5</v>
      </c>
      <c r="T118" s="169">
        <f t="shared" si="15"/>
        <v>3.45</v>
      </c>
      <c r="U118" s="153">
        <f t="shared" si="16"/>
        <v>27.450000000000003</v>
      </c>
      <c r="V118" s="166">
        <f t="shared" si="17"/>
        <v>4.3499999999999996</v>
      </c>
      <c r="W118" s="167">
        <f t="shared" si="18"/>
        <v>1.5</v>
      </c>
      <c r="X118" s="168">
        <f t="shared" si="19"/>
        <v>1.5</v>
      </c>
      <c r="Y118" s="14"/>
    </row>
    <row r="119" spans="1:25">
      <c r="A119" s="232"/>
      <c r="B119" s="27"/>
      <c r="C119" s="24" t="s">
        <v>1050</v>
      </c>
      <c r="D119" s="24" t="s">
        <v>245</v>
      </c>
      <c r="E119" s="25">
        <v>4</v>
      </c>
      <c r="F119" s="27" t="s">
        <v>1240</v>
      </c>
      <c r="G119" s="180">
        <v>13</v>
      </c>
      <c r="H119" s="150">
        <f t="shared" si="10"/>
        <v>52</v>
      </c>
      <c r="I119" s="306">
        <v>1</v>
      </c>
      <c r="J119" s="155">
        <v>0.33</v>
      </c>
      <c r="K119" s="156">
        <v>1.5</v>
      </c>
      <c r="L119" s="157">
        <v>0.23</v>
      </c>
      <c r="M119" s="153">
        <f t="shared" ref="M119:M127" si="20">J119+K119</f>
        <v>1.83</v>
      </c>
      <c r="N119" s="166">
        <v>0.28999999999999998</v>
      </c>
      <c r="O119" s="167">
        <v>0.1</v>
      </c>
      <c r="P119" s="168">
        <v>0.1</v>
      </c>
      <c r="Q119" s="309">
        <f t="shared" si="12"/>
        <v>4</v>
      </c>
      <c r="R119" s="152">
        <f t="shared" si="13"/>
        <v>1.32</v>
      </c>
      <c r="S119" s="154">
        <f t="shared" si="14"/>
        <v>6</v>
      </c>
      <c r="T119" s="169">
        <f t="shared" si="15"/>
        <v>0.92</v>
      </c>
      <c r="U119" s="153">
        <f t="shared" si="16"/>
        <v>7.32</v>
      </c>
      <c r="V119" s="166">
        <f t="shared" si="17"/>
        <v>1.1599999999999999</v>
      </c>
      <c r="W119" s="167">
        <f t="shared" si="18"/>
        <v>0.4</v>
      </c>
      <c r="X119" s="168">
        <f t="shared" si="19"/>
        <v>0.4</v>
      </c>
      <c r="Y119" s="14"/>
    </row>
    <row r="120" spans="1:25">
      <c r="A120" s="232"/>
      <c r="B120" s="27"/>
      <c r="C120" s="24" t="s">
        <v>1050</v>
      </c>
      <c r="D120" s="24" t="s">
        <v>245</v>
      </c>
      <c r="E120" s="25">
        <v>61</v>
      </c>
      <c r="F120" s="27" t="s">
        <v>1241</v>
      </c>
      <c r="G120" s="180">
        <v>13</v>
      </c>
      <c r="H120" s="150">
        <f t="shared" si="10"/>
        <v>793</v>
      </c>
      <c r="I120" s="306">
        <v>1</v>
      </c>
      <c r="J120" s="155">
        <v>0.33</v>
      </c>
      <c r="K120" s="156">
        <v>1.5</v>
      </c>
      <c r="L120" s="157">
        <v>0.23</v>
      </c>
      <c r="M120" s="153">
        <f t="shared" si="20"/>
        <v>1.83</v>
      </c>
      <c r="N120" s="166">
        <v>0.28999999999999998</v>
      </c>
      <c r="O120" s="167">
        <v>0.1</v>
      </c>
      <c r="P120" s="168">
        <v>0.1</v>
      </c>
      <c r="Q120" s="309">
        <f t="shared" si="12"/>
        <v>61</v>
      </c>
      <c r="R120" s="152">
        <f t="shared" si="13"/>
        <v>20.130000000000003</v>
      </c>
      <c r="S120" s="154">
        <f t="shared" si="14"/>
        <v>91.5</v>
      </c>
      <c r="T120" s="169">
        <f t="shared" si="15"/>
        <v>14.030000000000001</v>
      </c>
      <c r="U120" s="153">
        <f t="shared" si="16"/>
        <v>111.63000000000001</v>
      </c>
      <c r="V120" s="166">
        <f t="shared" si="17"/>
        <v>17.689999999999998</v>
      </c>
      <c r="W120" s="167">
        <f t="shared" si="18"/>
        <v>6.1000000000000005</v>
      </c>
      <c r="X120" s="168">
        <f t="shared" si="19"/>
        <v>6.1000000000000005</v>
      </c>
      <c r="Y120" s="14"/>
    </row>
    <row r="121" spans="1:25">
      <c r="A121" s="232"/>
      <c r="B121" s="27"/>
      <c r="C121" s="24" t="s">
        <v>1050</v>
      </c>
      <c r="D121" s="24" t="s">
        <v>245</v>
      </c>
      <c r="E121" s="25">
        <v>30</v>
      </c>
      <c r="F121" s="27" t="s">
        <v>1242</v>
      </c>
      <c r="G121" s="180">
        <v>13</v>
      </c>
      <c r="H121" s="150">
        <f t="shared" si="10"/>
        <v>390</v>
      </c>
      <c r="I121" s="306">
        <v>1</v>
      </c>
      <c r="J121" s="155">
        <v>0.33</v>
      </c>
      <c r="K121" s="156">
        <v>1.5</v>
      </c>
      <c r="L121" s="157">
        <v>0.23</v>
      </c>
      <c r="M121" s="153">
        <f t="shared" si="20"/>
        <v>1.83</v>
      </c>
      <c r="N121" s="166">
        <v>0.28999999999999998</v>
      </c>
      <c r="O121" s="167">
        <v>0.1</v>
      </c>
      <c r="P121" s="168">
        <v>0.1</v>
      </c>
      <c r="Q121" s="309">
        <f t="shared" si="12"/>
        <v>30</v>
      </c>
      <c r="R121" s="152">
        <f t="shared" si="13"/>
        <v>9.9</v>
      </c>
      <c r="S121" s="154">
        <f t="shared" si="14"/>
        <v>45</v>
      </c>
      <c r="T121" s="169">
        <f t="shared" si="15"/>
        <v>6.9</v>
      </c>
      <c r="U121" s="153">
        <f t="shared" si="16"/>
        <v>54.900000000000006</v>
      </c>
      <c r="V121" s="166">
        <f t="shared" si="17"/>
        <v>8.6999999999999993</v>
      </c>
      <c r="W121" s="167">
        <f t="shared" si="18"/>
        <v>3</v>
      </c>
      <c r="X121" s="168">
        <f t="shared" si="19"/>
        <v>3</v>
      </c>
      <c r="Y121" s="14"/>
    </row>
    <row r="122" spans="1:25">
      <c r="A122" s="232"/>
      <c r="B122" s="27"/>
      <c r="C122" s="24" t="s">
        <v>1050</v>
      </c>
      <c r="D122" s="24" t="s">
        <v>245</v>
      </c>
      <c r="E122" s="25">
        <f>50+2</f>
        <v>52</v>
      </c>
      <c r="F122" s="27" t="s">
        <v>1243</v>
      </c>
      <c r="G122" s="180">
        <v>13</v>
      </c>
      <c r="H122" s="150">
        <f t="shared" si="10"/>
        <v>676</v>
      </c>
      <c r="I122" s="306">
        <v>1</v>
      </c>
      <c r="J122" s="155">
        <v>0.33</v>
      </c>
      <c r="K122" s="156">
        <v>1.5</v>
      </c>
      <c r="L122" s="157">
        <v>0.23</v>
      </c>
      <c r="M122" s="153">
        <f t="shared" si="20"/>
        <v>1.83</v>
      </c>
      <c r="N122" s="166">
        <v>0.28999999999999998</v>
      </c>
      <c r="O122" s="167">
        <v>0.1</v>
      </c>
      <c r="P122" s="168">
        <v>0.1</v>
      </c>
      <c r="Q122" s="309">
        <f t="shared" si="12"/>
        <v>52</v>
      </c>
      <c r="R122" s="152">
        <f t="shared" si="13"/>
        <v>17.16</v>
      </c>
      <c r="S122" s="154">
        <f t="shared" si="14"/>
        <v>78</v>
      </c>
      <c r="T122" s="169">
        <f t="shared" si="15"/>
        <v>11.96</v>
      </c>
      <c r="U122" s="153">
        <f t="shared" si="16"/>
        <v>95.16</v>
      </c>
      <c r="V122" s="166">
        <f t="shared" si="17"/>
        <v>15.079999999999998</v>
      </c>
      <c r="W122" s="167">
        <f t="shared" si="18"/>
        <v>5.2</v>
      </c>
      <c r="X122" s="168">
        <f t="shared" si="19"/>
        <v>5.2</v>
      </c>
      <c r="Y122" s="14"/>
    </row>
    <row r="123" spans="1:25">
      <c r="A123" s="232"/>
      <c r="B123" s="27"/>
      <c r="C123" s="24" t="s">
        <v>1050</v>
      </c>
      <c r="D123" s="24" t="s">
        <v>245</v>
      </c>
      <c r="E123" s="25">
        <f>31+3</f>
        <v>34</v>
      </c>
      <c r="F123" s="27" t="s">
        <v>1244</v>
      </c>
      <c r="G123" s="180">
        <v>27</v>
      </c>
      <c r="H123" s="150">
        <f t="shared" si="10"/>
        <v>918</v>
      </c>
      <c r="I123" s="306">
        <v>1</v>
      </c>
      <c r="J123" s="155">
        <v>0.33</v>
      </c>
      <c r="K123" s="156">
        <v>1.5</v>
      </c>
      <c r="L123" s="157">
        <v>0.23</v>
      </c>
      <c r="M123" s="153">
        <f t="shared" si="20"/>
        <v>1.83</v>
      </c>
      <c r="N123" s="166">
        <v>0.28999999999999998</v>
      </c>
      <c r="O123" s="167">
        <v>0.1</v>
      </c>
      <c r="P123" s="168">
        <v>0.1</v>
      </c>
      <c r="Q123" s="309">
        <f t="shared" si="12"/>
        <v>34</v>
      </c>
      <c r="R123" s="152">
        <f t="shared" si="13"/>
        <v>11.22</v>
      </c>
      <c r="S123" s="154">
        <f t="shared" si="14"/>
        <v>51</v>
      </c>
      <c r="T123" s="169">
        <f t="shared" si="15"/>
        <v>7.82</v>
      </c>
      <c r="U123" s="153">
        <f t="shared" si="16"/>
        <v>62.22</v>
      </c>
      <c r="V123" s="166">
        <f t="shared" si="17"/>
        <v>9.86</v>
      </c>
      <c r="W123" s="167">
        <f t="shared" si="18"/>
        <v>3.4000000000000004</v>
      </c>
      <c r="X123" s="168">
        <f t="shared" si="19"/>
        <v>3.4000000000000004</v>
      </c>
      <c r="Y123" s="14"/>
    </row>
    <row r="124" spans="1:25">
      <c r="A124" s="232"/>
      <c r="B124" s="27"/>
      <c r="C124" s="24" t="s">
        <v>1050</v>
      </c>
      <c r="D124" s="24" t="s">
        <v>245</v>
      </c>
      <c r="E124" s="25">
        <v>5</v>
      </c>
      <c r="F124" s="27" t="s">
        <v>1245</v>
      </c>
      <c r="G124" s="180">
        <v>13</v>
      </c>
      <c r="H124" s="150">
        <f t="shared" si="10"/>
        <v>65</v>
      </c>
      <c r="I124" s="306">
        <v>1</v>
      </c>
      <c r="J124" s="155">
        <v>0.33</v>
      </c>
      <c r="K124" s="156">
        <v>1.5</v>
      </c>
      <c r="L124" s="157">
        <v>0.23</v>
      </c>
      <c r="M124" s="153">
        <f t="shared" si="20"/>
        <v>1.83</v>
      </c>
      <c r="N124" s="166">
        <v>0.28999999999999998</v>
      </c>
      <c r="O124" s="167">
        <v>0.1</v>
      </c>
      <c r="P124" s="168">
        <v>0.1</v>
      </c>
      <c r="Q124" s="309">
        <f t="shared" si="12"/>
        <v>5</v>
      </c>
      <c r="R124" s="152">
        <f t="shared" si="13"/>
        <v>1.6500000000000001</v>
      </c>
      <c r="S124" s="154">
        <f t="shared" si="14"/>
        <v>7.5</v>
      </c>
      <c r="T124" s="169">
        <f t="shared" si="15"/>
        <v>1.1500000000000001</v>
      </c>
      <c r="U124" s="153">
        <f t="shared" si="16"/>
        <v>9.15</v>
      </c>
      <c r="V124" s="166">
        <f t="shared" si="17"/>
        <v>1.45</v>
      </c>
      <c r="W124" s="167">
        <f t="shared" si="18"/>
        <v>0.5</v>
      </c>
      <c r="X124" s="168">
        <f t="shared" si="19"/>
        <v>0.5</v>
      </c>
      <c r="Y124" s="14"/>
    </row>
    <row r="125" spans="1:25">
      <c r="A125" s="232"/>
      <c r="B125" s="27"/>
      <c r="C125" s="24" t="s">
        <v>1050</v>
      </c>
      <c r="D125" s="24" t="s">
        <v>245</v>
      </c>
      <c r="E125" s="25">
        <v>1</v>
      </c>
      <c r="F125" s="27" t="s">
        <v>1246</v>
      </c>
      <c r="G125" s="180">
        <v>13</v>
      </c>
      <c r="H125" s="150">
        <f t="shared" si="10"/>
        <v>13</v>
      </c>
      <c r="I125" s="306">
        <v>1</v>
      </c>
      <c r="J125" s="155">
        <v>0.33</v>
      </c>
      <c r="K125" s="156">
        <v>1.5</v>
      </c>
      <c r="L125" s="157">
        <v>0.23</v>
      </c>
      <c r="M125" s="153">
        <f t="shared" si="20"/>
        <v>1.83</v>
      </c>
      <c r="N125" s="166">
        <v>0.28999999999999998</v>
      </c>
      <c r="O125" s="167">
        <v>0.1</v>
      </c>
      <c r="P125" s="168">
        <v>0.1</v>
      </c>
      <c r="Q125" s="309">
        <f t="shared" si="12"/>
        <v>1</v>
      </c>
      <c r="R125" s="152">
        <f t="shared" si="13"/>
        <v>0.33</v>
      </c>
      <c r="S125" s="154">
        <f t="shared" si="14"/>
        <v>1.5</v>
      </c>
      <c r="T125" s="169">
        <f t="shared" si="15"/>
        <v>0.23</v>
      </c>
      <c r="U125" s="153">
        <f t="shared" si="16"/>
        <v>1.83</v>
      </c>
      <c r="V125" s="166">
        <f t="shared" si="17"/>
        <v>0.28999999999999998</v>
      </c>
      <c r="W125" s="167">
        <f t="shared" si="18"/>
        <v>0.1</v>
      </c>
      <c r="X125" s="168">
        <f t="shared" si="19"/>
        <v>0.1</v>
      </c>
      <c r="Y125" s="14"/>
    </row>
    <row r="126" spans="1:25">
      <c r="A126" s="232"/>
      <c r="B126" s="27"/>
      <c r="C126" s="24" t="s">
        <v>1050</v>
      </c>
      <c r="D126" s="24" t="s">
        <v>245</v>
      </c>
      <c r="E126" s="25">
        <v>5</v>
      </c>
      <c r="F126" s="27" t="s">
        <v>1247</v>
      </c>
      <c r="G126" s="180">
        <v>13</v>
      </c>
      <c r="H126" s="150">
        <f t="shared" si="10"/>
        <v>65</v>
      </c>
      <c r="I126" s="306">
        <v>1</v>
      </c>
      <c r="J126" s="155">
        <v>0.33</v>
      </c>
      <c r="K126" s="156">
        <v>1.5</v>
      </c>
      <c r="L126" s="157">
        <v>0.23</v>
      </c>
      <c r="M126" s="153">
        <f t="shared" si="20"/>
        <v>1.83</v>
      </c>
      <c r="N126" s="166">
        <v>0.28999999999999998</v>
      </c>
      <c r="O126" s="167">
        <v>0.1</v>
      </c>
      <c r="P126" s="168">
        <v>0.1</v>
      </c>
      <c r="Q126" s="309">
        <f t="shared" si="12"/>
        <v>5</v>
      </c>
      <c r="R126" s="152">
        <f t="shared" si="13"/>
        <v>1.6500000000000001</v>
      </c>
      <c r="S126" s="154">
        <f t="shared" si="14"/>
        <v>7.5</v>
      </c>
      <c r="T126" s="169">
        <f t="shared" si="15"/>
        <v>1.1500000000000001</v>
      </c>
      <c r="U126" s="153">
        <f t="shared" si="16"/>
        <v>9.15</v>
      </c>
      <c r="V126" s="166">
        <f t="shared" si="17"/>
        <v>1.45</v>
      </c>
      <c r="W126" s="167">
        <f t="shared" si="18"/>
        <v>0.5</v>
      </c>
      <c r="X126" s="168">
        <f t="shared" si="19"/>
        <v>0.5</v>
      </c>
      <c r="Y126" s="14"/>
    </row>
    <row r="127" spans="1:25">
      <c r="A127" s="232"/>
      <c r="B127" s="27"/>
      <c r="C127" s="24" t="s">
        <v>1050</v>
      </c>
      <c r="D127" s="24" t="s">
        <v>245</v>
      </c>
      <c r="E127" s="25">
        <f>2+2</f>
        <v>4</v>
      </c>
      <c r="F127" s="27" t="s">
        <v>1248</v>
      </c>
      <c r="G127" s="180">
        <v>13</v>
      </c>
      <c r="H127" s="150">
        <f t="shared" si="10"/>
        <v>52</v>
      </c>
      <c r="I127" s="306">
        <v>1</v>
      </c>
      <c r="J127" s="155">
        <v>0.33</v>
      </c>
      <c r="K127" s="156">
        <v>1.5</v>
      </c>
      <c r="L127" s="157">
        <v>0.23</v>
      </c>
      <c r="M127" s="153">
        <f t="shared" si="20"/>
        <v>1.83</v>
      </c>
      <c r="N127" s="166">
        <v>0.28999999999999998</v>
      </c>
      <c r="O127" s="167">
        <v>0.1</v>
      </c>
      <c r="P127" s="168">
        <v>0.1</v>
      </c>
      <c r="Q127" s="309">
        <f t="shared" si="12"/>
        <v>4</v>
      </c>
      <c r="R127" s="152">
        <f t="shared" si="13"/>
        <v>1.32</v>
      </c>
      <c r="S127" s="154">
        <f t="shared" si="14"/>
        <v>6</v>
      </c>
      <c r="T127" s="169">
        <f t="shared" si="15"/>
        <v>0.92</v>
      </c>
      <c r="U127" s="153">
        <f t="shared" si="16"/>
        <v>7.32</v>
      </c>
      <c r="V127" s="166">
        <f t="shared" si="17"/>
        <v>1.1599999999999999</v>
      </c>
      <c r="W127" s="167">
        <f t="shared" si="18"/>
        <v>0.4</v>
      </c>
      <c r="X127" s="168">
        <f t="shared" si="19"/>
        <v>0.4</v>
      </c>
      <c r="Y127" s="14"/>
    </row>
    <row r="128" spans="1:25">
      <c r="A128" s="146">
        <v>40288</v>
      </c>
      <c r="B128" s="28">
        <v>454</v>
      </c>
      <c r="C128" s="24" t="s">
        <v>1050</v>
      </c>
      <c r="D128" s="24" t="s">
        <v>245</v>
      </c>
      <c r="E128" s="26">
        <v>1</v>
      </c>
      <c r="F128" s="28" t="s">
        <v>1249</v>
      </c>
      <c r="G128" s="37">
        <v>49.5</v>
      </c>
      <c r="H128" s="150">
        <f t="shared" si="10"/>
        <v>49.5</v>
      </c>
      <c r="I128" s="306">
        <v>5</v>
      </c>
      <c r="J128" s="155">
        <v>11.63</v>
      </c>
      <c r="K128" s="156">
        <v>0</v>
      </c>
      <c r="L128" s="157">
        <v>0</v>
      </c>
      <c r="M128" s="153">
        <f t="shared" si="11"/>
        <v>11.63</v>
      </c>
      <c r="N128" s="166">
        <v>0.57999999999999996</v>
      </c>
      <c r="O128" s="167">
        <v>0.1</v>
      </c>
      <c r="P128" s="168">
        <v>0.1</v>
      </c>
      <c r="Q128" s="309">
        <f t="shared" si="12"/>
        <v>5</v>
      </c>
      <c r="R128" s="152">
        <f t="shared" si="13"/>
        <v>11.63</v>
      </c>
      <c r="S128" s="154">
        <f t="shared" si="14"/>
        <v>0</v>
      </c>
      <c r="T128" s="169">
        <f t="shared" si="15"/>
        <v>0</v>
      </c>
      <c r="U128" s="153">
        <f t="shared" si="16"/>
        <v>11.63</v>
      </c>
      <c r="V128" s="166">
        <f t="shared" si="17"/>
        <v>0.57999999999999996</v>
      </c>
      <c r="W128" s="167">
        <f t="shared" si="18"/>
        <v>0.1</v>
      </c>
      <c r="X128" s="168">
        <f t="shared" si="19"/>
        <v>0.1</v>
      </c>
      <c r="Y128" s="14"/>
    </row>
    <row r="129" spans="1:25">
      <c r="A129" s="146"/>
      <c r="B129" s="28"/>
      <c r="C129" s="24" t="s">
        <v>1050</v>
      </c>
      <c r="D129" s="24" t="s">
        <v>245</v>
      </c>
      <c r="E129" s="26">
        <v>5</v>
      </c>
      <c r="F129" s="28" t="s">
        <v>1250</v>
      </c>
      <c r="G129" s="37">
        <v>49.5</v>
      </c>
      <c r="H129" s="150">
        <f t="shared" si="10"/>
        <v>247.5</v>
      </c>
      <c r="I129" s="306">
        <v>5</v>
      </c>
      <c r="J129" s="155">
        <v>11.63</v>
      </c>
      <c r="K129" s="156">
        <v>0</v>
      </c>
      <c r="L129" s="157">
        <v>0</v>
      </c>
      <c r="M129" s="153">
        <f>J129+K129</f>
        <v>11.63</v>
      </c>
      <c r="N129" s="166">
        <v>0.57999999999999996</v>
      </c>
      <c r="O129" s="167">
        <v>0.1</v>
      </c>
      <c r="P129" s="168">
        <v>0.1</v>
      </c>
      <c r="Q129" s="309">
        <f t="shared" si="12"/>
        <v>25</v>
      </c>
      <c r="R129" s="152">
        <f t="shared" si="13"/>
        <v>58.150000000000006</v>
      </c>
      <c r="S129" s="154">
        <f t="shared" si="14"/>
        <v>0</v>
      </c>
      <c r="T129" s="169">
        <f t="shared" si="15"/>
        <v>0</v>
      </c>
      <c r="U129" s="153">
        <f t="shared" si="16"/>
        <v>58.150000000000006</v>
      </c>
      <c r="V129" s="166">
        <f t="shared" si="17"/>
        <v>2.9</v>
      </c>
      <c r="W129" s="167">
        <f t="shared" si="18"/>
        <v>0.5</v>
      </c>
      <c r="X129" s="168">
        <f t="shared" si="19"/>
        <v>0.5</v>
      </c>
      <c r="Y129" s="14"/>
    </row>
    <row r="130" spans="1:25">
      <c r="A130" s="146"/>
      <c r="B130" s="28"/>
      <c r="C130" s="24" t="s">
        <v>1050</v>
      </c>
      <c r="D130" s="24" t="s">
        <v>245</v>
      </c>
      <c r="E130" s="26">
        <v>2</v>
      </c>
      <c r="F130" s="28" t="s">
        <v>1251</v>
      </c>
      <c r="G130" s="37">
        <v>49.5</v>
      </c>
      <c r="H130" s="150">
        <f t="shared" si="10"/>
        <v>99</v>
      </c>
      <c r="I130" s="306">
        <v>5</v>
      </c>
      <c r="J130" s="155">
        <v>11.63</v>
      </c>
      <c r="K130" s="156">
        <v>0</v>
      </c>
      <c r="L130" s="157">
        <v>0</v>
      </c>
      <c r="M130" s="153">
        <f>J130+K130</f>
        <v>11.63</v>
      </c>
      <c r="N130" s="166">
        <v>0.57999999999999996</v>
      </c>
      <c r="O130" s="167">
        <v>0.1</v>
      </c>
      <c r="P130" s="168">
        <v>0.1</v>
      </c>
      <c r="Q130" s="309">
        <f t="shared" si="12"/>
        <v>10</v>
      </c>
      <c r="R130" s="152">
        <f t="shared" si="13"/>
        <v>23.26</v>
      </c>
      <c r="S130" s="154">
        <f t="shared" si="14"/>
        <v>0</v>
      </c>
      <c r="T130" s="169">
        <f t="shared" si="15"/>
        <v>0</v>
      </c>
      <c r="U130" s="153">
        <f t="shared" si="16"/>
        <v>23.26</v>
      </c>
      <c r="V130" s="166">
        <f t="shared" si="17"/>
        <v>1.1599999999999999</v>
      </c>
      <c r="W130" s="167">
        <f t="shared" si="18"/>
        <v>0.2</v>
      </c>
      <c r="X130" s="168">
        <f t="shared" si="19"/>
        <v>0.2</v>
      </c>
      <c r="Y130" s="14"/>
    </row>
    <row r="131" spans="1:25">
      <c r="A131" s="146"/>
      <c r="B131" s="28"/>
      <c r="C131" s="24" t="s">
        <v>1050</v>
      </c>
      <c r="D131" s="24" t="s">
        <v>245</v>
      </c>
      <c r="E131" s="26">
        <v>2</v>
      </c>
      <c r="F131" s="28" t="s">
        <v>1252</v>
      </c>
      <c r="G131" s="37">
        <v>49.5</v>
      </c>
      <c r="H131" s="150">
        <f t="shared" si="10"/>
        <v>99</v>
      </c>
      <c r="I131" s="306">
        <v>5</v>
      </c>
      <c r="J131" s="155">
        <v>11.63</v>
      </c>
      <c r="K131" s="156">
        <v>0</v>
      </c>
      <c r="L131" s="157">
        <v>0</v>
      </c>
      <c r="M131" s="153">
        <f>J131+K131</f>
        <v>11.63</v>
      </c>
      <c r="N131" s="166">
        <v>0.57999999999999996</v>
      </c>
      <c r="O131" s="167">
        <v>0.1</v>
      </c>
      <c r="P131" s="168">
        <v>0.1</v>
      </c>
      <c r="Q131" s="309">
        <f t="shared" si="12"/>
        <v>10</v>
      </c>
      <c r="R131" s="152">
        <f t="shared" si="13"/>
        <v>23.26</v>
      </c>
      <c r="S131" s="154">
        <f t="shared" si="14"/>
        <v>0</v>
      </c>
      <c r="T131" s="169">
        <f t="shared" si="15"/>
        <v>0</v>
      </c>
      <c r="U131" s="153">
        <f t="shared" si="16"/>
        <v>23.26</v>
      </c>
      <c r="V131" s="166">
        <f t="shared" si="17"/>
        <v>1.1599999999999999</v>
      </c>
      <c r="W131" s="167">
        <f t="shared" si="18"/>
        <v>0.2</v>
      </c>
      <c r="X131" s="168">
        <f t="shared" si="19"/>
        <v>0.2</v>
      </c>
      <c r="Y131" s="14"/>
    </row>
    <row r="132" spans="1:25">
      <c r="A132" s="146"/>
      <c r="B132" s="28"/>
      <c r="C132" s="24" t="s">
        <v>1050</v>
      </c>
      <c r="D132" s="24" t="s">
        <v>245</v>
      </c>
      <c r="E132" s="26">
        <v>9</v>
      </c>
      <c r="F132" s="28" t="s">
        <v>1253</v>
      </c>
      <c r="G132" s="37">
        <v>59.75</v>
      </c>
      <c r="H132" s="150">
        <f t="shared" si="10"/>
        <v>537.75</v>
      </c>
      <c r="I132" s="306">
        <v>6</v>
      </c>
      <c r="J132" s="155">
        <v>6.61</v>
      </c>
      <c r="K132" s="156">
        <v>1.5</v>
      </c>
      <c r="L132" s="157">
        <v>0.23</v>
      </c>
      <c r="M132" s="153">
        <f t="shared" si="11"/>
        <v>8.11</v>
      </c>
      <c r="N132" s="166">
        <v>0.57999999999999996</v>
      </c>
      <c r="O132" s="167">
        <v>0.2</v>
      </c>
      <c r="P132" s="168">
        <v>0.2</v>
      </c>
      <c r="Q132" s="309">
        <f t="shared" si="12"/>
        <v>54</v>
      </c>
      <c r="R132" s="152">
        <f t="shared" si="13"/>
        <v>59.49</v>
      </c>
      <c r="S132" s="154">
        <f t="shared" si="14"/>
        <v>13.5</v>
      </c>
      <c r="T132" s="169">
        <f t="shared" si="15"/>
        <v>2.0700000000000003</v>
      </c>
      <c r="U132" s="153">
        <f t="shared" si="16"/>
        <v>72.989999999999995</v>
      </c>
      <c r="V132" s="166">
        <f t="shared" si="17"/>
        <v>5.22</v>
      </c>
      <c r="W132" s="167">
        <f t="shared" si="18"/>
        <v>1.8</v>
      </c>
      <c r="X132" s="168">
        <f t="shared" si="19"/>
        <v>1.8</v>
      </c>
      <c r="Y132" s="14"/>
    </row>
    <row r="133" spans="1:25">
      <c r="A133" s="146">
        <v>40290</v>
      </c>
      <c r="B133" s="28">
        <v>455</v>
      </c>
      <c r="C133" s="20" t="s">
        <v>1254</v>
      </c>
      <c r="D133" s="20" t="s">
        <v>1255</v>
      </c>
      <c r="E133" s="26">
        <v>30</v>
      </c>
      <c r="F133" s="28" t="s">
        <v>1256</v>
      </c>
      <c r="G133" s="37">
        <v>60</v>
      </c>
      <c r="H133" s="150">
        <f t="shared" si="10"/>
        <v>1800</v>
      </c>
      <c r="I133" s="307">
        <v>8.5</v>
      </c>
      <c r="J133" s="155">
        <v>19.77</v>
      </c>
      <c r="K133" s="156">
        <v>2</v>
      </c>
      <c r="L133" s="157">
        <v>0.3</v>
      </c>
      <c r="M133" s="153">
        <f>J133+K133</f>
        <v>21.77</v>
      </c>
      <c r="N133" s="166">
        <v>0.67</v>
      </c>
      <c r="O133" s="167">
        <v>0.2</v>
      </c>
      <c r="P133" s="168">
        <v>0.2</v>
      </c>
      <c r="Q133" s="309">
        <f t="shared" si="12"/>
        <v>255</v>
      </c>
      <c r="R133" s="152">
        <f t="shared" si="13"/>
        <v>593.1</v>
      </c>
      <c r="S133" s="154">
        <f t="shared" si="14"/>
        <v>60</v>
      </c>
      <c r="T133" s="169">
        <f t="shared" si="15"/>
        <v>9</v>
      </c>
      <c r="U133" s="153">
        <f t="shared" si="16"/>
        <v>653.1</v>
      </c>
      <c r="V133" s="166">
        <f t="shared" si="17"/>
        <v>20.100000000000001</v>
      </c>
      <c r="W133" s="167">
        <f t="shared" si="18"/>
        <v>6</v>
      </c>
      <c r="X133" s="168">
        <f t="shared" si="19"/>
        <v>6</v>
      </c>
      <c r="Y133" s="14"/>
    </row>
    <row r="134" spans="1:25">
      <c r="A134" s="146"/>
      <c r="B134" s="28"/>
      <c r="C134" s="20" t="s">
        <v>1254</v>
      </c>
      <c r="D134" s="20" t="s">
        <v>1255</v>
      </c>
      <c r="E134" s="26">
        <v>30</v>
      </c>
      <c r="F134" s="28" t="s">
        <v>1257</v>
      </c>
      <c r="G134" s="37">
        <v>12.5</v>
      </c>
      <c r="H134" s="150">
        <f t="shared" si="10"/>
        <v>375</v>
      </c>
      <c r="I134" s="306">
        <v>1</v>
      </c>
      <c r="J134" s="155">
        <v>1.62</v>
      </c>
      <c r="K134" s="156">
        <v>1.7</v>
      </c>
      <c r="L134" s="157">
        <v>0.26</v>
      </c>
      <c r="M134" s="153">
        <f t="shared" si="11"/>
        <v>3.3200000000000003</v>
      </c>
      <c r="N134" s="166">
        <v>0.28999999999999998</v>
      </c>
      <c r="O134" s="167">
        <v>0.1</v>
      </c>
      <c r="P134" s="168">
        <v>0.1</v>
      </c>
      <c r="Q134" s="309">
        <f t="shared" si="12"/>
        <v>30</v>
      </c>
      <c r="R134" s="152">
        <f t="shared" si="13"/>
        <v>48.6</v>
      </c>
      <c r="S134" s="154">
        <f t="shared" si="14"/>
        <v>51</v>
      </c>
      <c r="T134" s="169">
        <f t="shared" si="15"/>
        <v>7.8000000000000007</v>
      </c>
      <c r="U134" s="153">
        <f t="shared" si="16"/>
        <v>99.600000000000009</v>
      </c>
      <c r="V134" s="166">
        <f t="shared" si="17"/>
        <v>8.6999999999999993</v>
      </c>
      <c r="W134" s="167">
        <f t="shared" si="18"/>
        <v>3</v>
      </c>
      <c r="X134" s="168">
        <f t="shared" si="19"/>
        <v>3</v>
      </c>
      <c r="Y134" s="14"/>
    </row>
    <row r="135" spans="1:25">
      <c r="A135" s="146">
        <v>40291</v>
      </c>
      <c r="B135" s="28">
        <v>456</v>
      </c>
      <c r="C135" s="20" t="s">
        <v>413</v>
      </c>
      <c r="D135" s="20" t="s">
        <v>1258</v>
      </c>
      <c r="E135" s="26">
        <v>2</v>
      </c>
      <c r="F135" s="28" t="s">
        <v>1259</v>
      </c>
      <c r="G135" s="37">
        <v>42</v>
      </c>
      <c r="H135" s="150">
        <f t="shared" si="10"/>
        <v>84</v>
      </c>
      <c r="I135" s="307">
        <v>3.5</v>
      </c>
      <c r="J135" s="155">
        <v>3</v>
      </c>
      <c r="K135" s="156">
        <v>1</v>
      </c>
      <c r="L135" s="157">
        <v>0.15</v>
      </c>
      <c r="M135" s="153">
        <f t="shared" si="11"/>
        <v>4</v>
      </c>
      <c r="N135" s="166">
        <v>0.33</v>
      </c>
      <c r="O135" s="167">
        <v>0.1</v>
      </c>
      <c r="P135" s="168">
        <v>0.1</v>
      </c>
      <c r="Q135" s="309">
        <f t="shared" si="12"/>
        <v>7</v>
      </c>
      <c r="R135" s="152">
        <f t="shared" si="13"/>
        <v>6</v>
      </c>
      <c r="S135" s="154">
        <f t="shared" si="14"/>
        <v>2</v>
      </c>
      <c r="T135" s="169">
        <f t="shared" si="15"/>
        <v>0.3</v>
      </c>
      <c r="U135" s="153">
        <f t="shared" si="16"/>
        <v>8</v>
      </c>
      <c r="V135" s="166">
        <f t="shared" si="17"/>
        <v>0.66</v>
      </c>
      <c r="W135" s="167">
        <f t="shared" si="18"/>
        <v>0.2</v>
      </c>
      <c r="X135" s="168">
        <f t="shared" si="19"/>
        <v>0.2</v>
      </c>
      <c r="Y135" s="14"/>
    </row>
    <row r="136" spans="1:25">
      <c r="A136" s="146"/>
      <c r="B136" s="28"/>
      <c r="C136" s="20" t="s">
        <v>413</v>
      </c>
      <c r="D136" s="20" t="s">
        <v>1258</v>
      </c>
      <c r="E136" s="26">
        <v>2</v>
      </c>
      <c r="F136" s="28" t="s">
        <v>1260</v>
      </c>
      <c r="G136" s="37">
        <v>42</v>
      </c>
      <c r="H136" s="150">
        <f t="shared" si="10"/>
        <v>84</v>
      </c>
      <c r="I136" s="306">
        <v>3.5</v>
      </c>
      <c r="J136" s="155">
        <v>3</v>
      </c>
      <c r="K136" s="156">
        <v>1</v>
      </c>
      <c r="L136" s="157">
        <v>0.15</v>
      </c>
      <c r="M136" s="153">
        <f t="shared" si="11"/>
        <v>4</v>
      </c>
      <c r="N136" s="166">
        <v>0.33</v>
      </c>
      <c r="O136" s="167">
        <v>0.1</v>
      </c>
      <c r="P136" s="168">
        <v>0.1</v>
      </c>
      <c r="Q136" s="309">
        <f t="shared" si="12"/>
        <v>7</v>
      </c>
      <c r="R136" s="152">
        <f t="shared" si="13"/>
        <v>6</v>
      </c>
      <c r="S136" s="154">
        <f t="shared" si="14"/>
        <v>2</v>
      </c>
      <c r="T136" s="169">
        <f t="shared" si="15"/>
        <v>0.3</v>
      </c>
      <c r="U136" s="153">
        <f t="shared" si="16"/>
        <v>8</v>
      </c>
      <c r="V136" s="166">
        <f t="shared" si="17"/>
        <v>0.66</v>
      </c>
      <c r="W136" s="167">
        <f t="shared" si="18"/>
        <v>0.2</v>
      </c>
      <c r="X136" s="168">
        <f t="shared" si="19"/>
        <v>0.2</v>
      </c>
      <c r="Y136" s="14"/>
    </row>
    <row r="137" spans="1:25">
      <c r="A137" s="146"/>
      <c r="B137" s="28"/>
      <c r="C137" s="20" t="s">
        <v>413</v>
      </c>
      <c r="D137" s="20" t="s">
        <v>1258</v>
      </c>
      <c r="E137" s="26">
        <v>2</v>
      </c>
      <c r="F137" s="28" t="s">
        <v>1261</v>
      </c>
      <c r="G137" s="37">
        <v>42</v>
      </c>
      <c r="H137" s="150">
        <f t="shared" ref="H137:H159" si="21">E137*G137</f>
        <v>84</v>
      </c>
      <c r="I137" s="306">
        <v>3.5</v>
      </c>
      <c r="J137" s="155">
        <v>3</v>
      </c>
      <c r="K137" s="156">
        <v>1</v>
      </c>
      <c r="L137" s="157">
        <v>0.15</v>
      </c>
      <c r="M137" s="153">
        <f t="shared" si="11"/>
        <v>4</v>
      </c>
      <c r="N137" s="166">
        <v>0.33</v>
      </c>
      <c r="O137" s="167">
        <v>0.1</v>
      </c>
      <c r="P137" s="168">
        <v>0.1</v>
      </c>
      <c r="Q137" s="309">
        <f t="shared" si="12"/>
        <v>7</v>
      </c>
      <c r="R137" s="152">
        <f t="shared" si="13"/>
        <v>6</v>
      </c>
      <c r="S137" s="154">
        <f t="shared" si="14"/>
        <v>2</v>
      </c>
      <c r="T137" s="169">
        <f t="shared" si="15"/>
        <v>0.3</v>
      </c>
      <c r="U137" s="153">
        <f t="shared" si="16"/>
        <v>8</v>
      </c>
      <c r="V137" s="166">
        <f t="shared" si="17"/>
        <v>0.66</v>
      </c>
      <c r="W137" s="167">
        <f t="shared" si="18"/>
        <v>0.2</v>
      </c>
      <c r="X137" s="168">
        <f t="shared" si="19"/>
        <v>0.2</v>
      </c>
      <c r="Y137" s="14"/>
    </row>
    <row r="138" spans="1:25">
      <c r="A138" s="146"/>
      <c r="B138" s="28"/>
      <c r="C138" s="20" t="s">
        <v>413</v>
      </c>
      <c r="D138" s="20" t="s">
        <v>1258</v>
      </c>
      <c r="E138" s="26">
        <v>6</v>
      </c>
      <c r="F138" s="28" t="s">
        <v>1262</v>
      </c>
      <c r="G138" s="37">
        <v>40</v>
      </c>
      <c r="H138" s="150">
        <f t="shared" si="21"/>
        <v>240</v>
      </c>
      <c r="I138" s="306">
        <v>0</v>
      </c>
      <c r="J138" s="155">
        <v>0</v>
      </c>
      <c r="K138" s="156">
        <v>0</v>
      </c>
      <c r="L138" s="157">
        <v>0</v>
      </c>
      <c r="M138" s="153">
        <f t="shared" si="11"/>
        <v>0</v>
      </c>
      <c r="N138" s="166">
        <v>0</v>
      </c>
      <c r="O138" s="167">
        <v>0</v>
      </c>
      <c r="P138" s="168">
        <v>0</v>
      </c>
      <c r="Q138" s="309">
        <f t="shared" si="12"/>
        <v>0</v>
      </c>
      <c r="R138" s="152">
        <f t="shared" si="13"/>
        <v>0</v>
      </c>
      <c r="S138" s="154">
        <f t="shared" si="14"/>
        <v>0</v>
      </c>
      <c r="T138" s="169">
        <f t="shared" si="15"/>
        <v>0</v>
      </c>
      <c r="U138" s="153">
        <f t="shared" si="16"/>
        <v>0</v>
      </c>
      <c r="V138" s="166">
        <f t="shared" si="17"/>
        <v>0</v>
      </c>
      <c r="W138" s="167">
        <f t="shared" si="18"/>
        <v>0</v>
      </c>
      <c r="X138" s="168">
        <f t="shared" si="19"/>
        <v>0</v>
      </c>
      <c r="Y138" s="14" t="s">
        <v>931</v>
      </c>
    </row>
    <row r="139" spans="1:25">
      <c r="A139" s="146"/>
      <c r="B139" s="28"/>
      <c r="C139" s="20" t="s">
        <v>413</v>
      </c>
      <c r="D139" s="20" t="s">
        <v>1258</v>
      </c>
      <c r="E139" s="26">
        <f>6+1</f>
        <v>7</v>
      </c>
      <c r="F139" s="28" t="s">
        <v>1263</v>
      </c>
      <c r="G139" s="37">
        <v>62.5</v>
      </c>
      <c r="H139" s="150">
        <f t="shared" si="21"/>
        <v>437.5</v>
      </c>
      <c r="I139" s="306">
        <v>6.5</v>
      </c>
      <c r="J139" s="155">
        <v>18.260000000000002</v>
      </c>
      <c r="K139" s="156">
        <v>1.25</v>
      </c>
      <c r="L139" s="157">
        <v>0.19</v>
      </c>
      <c r="M139" s="153">
        <f>J139+K139</f>
        <v>19.510000000000002</v>
      </c>
      <c r="N139" s="166">
        <v>0.83</v>
      </c>
      <c r="O139" s="167">
        <v>0.1</v>
      </c>
      <c r="P139" s="168">
        <v>0.2</v>
      </c>
      <c r="Q139" s="309">
        <f t="shared" si="12"/>
        <v>45.5</v>
      </c>
      <c r="R139" s="152">
        <f t="shared" si="13"/>
        <v>127.82000000000001</v>
      </c>
      <c r="S139" s="154">
        <f t="shared" si="14"/>
        <v>8.75</v>
      </c>
      <c r="T139" s="169">
        <f t="shared" si="15"/>
        <v>1.33</v>
      </c>
      <c r="U139" s="153">
        <f t="shared" si="16"/>
        <v>136.57000000000002</v>
      </c>
      <c r="V139" s="166">
        <f t="shared" si="17"/>
        <v>5.81</v>
      </c>
      <c r="W139" s="167">
        <f t="shared" si="18"/>
        <v>0.70000000000000007</v>
      </c>
      <c r="X139" s="168">
        <f t="shared" si="19"/>
        <v>1.4000000000000001</v>
      </c>
      <c r="Y139" s="14"/>
    </row>
    <row r="140" spans="1:25">
      <c r="A140" s="146">
        <v>40292</v>
      </c>
      <c r="B140" s="28">
        <v>457</v>
      </c>
      <c r="C140" s="20" t="s">
        <v>1264</v>
      </c>
      <c r="D140" s="20" t="s">
        <v>198</v>
      </c>
      <c r="E140" s="26">
        <v>20</v>
      </c>
      <c r="F140" s="28" t="s">
        <v>1265</v>
      </c>
      <c r="G140" s="37">
        <v>54.5</v>
      </c>
      <c r="H140" s="150">
        <f t="shared" si="21"/>
        <v>1090</v>
      </c>
      <c r="I140" s="306">
        <v>8.5</v>
      </c>
      <c r="J140" s="155">
        <v>14.41</v>
      </c>
      <c r="K140" s="156">
        <v>3</v>
      </c>
      <c r="L140" s="157">
        <v>0.45400000000000001</v>
      </c>
      <c r="M140" s="153">
        <f>J140+K140</f>
        <v>17.41</v>
      </c>
      <c r="N140" s="166">
        <v>0.67</v>
      </c>
      <c r="O140" s="167">
        <v>0.25</v>
      </c>
      <c r="P140" s="168">
        <v>0.1</v>
      </c>
      <c r="Q140" s="309">
        <f t="shared" si="12"/>
        <v>170</v>
      </c>
      <c r="R140" s="152">
        <f t="shared" si="13"/>
        <v>288.2</v>
      </c>
      <c r="S140" s="154">
        <f t="shared" si="14"/>
        <v>60</v>
      </c>
      <c r="T140" s="169">
        <f t="shared" si="15"/>
        <v>9.08</v>
      </c>
      <c r="U140" s="153">
        <f t="shared" si="16"/>
        <v>348.2</v>
      </c>
      <c r="V140" s="166">
        <f t="shared" si="17"/>
        <v>13.4</v>
      </c>
      <c r="W140" s="167">
        <f t="shared" si="18"/>
        <v>5</v>
      </c>
      <c r="X140" s="168">
        <f t="shared" si="19"/>
        <v>2</v>
      </c>
      <c r="Y140" s="14"/>
    </row>
    <row r="141" spans="1:25">
      <c r="A141" s="146"/>
      <c r="B141" s="28"/>
      <c r="C141" s="20" t="s">
        <v>1264</v>
      </c>
      <c r="D141" s="20" t="s">
        <v>198</v>
      </c>
      <c r="E141" s="26">
        <v>17</v>
      </c>
      <c r="F141" s="28" t="s">
        <v>1266</v>
      </c>
      <c r="G141" s="37">
        <v>12.5</v>
      </c>
      <c r="H141" s="150">
        <f t="shared" si="21"/>
        <v>212.5</v>
      </c>
      <c r="I141" s="306">
        <v>1</v>
      </c>
      <c r="J141" s="155">
        <v>1.63</v>
      </c>
      <c r="K141" s="156">
        <v>2.3199999999999998</v>
      </c>
      <c r="L141" s="157">
        <v>0.35</v>
      </c>
      <c r="M141" s="153">
        <f>J141+K141</f>
        <v>3.9499999999999997</v>
      </c>
      <c r="N141" s="166">
        <v>0.28999999999999998</v>
      </c>
      <c r="O141" s="167">
        <v>0.1</v>
      </c>
      <c r="P141" s="168">
        <v>0.1</v>
      </c>
      <c r="Q141" s="309">
        <f>E141*I141</f>
        <v>17</v>
      </c>
      <c r="R141" s="152">
        <f>E141*J141</f>
        <v>27.709999999999997</v>
      </c>
      <c r="S141" s="154">
        <f>E141*K141</f>
        <v>39.44</v>
      </c>
      <c r="T141" s="169">
        <f>E141*L141</f>
        <v>5.9499999999999993</v>
      </c>
      <c r="U141" s="153">
        <f>E141*M141</f>
        <v>67.149999999999991</v>
      </c>
      <c r="V141" s="166">
        <f>N141*E141</f>
        <v>4.93</v>
      </c>
      <c r="W141" s="167">
        <f>O141*E141</f>
        <v>1.7000000000000002</v>
      </c>
      <c r="X141" s="168">
        <f>P141*E141</f>
        <v>1.7000000000000002</v>
      </c>
      <c r="Y141" s="14"/>
    </row>
    <row r="142" spans="1:25">
      <c r="A142" s="146">
        <v>40292</v>
      </c>
      <c r="B142" s="28">
        <v>458</v>
      </c>
      <c r="C142" s="20" t="s">
        <v>1075</v>
      </c>
      <c r="D142" s="20" t="s">
        <v>210</v>
      </c>
      <c r="E142" s="26">
        <v>35</v>
      </c>
      <c r="F142" s="28" t="s">
        <v>1267</v>
      </c>
      <c r="G142" s="37">
        <v>44.8</v>
      </c>
      <c r="H142" s="150">
        <f t="shared" si="21"/>
        <v>1568</v>
      </c>
      <c r="I142" s="306">
        <v>3.5</v>
      </c>
      <c r="J142" s="155">
        <v>4.93</v>
      </c>
      <c r="K142" s="156">
        <v>6</v>
      </c>
      <c r="L142" s="157">
        <v>0.9</v>
      </c>
      <c r="M142" s="153">
        <f t="shared" ref="M142:M157" si="22">J142+K142</f>
        <v>10.93</v>
      </c>
      <c r="N142" s="166">
        <v>0.33</v>
      </c>
      <c r="O142" s="167">
        <v>0.1</v>
      </c>
      <c r="P142" s="168">
        <v>0.25</v>
      </c>
      <c r="Q142" s="309">
        <f t="shared" ref="Q142:Q157" si="23">E142*I142</f>
        <v>122.5</v>
      </c>
      <c r="R142" s="152">
        <f t="shared" ref="R142:R157" si="24">E142*J142</f>
        <v>172.54999999999998</v>
      </c>
      <c r="S142" s="154">
        <f t="shared" ref="S142:S157" si="25">E142*K142</f>
        <v>210</v>
      </c>
      <c r="T142" s="169">
        <f t="shared" ref="T142:T157" si="26">E142*L142</f>
        <v>31.5</v>
      </c>
      <c r="U142" s="153">
        <f t="shared" ref="U142:U157" si="27">E142*M142</f>
        <v>382.55</v>
      </c>
      <c r="V142" s="166">
        <f t="shared" ref="V142:V157" si="28">N142*E142</f>
        <v>11.55</v>
      </c>
      <c r="W142" s="167">
        <f t="shared" ref="W142:W157" si="29">O142*E142</f>
        <v>3.5</v>
      </c>
      <c r="X142" s="168">
        <f t="shared" ref="X142:X157" si="30">P142*E142</f>
        <v>8.75</v>
      </c>
      <c r="Y142" s="14"/>
    </row>
    <row r="143" spans="1:25">
      <c r="A143" s="146"/>
      <c r="B143" s="28"/>
      <c r="C143" s="20" t="s">
        <v>1075</v>
      </c>
      <c r="D143" s="20" t="s">
        <v>210</v>
      </c>
      <c r="E143" s="26">
        <v>40</v>
      </c>
      <c r="F143" s="28" t="s">
        <v>1268</v>
      </c>
      <c r="G143" s="37">
        <v>40.799999999999997</v>
      </c>
      <c r="H143" s="150">
        <f t="shared" si="21"/>
        <v>1632</v>
      </c>
      <c r="I143" s="306">
        <v>3.5</v>
      </c>
      <c r="J143" s="155">
        <v>5.77</v>
      </c>
      <c r="K143" s="156">
        <v>6</v>
      </c>
      <c r="L143" s="157">
        <v>0.9</v>
      </c>
      <c r="M143" s="153">
        <f t="shared" si="22"/>
        <v>11.77</v>
      </c>
      <c r="N143" s="166">
        <v>0.33</v>
      </c>
      <c r="O143" s="167">
        <v>0.1</v>
      </c>
      <c r="P143" s="168">
        <v>0.25</v>
      </c>
      <c r="Q143" s="309">
        <f t="shared" si="23"/>
        <v>140</v>
      </c>
      <c r="R143" s="152">
        <f t="shared" si="24"/>
        <v>230.79999999999998</v>
      </c>
      <c r="S143" s="154">
        <f t="shared" si="25"/>
        <v>240</v>
      </c>
      <c r="T143" s="169">
        <f t="shared" si="26"/>
        <v>36</v>
      </c>
      <c r="U143" s="153">
        <f t="shared" si="27"/>
        <v>470.79999999999995</v>
      </c>
      <c r="V143" s="166">
        <f t="shared" si="28"/>
        <v>13.200000000000001</v>
      </c>
      <c r="W143" s="167">
        <f t="shared" si="29"/>
        <v>4</v>
      </c>
      <c r="X143" s="168">
        <f t="shared" si="30"/>
        <v>10</v>
      </c>
      <c r="Y143" s="14"/>
    </row>
    <row r="144" spans="1:25">
      <c r="A144" s="146">
        <v>40294</v>
      </c>
      <c r="B144" s="28">
        <v>459</v>
      </c>
      <c r="C144" s="20" t="s">
        <v>1269</v>
      </c>
      <c r="D144" s="20" t="s">
        <v>210</v>
      </c>
      <c r="E144" s="26">
        <f>191-35</f>
        <v>156</v>
      </c>
      <c r="F144" s="28" t="s">
        <v>1270</v>
      </c>
      <c r="G144" s="37">
        <v>44.8</v>
      </c>
      <c r="H144" s="150">
        <f t="shared" si="21"/>
        <v>6988.7999999999993</v>
      </c>
      <c r="I144" s="306">
        <v>3.5</v>
      </c>
      <c r="J144" s="155">
        <v>7.03</v>
      </c>
      <c r="K144" s="156">
        <v>5</v>
      </c>
      <c r="L144" s="157">
        <v>0.75</v>
      </c>
      <c r="M144" s="153">
        <f t="shared" si="22"/>
        <v>12.030000000000001</v>
      </c>
      <c r="N144" s="166">
        <v>0.33</v>
      </c>
      <c r="O144" s="167">
        <v>0.1</v>
      </c>
      <c r="P144" s="168">
        <v>0.1</v>
      </c>
      <c r="Q144" s="309">
        <f t="shared" si="23"/>
        <v>546</v>
      </c>
      <c r="R144" s="152">
        <f t="shared" si="24"/>
        <v>1096.68</v>
      </c>
      <c r="S144" s="154">
        <f t="shared" si="25"/>
        <v>780</v>
      </c>
      <c r="T144" s="169">
        <f t="shared" si="26"/>
        <v>117</v>
      </c>
      <c r="U144" s="153">
        <f t="shared" si="27"/>
        <v>1876.6800000000003</v>
      </c>
      <c r="V144" s="166">
        <f t="shared" si="28"/>
        <v>51.480000000000004</v>
      </c>
      <c r="W144" s="167">
        <f t="shared" si="29"/>
        <v>15.600000000000001</v>
      </c>
      <c r="X144" s="168">
        <f t="shared" si="30"/>
        <v>15.600000000000001</v>
      </c>
      <c r="Y144" s="14"/>
    </row>
    <row r="145" spans="1:25">
      <c r="A145" s="146"/>
      <c r="B145" s="28"/>
      <c r="C145" s="20" t="s">
        <v>1269</v>
      </c>
      <c r="D145" s="20" t="s">
        <v>210</v>
      </c>
      <c r="E145" s="26">
        <v>35</v>
      </c>
      <c r="F145" s="28" t="s">
        <v>1271</v>
      </c>
      <c r="G145" s="37">
        <v>48.8</v>
      </c>
      <c r="H145" s="150">
        <f t="shared" si="21"/>
        <v>1708</v>
      </c>
      <c r="I145" s="306">
        <v>3.5</v>
      </c>
      <c r="J145" s="155">
        <v>7.03</v>
      </c>
      <c r="K145" s="156">
        <v>5</v>
      </c>
      <c r="L145" s="157">
        <v>0.75</v>
      </c>
      <c r="M145" s="153">
        <f t="shared" ref="M145:M151" si="31">J145+K145</f>
        <v>12.030000000000001</v>
      </c>
      <c r="N145" s="166">
        <v>0.33</v>
      </c>
      <c r="O145" s="167">
        <v>0.1</v>
      </c>
      <c r="P145" s="168">
        <v>0.1</v>
      </c>
      <c r="Q145" s="309">
        <f t="shared" si="23"/>
        <v>122.5</v>
      </c>
      <c r="R145" s="152">
        <f t="shared" si="24"/>
        <v>246.05</v>
      </c>
      <c r="S145" s="154">
        <f t="shared" si="25"/>
        <v>175</v>
      </c>
      <c r="T145" s="169">
        <f t="shared" si="26"/>
        <v>26.25</v>
      </c>
      <c r="U145" s="153">
        <f t="shared" si="27"/>
        <v>421.05000000000007</v>
      </c>
      <c r="V145" s="166">
        <f t="shared" si="28"/>
        <v>11.55</v>
      </c>
      <c r="W145" s="167">
        <f t="shared" si="29"/>
        <v>3.5</v>
      </c>
      <c r="X145" s="168">
        <f t="shared" si="30"/>
        <v>3.5</v>
      </c>
      <c r="Y145" s="14"/>
    </row>
    <row r="146" spans="1:25">
      <c r="A146" s="146"/>
      <c r="B146" s="28"/>
      <c r="C146" s="20" t="s">
        <v>1269</v>
      </c>
      <c r="D146" s="20" t="s">
        <v>210</v>
      </c>
      <c r="E146" s="26">
        <f>191-35</f>
        <v>156</v>
      </c>
      <c r="F146" s="28" t="s">
        <v>1272</v>
      </c>
      <c r="G146" s="37">
        <v>44.8</v>
      </c>
      <c r="H146" s="150">
        <f t="shared" si="21"/>
        <v>6988.7999999999993</v>
      </c>
      <c r="I146" s="306">
        <v>3.5</v>
      </c>
      <c r="J146" s="155">
        <v>7.03</v>
      </c>
      <c r="K146" s="156">
        <v>5</v>
      </c>
      <c r="L146" s="157">
        <v>0.75</v>
      </c>
      <c r="M146" s="153">
        <f t="shared" si="31"/>
        <v>12.030000000000001</v>
      </c>
      <c r="N146" s="166">
        <v>0.33</v>
      </c>
      <c r="O146" s="167">
        <v>0.1</v>
      </c>
      <c r="P146" s="168">
        <v>0.1</v>
      </c>
      <c r="Q146" s="309">
        <f t="shared" si="23"/>
        <v>546</v>
      </c>
      <c r="R146" s="152">
        <f t="shared" si="24"/>
        <v>1096.68</v>
      </c>
      <c r="S146" s="154">
        <f t="shared" si="25"/>
        <v>780</v>
      </c>
      <c r="T146" s="169">
        <f t="shared" si="26"/>
        <v>117</v>
      </c>
      <c r="U146" s="153">
        <f t="shared" si="27"/>
        <v>1876.6800000000003</v>
      </c>
      <c r="V146" s="166">
        <f t="shared" si="28"/>
        <v>51.480000000000004</v>
      </c>
      <c r="W146" s="167">
        <f t="shared" si="29"/>
        <v>15.600000000000001</v>
      </c>
      <c r="X146" s="168">
        <f t="shared" si="30"/>
        <v>15.600000000000001</v>
      </c>
      <c r="Y146" s="14"/>
    </row>
    <row r="147" spans="1:25">
      <c r="A147" s="146"/>
      <c r="B147" s="28"/>
      <c r="C147" s="20" t="s">
        <v>1269</v>
      </c>
      <c r="D147" s="20" t="s">
        <v>210</v>
      </c>
      <c r="E147" s="26">
        <v>35</v>
      </c>
      <c r="F147" s="28" t="s">
        <v>1273</v>
      </c>
      <c r="G147" s="37">
        <v>48.8</v>
      </c>
      <c r="H147" s="150">
        <f t="shared" si="21"/>
        <v>1708</v>
      </c>
      <c r="I147" s="306">
        <v>3.5</v>
      </c>
      <c r="J147" s="155">
        <v>7.03</v>
      </c>
      <c r="K147" s="156">
        <v>5</v>
      </c>
      <c r="L147" s="157">
        <v>0.75</v>
      </c>
      <c r="M147" s="153">
        <f t="shared" si="31"/>
        <v>12.030000000000001</v>
      </c>
      <c r="N147" s="166">
        <v>0.33</v>
      </c>
      <c r="O147" s="167">
        <v>0.1</v>
      </c>
      <c r="P147" s="168">
        <v>0.1</v>
      </c>
      <c r="Q147" s="309">
        <f t="shared" si="23"/>
        <v>122.5</v>
      </c>
      <c r="R147" s="152">
        <f t="shared" si="24"/>
        <v>246.05</v>
      </c>
      <c r="S147" s="154">
        <f t="shared" si="25"/>
        <v>175</v>
      </c>
      <c r="T147" s="169">
        <f t="shared" si="26"/>
        <v>26.25</v>
      </c>
      <c r="U147" s="153">
        <f t="shared" si="27"/>
        <v>421.05000000000007</v>
      </c>
      <c r="V147" s="166">
        <f t="shared" si="28"/>
        <v>11.55</v>
      </c>
      <c r="W147" s="167">
        <f t="shared" si="29"/>
        <v>3.5</v>
      </c>
      <c r="X147" s="168">
        <f t="shared" si="30"/>
        <v>3.5</v>
      </c>
      <c r="Y147" s="14"/>
    </row>
    <row r="148" spans="1:25">
      <c r="A148" s="146"/>
      <c r="B148" s="28"/>
      <c r="C148" s="20" t="s">
        <v>1269</v>
      </c>
      <c r="D148" s="20" t="s">
        <v>210</v>
      </c>
      <c r="E148" s="26">
        <v>23</v>
      </c>
      <c r="F148" s="28" t="s">
        <v>1274</v>
      </c>
      <c r="G148" s="37">
        <v>44.8</v>
      </c>
      <c r="H148" s="150">
        <f t="shared" si="21"/>
        <v>1030.3999999999999</v>
      </c>
      <c r="I148" s="306">
        <v>3.5</v>
      </c>
      <c r="J148" s="155">
        <v>7.03</v>
      </c>
      <c r="K148" s="156">
        <v>5</v>
      </c>
      <c r="L148" s="157">
        <v>0.75</v>
      </c>
      <c r="M148" s="153">
        <f t="shared" si="31"/>
        <v>12.030000000000001</v>
      </c>
      <c r="N148" s="166">
        <v>0.33</v>
      </c>
      <c r="O148" s="167">
        <v>0.1</v>
      </c>
      <c r="P148" s="168">
        <v>0.1</v>
      </c>
      <c r="Q148" s="309">
        <f t="shared" si="23"/>
        <v>80.5</v>
      </c>
      <c r="R148" s="152">
        <f t="shared" si="24"/>
        <v>161.69</v>
      </c>
      <c r="S148" s="154">
        <f t="shared" si="25"/>
        <v>115</v>
      </c>
      <c r="T148" s="169">
        <f t="shared" si="26"/>
        <v>17.25</v>
      </c>
      <c r="U148" s="153">
        <f t="shared" si="27"/>
        <v>276.69000000000005</v>
      </c>
      <c r="V148" s="166">
        <f t="shared" si="28"/>
        <v>7.5900000000000007</v>
      </c>
      <c r="W148" s="167">
        <f t="shared" si="29"/>
        <v>2.3000000000000003</v>
      </c>
      <c r="X148" s="168">
        <f t="shared" si="30"/>
        <v>2.3000000000000003</v>
      </c>
      <c r="Y148" s="14"/>
    </row>
    <row r="149" spans="1:25">
      <c r="A149" s="146"/>
      <c r="B149" s="28"/>
      <c r="C149" s="20" t="s">
        <v>1269</v>
      </c>
      <c r="D149" s="20" t="s">
        <v>210</v>
      </c>
      <c r="E149" s="26">
        <v>104</v>
      </c>
      <c r="F149" s="28" t="s">
        <v>1275</v>
      </c>
      <c r="G149" s="37">
        <v>40.799999999999997</v>
      </c>
      <c r="H149" s="150">
        <f t="shared" si="21"/>
        <v>4243.2</v>
      </c>
      <c r="I149" s="306">
        <v>3.5</v>
      </c>
      <c r="J149" s="155">
        <v>7.03</v>
      </c>
      <c r="K149" s="156">
        <v>5</v>
      </c>
      <c r="L149" s="157">
        <v>0.75</v>
      </c>
      <c r="M149" s="153">
        <f t="shared" si="31"/>
        <v>12.030000000000001</v>
      </c>
      <c r="N149" s="166">
        <v>0.33</v>
      </c>
      <c r="O149" s="167">
        <v>0.1</v>
      </c>
      <c r="P149" s="168">
        <v>0.1</v>
      </c>
      <c r="Q149" s="309">
        <f t="shared" si="23"/>
        <v>364</v>
      </c>
      <c r="R149" s="152">
        <f t="shared" si="24"/>
        <v>731.12</v>
      </c>
      <c r="S149" s="154">
        <f t="shared" si="25"/>
        <v>520</v>
      </c>
      <c r="T149" s="169">
        <f t="shared" si="26"/>
        <v>78</v>
      </c>
      <c r="U149" s="153">
        <f t="shared" si="27"/>
        <v>1251.1200000000001</v>
      </c>
      <c r="V149" s="166">
        <f t="shared" si="28"/>
        <v>34.32</v>
      </c>
      <c r="W149" s="167">
        <f t="shared" si="29"/>
        <v>10.4</v>
      </c>
      <c r="X149" s="168">
        <f t="shared" si="30"/>
        <v>10.4</v>
      </c>
      <c r="Y149" s="14"/>
    </row>
    <row r="150" spans="1:25">
      <c r="A150" s="146"/>
      <c r="B150" s="28"/>
      <c r="C150" s="20" t="s">
        <v>1269</v>
      </c>
      <c r="D150" s="20" t="s">
        <v>210</v>
      </c>
      <c r="E150" s="26">
        <v>102</v>
      </c>
      <c r="F150" s="28" t="s">
        <v>1276</v>
      </c>
      <c r="G150" s="37">
        <v>40.799999999999997</v>
      </c>
      <c r="H150" s="150">
        <f t="shared" si="21"/>
        <v>4161.5999999999995</v>
      </c>
      <c r="I150" s="306">
        <v>3.5</v>
      </c>
      <c r="J150" s="155">
        <v>7.03</v>
      </c>
      <c r="K150" s="156">
        <v>5</v>
      </c>
      <c r="L150" s="157">
        <v>0.75</v>
      </c>
      <c r="M150" s="153">
        <f t="shared" si="31"/>
        <v>12.030000000000001</v>
      </c>
      <c r="N150" s="166">
        <v>0.33</v>
      </c>
      <c r="O150" s="167">
        <v>0.1</v>
      </c>
      <c r="P150" s="168">
        <v>0.1</v>
      </c>
      <c r="Q150" s="309">
        <f t="shared" si="23"/>
        <v>357</v>
      </c>
      <c r="R150" s="152">
        <f t="shared" si="24"/>
        <v>717.06000000000006</v>
      </c>
      <c r="S150" s="154">
        <f t="shared" si="25"/>
        <v>510</v>
      </c>
      <c r="T150" s="169">
        <f t="shared" si="26"/>
        <v>76.5</v>
      </c>
      <c r="U150" s="153">
        <f t="shared" si="27"/>
        <v>1227.0600000000002</v>
      </c>
      <c r="V150" s="166">
        <f t="shared" si="28"/>
        <v>33.660000000000004</v>
      </c>
      <c r="W150" s="167">
        <f t="shared" si="29"/>
        <v>10.200000000000001</v>
      </c>
      <c r="X150" s="168">
        <f t="shared" si="30"/>
        <v>10.200000000000001</v>
      </c>
      <c r="Y150" s="14"/>
    </row>
    <row r="151" spans="1:25">
      <c r="A151" s="146"/>
      <c r="B151" s="28"/>
      <c r="C151" s="20" t="s">
        <v>1269</v>
      </c>
      <c r="D151" s="20" t="s">
        <v>210</v>
      </c>
      <c r="E151" s="26">
        <v>24</v>
      </c>
      <c r="F151" s="28" t="s">
        <v>1277</v>
      </c>
      <c r="G151" s="37">
        <v>40.799999999999997</v>
      </c>
      <c r="H151" s="150">
        <f t="shared" si="21"/>
        <v>979.19999999999993</v>
      </c>
      <c r="I151" s="306">
        <v>3.5</v>
      </c>
      <c r="J151" s="155">
        <v>7.03</v>
      </c>
      <c r="K151" s="156">
        <v>5</v>
      </c>
      <c r="L151" s="157">
        <v>0.75</v>
      </c>
      <c r="M151" s="153">
        <f t="shared" si="31"/>
        <v>12.030000000000001</v>
      </c>
      <c r="N151" s="166">
        <v>0.33</v>
      </c>
      <c r="O151" s="167">
        <v>0.1</v>
      </c>
      <c r="P151" s="168">
        <v>0</v>
      </c>
      <c r="Q151" s="309">
        <f t="shared" si="23"/>
        <v>84</v>
      </c>
      <c r="R151" s="152">
        <f t="shared" si="24"/>
        <v>168.72</v>
      </c>
      <c r="S151" s="154">
        <f t="shared" si="25"/>
        <v>120</v>
      </c>
      <c r="T151" s="169">
        <f t="shared" si="26"/>
        <v>18</v>
      </c>
      <c r="U151" s="153">
        <f t="shared" si="27"/>
        <v>288.72000000000003</v>
      </c>
      <c r="V151" s="166">
        <f t="shared" si="28"/>
        <v>7.92</v>
      </c>
      <c r="W151" s="167">
        <f t="shared" si="29"/>
        <v>2.4000000000000004</v>
      </c>
      <c r="X151" s="168">
        <f t="shared" si="30"/>
        <v>0</v>
      </c>
      <c r="Y151" s="14"/>
    </row>
    <row r="152" spans="1:25">
      <c r="A152" s="146">
        <v>40292</v>
      </c>
      <c r="B152" s="28">
        <v>460</v>
      </c>
      <c r="C152" s="20" t="s">
        <v>380</v>
      </c>
      <c r="D152" s="20" t="s">
        <v>245</v>
      </c>
      <c r="E152" s="26">
        <v>22</v>
      </c>
      <c r="F152" s="28" t="s">
        <v>1278</v>
      </c>
      <c r="G152" s="37">
        <v>40</v>
      </c>
      <c r="H152" s="150">
        <f t="shared" si="21"/>
        <v>880</v>
      </c>
      <c r="I152" s="306">
        <v>4.5</v>
      </c>
      <c r="J152" s="155">
        <v>4.2</v>
      </c>
      <c r="K152" s="156">
        <v>1.8</v>
      </c>
      <c r="L152" s="157">
        <v>0.27</v>
      </c>
      <c r="M152" s="153">
        <f t="shared" si="22"/>
        <v>6</v>
      </c>
      <c r="N152" s="166">
        <v>0.83</v>
      </c>
      <c r="O152" s="167">
        <v>0.1</v>
      </c>
      <c r="P152" s="168">
        <v>0</v>
      </c>
      <c r="Q152" s="309">
        <f t="shared" si="23"/>
        <v>99</v>
      </c>
      <c r="R152" s="152">
        <f t="shared" si="24"/>
        <v>92.4</v>
      </c>
      <c r="S152" s="154">
        <f t="shared" si="25"/>
        <v>39.6</v>
      </c>
      <c r="T152" s="169">
        <f t="shared" si="26"/>
        <v>5.94</v>
      </c>
      <c r="U152" s="153">
        <f t="shared" si="27"/>
        <v>132</v>
      </c>
      <c r="V152" s="166">
        <f t="shared" si="28"/>
        <v>18.259999999999998</v>
      </c>
      <c r="W152" s="167">
        <f t="shared" si="29"/>
        <v>2.2000000000000002</v>
      </c>
      <c r="X152" s="168">
        <f t="shared" si="30"/>
        <v>0</v>
      </c>
      <c r="Y152" s="14"/>
    </row>
    <row r="153" spans="1:25">
      <c r="A153" s="146"/>
      <c r="B153" s="28"/>
      <c r="C153" s="20" t="s">
        <v>380</v>
      </c>
      <c r="D153" s="20" t="s">
        <v>245</v>
      </c>
      <c r="E153" s="26">
        <v>22</v>
      </c>
      <c r="F153" s="28" t="s">
        <v>1279</v>
      </c>
      <c r="G153" s="37">
        <v>40</v>
      </c>
      <c r="H153" s="150">
        <f t="shared" si="21"/>
        <v>880</v>
      </c>
      <c r="I153" s="306">
        <v>4.5</v>
      </c>
      <c r="J153" s="155">
        <v>2.5</v>
      </c>
      <c r="K153" s="156">
        <v>1.8</v>
      </c>
      <c r="L153" s="157">
        <v>0.27</v>
      </c>
      <c r="M153" s="153">
        <f t="shared" si="22"/>
        <v>4.3</v>
      </c>
      <c r="N153" s="166">
        <v>0.83</v>
      </c>
      <c r="O153" s="167">
        <v>0.1</v>
      </c>
      <c r="P153" s="168">
        <v>0.1</v>
      </c>
      <c r="Q153" s="309">
        <f t="shared" si="23"/>
        <v>99</v>
      </c>
      <c r="R153" s="152">
        <f t="shared" si="24"/>
        <v>55</v>
      </c>
      <c r="S153" s="154">
        <f t="shared" si="25"/>
        <v>39.6</v>
      </c>
      <c r="T153" s="169">
        <f t="shared" si="26"/>
        <v>5.94</v>
      </c>
      <c r="U153" s="153">
        <f t="shared" si="27"/>
        <v>94.6</v>
      </c>
      <c r="V153" s="166">
        <f t="shared" si="28"/>
        <v>18.259999999999998</v>
      </c>
      <c r="W153" s="167">
        <f t="shared" si="29"/>
        <v>2.2000000000000002</v>
      </c>
      <c r="X153" s="168">
        <f t="shared" si="30"/>
        <v>2.2000000000000002</v>
      </c>
      <c r="Y153" s="14"/>
    </row>
    <row r="154" spans="1:25">
      <c r="A154" s="146"/>
      <c r="B154" s="28"/>
      <c r="C154" s="20" t="s">
        <v>380</v>
      </c>
      <c r="D154" s="20" t="s">
        <v>245</v>
      </c>
      <c r="E154" s="26">
        <v>22</v>
      </c>
      <c r="F154" s="28" t="s">
        <v>1280</v>
      </c>
      <c r="G154" s="37">
        <f>98.6-18.6</f>
        <v>80</v>
      </c>
      <c r="H154" s="150">
        <f t="shared" si="21"/>
        <v>1760</v>
      </c>
      <c r="I154" s="307">
        <v>15</v>
      </c>
      <c r="J154" s="155">
        <v>3.75</v>
      </c>
      <c r="K154" s="156">
        <v>5.5</v>
      </c>
      <c r="L154" s="157">
        <v>0.83</v>
      </c>
      <c r="M154" s="153">
        <f t="shared" si="22"/>
        <v>9.25</v>
      </c>
      <c r="N154" s="166">
        <v>1.25</v>
      </c>
      <c r="O154" s="167">
        <v>0.1</v>
      </c>
      <c r="P154" s="168">
        <v>0.1</v>
      </c>
      <c r="Q154" s="309">
        <f t="shared" si="23"/>
        <v>330</v>
      </c>
      <c r="R154" s="152">
        <f t="shared" si="24"/>
        <v>82.5</v>
      </c>
      <c r="S154" s="154">
        <f t="shared" si="25"/>
        <v>121</v>
      </c>
      <c r="T154" s="169">
        <f t="shared" si="26"/>
        <v>18.259999999999998</v>
      </c>
      <c r="U154" s="153">
        <f t="shared" si="27"/>
        <v>203.5</v>
      </c>
      <c r="V154" s="166">
        <f t="shared" si="28"/>
        <v>27.5</v>
      </c>
      <c r="W154" s="167">
        <f t="shared" si="29"/>
        <v>2.2000000000000002</v>
      </c>
      <c r="X154" s="168">
        <f t="shared" si="30"/>
        <v>2.2000000000000002</v>
      </c>
      <c r="Y154" s="14"/>
    </row>
    <row r="155" spans="1:25">
      <c r="A155" s="146"/>
      <c r="B155" s="28"/>
      <c r="C155" s="20" t="s">
        <v>380</v>
      </c>
      <c r="D155" s="20" t="s">
        <v>245</v>
      </c>
      <c r="E155" s="26">
        <v>44</v>
      </c>
      <c r="F155" s="28" t="s">
        <v>1281</v>
      </c>
      <c r="G155" s="37">
        <v>5</v>
      </c>
      <c r="H155" s="150">
        <f t="shared" si="21"/>
        <v>220</v>
      </c>
      <c r="I155" s="306">
        <v>0</v>
      </c>
      <c r="J155" s="155">
        <v>0</v>
      </c>
      <c r="K155" s="156">
        <v>0</v>
      </c>
      <c r="L155" s="157">
        <v>0</v>
      </c>
      <c r="M155" s="153">
        <f t="shared" si="22"/>
        <v>0</v>
      </c>
      <c r="N155" s="166">
        <v>0</v>
      </c>
      <c r="O155" s="167">
        <v>0</v>
      </c>
      <c r="P155" s="168">
        <v>0</v>
      </c>
      <c r="Q155" s="309">
        <f t="shared" si="23"/>
        <v>0</v>
      </c>
      <c r="R155" s="152">
        <f t="shared" si="24"/>
        <v>0</v>
      </c>
      <c r="S155" s="154">
        <f t="shared" si="25"/>
        <v>0</v>
      </c>
      <c r="T155" s="169">
        <f t="shared" si="26"/>
        <v>0</v>
      </c>
      <c r="U155" s="153">
        <f t="shared" si="27"/>
        <v>0</v>
      </c>
      <c r="V155" s="166">
        <f t="shared" si="28"/>
        <v>0</v>
      </c>
      <c r="W155" s="167">
        <f t="shared" si="29"/>
        <v>0</v>
      </c>
      <c r="X155" s="168">
        <f t="shared" si="30"/>
        <v>0</v>
      </c>
      <c r="Y155" s="14"/>
    </row>
    <row r="156" spans="1:25">
      <c r="A156" s="146">
        <v>40295</v>
      </c>
      <c r="B156" s="28">
        <v>461</v>
      </c>
      <c r="C156" s="20" t="s">
        <v>1282</v>
      </c>
      <c r="D156" s="20" t="s">
        <v>341</v>
      </c>
      <c r="E156" s="26">
        <v>12</v>
      </c>
      <c r="F156" s="28" t="s">
        <v>1283</v>
      </c>
      <c r="G156" s="37">
        <v>45</v>
      </c>
      <c r="H156" s="150">
        <f t="shared" si="21"/>
        <v>540</v>
      </c>
      <c r="I156" s="306">
        <v>8.5</v>
      </c>
      <c r="J156" s="155">
        <v>1.03</v>
      </c>
      <c r="K156" s="156">
        <v>0</v>
      </c>
      <c r="L156" s="157">
        <v>0</v>
      </c>
      <c r="M156" s="153">
        <f t="shared" si="22"/>
        <v>1.03</v>
      </c>
      <c r="N156" s="166">
        <v>1.25</v>
      </c>
      <c r="O156" s="167">
        <v>0.5</v>
      </c>
      <c r="P156" s="168">
        <v>0.1</v>
      </c>
      <c r="Q156" s="309">
        <f t="shared" si="23"/>
        <v>102</v>
      </c>
      <c r="R156" s="152">
        <f t="shared" si="24"/>
        <v>12.36</v>
      </c>
      <c r="S156" s="154">
        <f t="shared" si="25"/>
        <v>0</v>
      </c>
      <c r="T156" s="169">
        <f t="shared" si="26"/>
        <v>0</v>
      </c>
      <c r="U156" s="153">
        <f t="shared" si="27"/>
        <v>12.36</v>
      </c>
      <c r="V156" s="166">
        <f t="shared" si="28"/>
        <v>15</v>
      </c>
      <c r="W156" s="167">
        <f t="shared" si="29"/>
        <v>6</v>
      </c>
      <c r="X156" s="168">
        <f t="shared" si="30"/>
        <v>1.2000000000000002</v>
      </c>
      <c r="Y156" s="14"/>
    </row>
    <row r="157" spans="1:25">
      <c r="A157" s="146">
        <v>40295</v>
      </c>
      <c r="B157" s="28">
        <v>462</v>
      </c>
      <c r="C157" s="20" t="s">
        <v>183</v>
      </c>
      <c r="D157" s="20" t="s">
        <v>42</v>
      </c>
      <c r="E157" s="26">
        <f>8+2</f>
        <v>10</v>
      </c>
      <c r="F157" s="28" t="s">
        <v>1284</v>
      </c>
      <c r="G157" s="37">
        <v>40</v>
      </c>
      <c r="H157" s="150">
        <f t="shared" si="21"/>
        <v>400</v>
      </c>
      <c r="I157" s="306">
        <v>3.5</v>
      </c>
      <c r="J157" s="155">
        <v>8</v>
      </c>
      <c r="K157" s="156">
        <v>0.7</v>
      </c>
      <c r="L157" s="157">
        <v>0.11</v>
      </c>
      <c r="M157" s="153">
        <f t="shared" si="22"/>
        <v>8.6999999999999993</v>
      </c>
      <c r="N157" s="166">
        <v>0</v>
      </c>
      <c r="O157" s="167">
        <v>0.1</v>
      </c>
      <c r="P157" s="168">
        <v>0.1</v>
      </c>
      <c r="Q157" s="309">
        <f t="shared" si="23"/>
        <v>35</v>
      </c>
      <c r="R157" s="152">
        <f t="shared" si="24"/>
        <v>80</v>
      </c>
      <c r="S157" s="154">
        <f t="shared" si="25"/>
        <v>7</v>
      </c>
      <c r="T157" s="169">
        <f t="shared" si="26"/>
        <v>1.1000000000000001</v>
      </c>
      <c r="U157" s="153">
        <f t="shared" si="27"/>
        <v>87</v>
      </c>
      <c r="V157" s="166">
        <f t="shared" si="28"/>
        <v>0</v>
      </c>
      <c r="W157" s="167">
        <f t="shared" si="29"/>
        <v>1</v>
      </c>
      <c r="X157" s="168">
        <f t="shared" si="30"/>
        <v>1</v>
      </c>
      <c r="Y157" s="14"/>
    </row>
    <row r="158" spans="1:25">
      <c r="A158" s="146"/>
      <c r="B158" s="28"/>
      <c r="C158" s="20" t="s">
        <v>183</v>
      </c>
      <c r="D158" s="20" t="s">
        <v>42</v>
      </c>
      <c r="E158" s="26">
        <v>14</v>
      </c>
      <c r="F158" s="28" t="s">
        <v>1285</v>
      </c>
      <c r="G158" s="37">
        <v>28</v>
      </c>
      <c r="H158" s="150">
        <f t="shared" si="21"/>
        <v>392</v>
      </c>
      <c r="I158" s="306">
        <v>1.5</v>
      </c>
      <c r="J158" s="155">
        <v>11.3</v>
      </c>
      <c r="K158" s="156">
        <v>1</v>
      </c>
      <c r="L158" s="157">
        <v>0.15</v>
      </c>
      <c r="M158" s="153">
        <f>J158+K158</f>
        <v>12.3</v>
      </c>
      <c r="N158" s="166">
        <v>0.02</v>
      </c>
      <c r="O158" s="167">
        <v>0.1</v>
      </c>
      <c r="P158" s="168">
        <v>0.25</v>
      </c>
      <c r="Q158" s="309">
        <f>E158*I158</f>
        <v>21</v>
      </c>
      <c r="R158" s="152">
        <f>E158*J158</f>
        <v>158.20000000000002</v>
      </c>
      <c r="S158" s="154">
        <f>E158*K158</f>
        <v>14</v>
      </c>
      <c r="T158" s="169">
        <f>E158*L158</f>
        <v>2.1</v>
      </c>
      <c r="U158" s="153">
        <f>E158*M158</f>
        <v>172.20000000000002</v>
      </c>
      <c r="V158" s="166">
        <f>N158*E158</f>
        <v>0.28000000000000003</v>
      </c>
      <c r="W158" s="167">
        <f>O158*E158</f>
        <v>1.4000000000000001</v>
      </c>
      <c r="X158" s="168">
        <f>P158*E158</f>
        <v>3.5</v>
      </c>
      <c r="Y158" s="14"/>
    </row>
    <row r="159" spans="1:25">
      <c r="A159" s="146"/>
      <c r="B159" s="28"/>
      <c r="C159" s="20" t="s">
        <v>183</v>
      </c>
      <c r="D159" s="20" t="s">
        <v>42</v>
      </c>
      <c r="E159" s="26">
        <v>14</v>
      </c>
      <c r="F159" s="28" t="s">
        <v>1286</v>
      </c>
      <c r="G159" s="37">
        <v>45</v>
      </c>
      <c r="H159" s="150">
        <f t="shared" si="21"/>
        <v>630</v>
      </c>
      <c r="I159" s="306">
        <v>5.5</v>
      </c>
      <c r="J159" s="155">
        <v>18.82</v>
      </c>
      <c r="K159" s="156">
        <v>1</v>
      </c>
      <c r="L159" s="157">
        <v>0.15</v>
      </c>
      <c r="M159" s="153">
        <f>J159+K159</f>
        <v>19.82</v>
      </c>
      <c r="N159" s="166">
        <v>0.57999999999999996</v>
      </c>
      <c r="O159" s="167">
        <v>0.1</v>
      </c>
      <c r="P159" s="168">
        <v>0.1</v>
      </c>
      <c r="Q159" s="309">
        <f>E159*I159</f>
        <v>77</v>
      </c>
      <c r="R159" s="152">
        <f>E159*J159</f>
        <v>263.48</v>
      </c>
      <c r="S159" s="154">
        <f>E159*K159</f>
        <v>14</v>
      </c>
      <c r="T159" s="169">
        <f>E159*L159</f>
        <v>2.1</v>
      </c>
      <c r="U159" s="153">
        <f>E159*M159</f>
        <v>277.48</v>
      </c>
      <c r="V159" s="166">
        <f>N159*E159</f>
        <v>8.1199999999999992</v>
      </c>
      <c r="W159" s="167">
        <f>O159*E159</f>
        <v>1.4000000000000001</v>
      </c>
      <c r="X159" s="168">
        <f>P159*E159</f>
        <v>1.4000000000000001</v>
      </c>
      <c r="Y159" s="14"/>
    </row>
    <row r="160" spans="1:25" ht="13.5" thickBot="1">
      <c r="A160" s="146">
        <v>40297</v>
      </c>
      <c r="B160" s="28">
        <v>463</v>
      </c>
      <c r="C160" s="20" t="s">
        <v>1287</v>
      </c>
      <c r="D160" s="20" t="s">
        <v>144</v>
      </c>
      <c r="E160" s="26">
        <v>10</v>
      </c>
      <c r="F160" s="28" t="s">
        <v>1288</v>
      </c>
      <c r="G160" s="37">
        <v>125</v>
      </c>
      <c r="H160" s="150">
        <f>E160*G160</f>
        <v>1250</v>
      </c>
      <c r="I160" s="306">
        <v>9</v>
      </c>
      <c r="J160" s="155">
        <v>32.92</v>
      </c>
      <c r="K160" s="177">
        <v>11</v>
      </c>
      <c r="L160" s="157">
        <v>1.65</v>
      </c>
      <c r="M160" s="153">
        <f>J160+K160</f>
        <v>43.92</v>
      </c>
      <c r="N160" s="166">
        <v>1.42</v>
      </c>
      <c r="O160" s="167">
        <v>0.1</v>
      </c>
      <c r="P160" s="168">
        <v>0.1</v>
      </c>
      <c r="Q160" s="309">
        <f>E160*I160</f>
        <v>90</v>
      </c>
      <c r="R160" s="152">
        <f>E160*J160</f>
        <v>329.20000000000005</v>
      </c>
      <c r="S160" s="154">
        <f>E160*K160</f>
        <v>110</v>
      </c>
      <c r="T160" s="169">
        <f>E160*L160</f>
        <v>16.5</v>
      </c>
      <c r="U160" s="153">
        <f>E160*M160</f>
        <v>439.20000000000005</v>
      </c>
      <c r="V160" s="166">
        <f>N160*E160</f>
        <v>14.2</v>
      </c>
      <c r="W160" s="167">
        <f>O160*E160</f>
        <v>1</v>
      </c>
      <c r="X160" s="168">
        <f>P160*E160</f>
        <v>1</v>
      </c>
      <c r="Y160" s="14"/>
    </row>
    <row r="161" spans="1:25" ht="20.25" customHeight="1" thickBot="1">
      <c r="A161" s="188"/>
      <c r="B161" s="188"/>
      <c r="C161" s="188"/>
      <c r="D161" s="188"/>
      <c r="E161" s="188"/>
      <c r="F161" s="189" t="s">
        <v>1113</v>
      </c>
      <c r="G161" s="190"/>
      <c r="H161" s="362">
        <f>SUM(H8:H160)</f>
        <v>263682.05</v>
      </c>
      <c r="I161" s="363"/>
      <c r="J161" s="78" t="s">
        <v>36</v>
      </c>
      <c r="K161" s="79"/>
      <c r="L161" s="80"/>
      <c r="M161" s="81"/>
      <c r="N161" s="73"/>
      <c r="O161" s="74"/>
      <c r="P161" s="75"/>
      <c r="Q161" s="358">
        <f t="shared" ref="Q161:X161" si="32">SUM(Q8:Q160)</f>
        <v>25623.25</v>
      </c>
      <c r="R161" s="98">
        <f t="shared" si="32"/>
        <v>47528.010000000017</v>
      </c>
      <c r="S161" s="303">
        <f t="shared" si="32"/>
        <v>10733.44</v>
      </c>
      <c r="T161" s="100">
        <f t="shared" si="32"/>
        <v>1620.9099999999994</v>
      </c>
      <c r="U161" s="101">
        <f t="shared" si="32"/>
        <v>58261.450000000012</v>
      </c>
      <c r="V161" s="300">
        <f t="shared" si="32"/>
        <v>2817.6999999999989</v>
      </c>
      <c r="W161" s="301">
        <f t="shared" si="32"/>
        <v>1434.0000000000005</v>
      </c>
      <c r="X161" s="302">
        <f t="shared" si="32"/>
        <v>2310.1499999999983</v>
      </c>
      <c r="Y161" s="32" t="s">
        <v>36</v>
      </c>
    </row>
    <row r="162" spans="1:25" ht="20.25" customHeight="1" thickBot="1">
      <c r="A162" s="32"/>
      <c r="B162" s="32"/>
      <c r="C162" s="32"/>
      <c r="D162" s="32"/>
      <c r="E162" s="32"/>
      <c r="F162" s="189" t="s">
        <v>1113</v>
      </c>
      <c r="G162" s="72"/>
      <c r="H162" s="364">
        <f>H161/7.06</f>
        <v>37348.732294617563</v>
      </c>
      <c r="I162" s="365"/>
      <c r="J162" s="78" t="s">
        <v>407</v>
      </c>
      <c r="K162" s="79"/>
      <c r="L162" s="80"/>
      <c r="M162" s="81"/>
      <c r="N162" s="73"/>
      <c r="O162" s="74"/>
      <c r="P162" s="77"/>
      <c r="Q162" s="313">
        <f t="shared" ref="Q162:X162" si="33">Q161/7.06</f>
        <v>3629.3555240793203</v>
      </c>
      <c r="R162" s="82">
        <f t="shared" si="33"/>
        <v>6732.0127478753566</v>
      </c>
      <c r="S162" s="79">
        <f t="shared" si="33"/>
        <v>1520.317280453258</v>
      </c>
      <c r="T162" s="80">
        <f t="shared" si="33"/>
        <v>229.59065155807357</v>
      </c>
      <c r="U162" s="81">
        <f t="shared" si="33"/>
        <v>8252.3300283286135</v>
      </c>
      <c r="V162" s="300">
        <f t="shared" si="33"/>
        <v>399.10764872521236</v>
      </c>
      <c r="W162" s="301">
        <f t="shared" si="33"/>
        <v>203.11614730878193</v>
      </c>
      <c r="X162" s="302">
        <f t="shared" si="33"/>
        <v>327.21671388101959</v>
      </c>
      <c r="Y162" s="32" t="s">
        <v>407</v>
      </c>
    </row>
  </sheetData>
  <autoFilter ref="A7:S101">
    <filterColumn colId="7"/>
    <filterColumn colId="11"/>
    <filterColumn colId="16"/>
  </autoFilter>
  <mergeCells count="3">
    <mergeCell ref="H161:I161"/>
    <mergeCell ref="H162:I162"/>
    <mergeCell ref="G3:K4"/>
  </mergeCells>
  <pageMargins left="0.19685039370078741" right="0.19685039370078741" top="0.78740157480314965" bottom="0.59055118110236227" header="0" footer="0"/>
  <pageSetup paperSize="5" scale="75" orientation="landscape" horizontalDpi="4294967294" verticalDpi="300" r:id="rId1"/>
  <headerFooter alignWithMargins="0"/>
  <drawing r:id="rId2"/>
</worksheet>
</file>

<file path=xl/worksheets/sheet5.xml><?xml version="1.0" encoding="utf-8"?>
<worksheet xmlns="http://schemas.openxmlformats.org/spreadsheetml/2006/main" xmlns:r="http://schemas.openxmlformats.org/officeDocument/2006/relationships">
  <sheetPr>
    <tabColor rgb="FF646200"/>
  </sheetPr>
  <dimension ref="A1:Y92"/>
  <sheetViews>
    <sheetView topLeftCell="H1" workbookViewId="0">
      <pane ySplit="7" topLeftCell="A74" activePane="bottomLeft" state="frozen"/>
      <selection pane="bottomLeft" activeCell="X91" sqref="X91"/>
    </sheetView>
  </sheetViews>
  <sheetFormatPr baseColWidth="10" defaultRowHeight="12.75"/>
  <cols>
    <col min="1" max="1" width="8.140625" customWidth="1"/>
    <col min="2" max="2" width="6" customWidth="1"/>
    <col min="3" max="3" width="13.7109375" customWidth="1"/>
    <col min="4" max="4" width="12" customWidth="1"/>
    <col min="5" max="5" width="4.5703125" customWidth="1"/>
    <col min="6" max="6" width="39.5703125" customWidth="1"/>
    <col min="7" max="7" width="6.5703125" customWidth="1"/>
    <col min="8" max="8" width="8.28515625" customWidth="1"/>
    <col min="9" max="9" width="5.85546875" customWidth="1"/>
    <col min="10" max="10" width="6.42578125" customWidth="1"/>
    <col min="11" max="11" width="5.85546875" customWidth="1"/>
    <col min="12" max="12" width="5.7109375" customWidth="1"/>
    <col min="13" max="13" width="7.140625" customWidth="1"/>
    <col min="14" max="16" width="5.28515625" customWidth="1"/>
    <col min="17" max="17" width="8.7109375" customWidth="1"/>
    <col min="18" max="18" width="9.140625" customWidth="1"/>
    <col min="19" max="19" width="8.5703125" customWidth="1"/>
    <col min="20" max="20" width="8.42578125" customWidth="1"/>
    <col min="21" max="21" width="9" customWidth="1"/>
    <col min="22" max="22" width="7.28515625" customWidth="1"/>
    <col min="23" max="23" width="7.42578125" customWidth="1"/>
    <col min="24" max="24" width="7.85546875" customWidth="1"/>
    <col min="25" max="25" width="8" customWidth="1"/>
    <col min="26" max="26" width="12.42578125" customWidth="1"/>
  </cols>
  <sheetData>
    <row r="1" spans="1:25" ht="13.5">
      <c r="A1" s="359" t="s">
        <v>12</v>
      </c>
      <c r="B1" s="3"/>
      <c r="C1" s="3"/>
      <c r="N1" s="5"/>
    </row>
    <row r="2" spans="1:25" ht="13.5">
      <c r="A2" s="359" t="s">
        <v>13</v>
      </c>
      <c r="B2" s="3"/>
      <c r="C2" s="3"/>
      <c r="D2" s="2"/>
      <c r="N2" s="5"/>
      <c r="P2" s="4"/>
      <c r="Q2" s="4"/>
      <c r="R2" s="4"/>
      <c r="S2" s="4"/>
    </row>
    <row r="3" spans="1:25" ht="12.75" customHeight="1">
      <c r="A3" s="261" t="s">
        <v>14</v>
      </c>
      <c r="B3" s="3"/>
      <c r="C3" s="3"/>
      <c r="D3" s="2"/>
      <c r="E3" s="260"/>
      <c r="F3" s="260"/>
      <c r="G3" s="369" t="s">
        <v>146</v>
      </c>
      <c r="H3" s="369"/>
      <c r="I3" s="369"/>
      <c r="J3" s="369"/>
      <c r="K3" s="369"/>
      <c r="L3" s="260"/>
      <c r="M3" s="260"/>
      <c r="N3" s="5"/>
      <c r="P3" s="4"/>
      <c r="Q3" s="4"/>
      <c r="R3" s="4"/>
      <c r="S3" s="4"/>
    </row>
    <row r="4" spans="1:25" ht="12.75" customHeight="1">
      <c r="A4" s="261" t="s">
        <v>34</v>
      </c>
      <c r="B4" s="3"/>
      <c r="C4" s="3"/>
      <c r="D4" s="2" t="s">
        <v>16</v>
      </c>
      <c r="E4" s="260"/>
      <c r="F4" s="260"/>
      <c r="G4" s="369"/>
      <c r="H4" s="369"/>
      <c r="I4" s="369"/>
      <c r="J4" s="369"/>
      <c r="K4" s="369"/>
      <c r="L4" s="260"/>
      <c r="M4" s="260"/>
      <c r="N4" s="5"/>
      <c r="P4" s="4"/>
      <c r="Q4" s="4"/>
      <c r="R4" s="4"/>
      <c r="S4" s="4"/>
    </row>
    <row r="5" spans="1:25" ht="12.75" customHeight="1">
      <c r="A5" s="359" t="s">
        <v>15</v>
      </c>
      <c r="B5" s="3"/>
      <c r="C5" s="3"/>
      <c r="D5" s="2"/>
      <c r="E5" s="6"/>
      <c r="F5" s="6"/>
      <c r="G5" s="6"/>
      <c r="H5" s="6"/>
      <c r="I5" s="6"/>
      <c r="N5" s="5"/>
      <c r="P5" s="4"/>
      <c r="Q5" s="4"/>
      <c r="R5" s="4"/>
      <c r="S5" s="4"/>
    </row>
    <row r="6" spans="1:25" ht="26.25" customHeight="1" thickBot="1">
      <c r="A6" s="255" t="s">
        <v>1743</v>
      </c>
      <c r="D6" s="1"/>
      <c r="N6" s="5"/>
    </row>
    <row r="7" spans="1:25" s="13" customFormat="1" ht="26.25" customHeight="1" thickBot="1">
      <c r="A7" s="9" t="s">
        <v>0</v>
      </c>
      <c r="B7" s="10" t="s">
        <v>1</v>
      </c>
      <c r="C7" s="9" t="s">
        <v>19</v>
      </c>
      <c r="D7" s="33" t="s">
        <v>18</v>
      </c>
      <c r="E7" s="12" t="s">
        <v>9</v>
      </c>
      <c r="F7" s="9" t="s">
        <v>2</v>
      </c>
      <c r="G7" s="8" t="s">
        <v>20</v>
      </c>
      <c r="H7" s="8" t="s">
        <v>405</v>
      </c>
      <c r="I7" s="305" t="s">
        <v>3</v>
      </c>
      <c r="J7" s="31" t="s">
        <v>10</v>
      </c>
      <c r="K7" s="61" t="s">
        <v>11</v>
      </c>
      <c r="L7" s="62" t="s">
        <v>29</v>
      </c>
      <c r="M7" s="16" t="s">
        <v>6</v>
      </c>
      <c r="N7" s="63" t="s">
        <v>147</v>
      </c>
      <c r="O7" s="64" t="s">
        <v>148</v>
      </c>
      <c r="P7" s="65" t="s">
        <v>149</v>
      </c>
      <c r="Q7" s="311" t="s">
        <v>8</v>
      </c>
      <c r="R7" s="31" t="s">
        <v>4</v>
      </c>
      <c r="S7" s="61" t="s">
        <v>5</v>
      </c>
      <c r="T7" s="62" t="s">
        <v>31</v>
      </c>
      <c r="U7" s="9" t="s">
        <v>7</v>
      </c>
      <c r="V7" s="63" t="s">
        <v>150</v>
      </c>
      <c r="W7" s="64" t="s">
        <v>151</v>
      </c>
      <c r="X7" s="65" t="s">
        <v>152</v>
      </c>
      <c r="Y7" s="9" t="s">
        <v>22</v>
      </c>
    </row>
    <row r="8" spans="1:25" s="7" customFormat="1" ht="13.5" customHeight="1">
      <c r="A8" s="67">
        <v>40300</v>
      </c>
      <c r="B8" s="28">
        <v>464</v>
      </c>
      <c r="C8" s="20" t="s">
        <v>65</v>
      </c>
      <c r="D8" s="43" t="s">
        <v>66</v>
      </c>
      <c r="E8" s="26">
        <v>60</v>
      </c>
      <c r="F8" s="28" t="s">
        <v>1293</v>
      </c>
      <c r="G8" s="37">
        <v>11.5</v>
      </c>
      <c r="H8" s="194">
        <f>E8*G8</f>
        <v>690</v>
      </c>
      <c r="I8" s="306">
        <v>1</v>
      </c>
      <c r="J8" s="155">
        <v>1.26</v>
      </c>
      <c r="K8" s="177">
        <v>1.8</v>
      </c>
      <c r="L8" s="157">
        <v>0.27</v>
      </c>
      <c r="M8" s="158">
        <f>J8+K8</f>
        <v>3.06</v>
      </c>
      <c r="N8" s="159">
        <v>0.28999999999999998</v>
      </c>
      <c r="O8" s="160">
        <v>0.1</v>
      </c>
      <c r="P8" s="161">
        <v>0.1</v>
      </c>
      <c r="Q8" s="308">
        <f t="shared" ref="Q8:Q76" si="0">E8*I8</f>
        <v>60</v>
      </c>
      <c r="R8" s="162">
        <f t="shared" ref="R8:R76" si="1">E8*J8</f>
        <v>75.599999999999994</v>
      </c>
      <c r="S8" s="163">
        <f t="shared" ref="S8:S76" si="2">E8*K8</f>
        <v>108</v>
      </c>
      <c r="T8" s="164">
        <f t="shared" ref="T8:T76" si="3">E8*L8</f>
        <v>16.200000000000003</v>
      </c>
      <c r="U8" s="158">
        <f t="shared" ref="U8:U76" si="4">E8*M8</f>
        <v>183.6</v>
      </c>
      <c r="V8" s="159">
        <f t="shared" ref="V8:V76" si="5">N8*E8</f>
        <v>17.399999999999999</v>
      </c>
      <c r="W8" s="160">
        <f t="shared" ref="W8:W76" si="6">O8*E8</f>
        <v>6</v>
      </c>
      <c r="X8" s="161">
        <f t="shared" ref="X8:X76" si="7">P8*E8</f>
        <v>6</v>
      </c>
      <c r="Y8" s="14"/>
    </row>
    <row r="9" spans="1:25" s="7" customFormat="1" ht="13.5" customHeight="1">
      <c r="A9" s="67"/>
      <c r="B9" s="28"/>
      <c r="C9" s="20" t="s">
        <v>65</v>
      </c>
      <c r="D9" s="43" t="s">
        <v>66</v>
      </c>
      <c r="E9" s="26">
        <v>43</v>
      </c>
      <c r="F9" s="28" t="s">
        <v>1294</v>
      </c>
      <c r="G9" s="37">
        <v>59.5</v>
      </c>
      <c r="H9" s="150">
        <f t="shared" ref="H9:H72" si="8">E9*G9</f>
        <v>2558.5</v>
      </c>
      <c r="I9" s="306">
        <v>6.5</v>
      </c>
      <c r="J9" s="155">
        <v>14.2</v>
      </c>
      <c r="K9" s="177">
        <v>1.8</v>
      </c>
      <c r="L9" s="157">
        <v>0.27</v>
      </c>
      <c r="M9" s="165">
        <f>J9+K9</f>
        <v>16</v>
      </c>
      <c r="N9" s="166">
        <v>0.83</v>
      </c>
      <c r="O9" s="167">
        <v>0.1</v>
      </c>
      <c r="P9" s="168">
        <v>0.1</v>
      </c>
      <c r="Q9" s="309">
        <f t="shared" si="0"/>
        <v>279.5</v>
      </c>
      <c r="R9" s="152">
        <f t="shared" si="1"/>
        <v>610.6</v>
      </c>
      <c r="S9" s="154">
        <f t="shared" si="2"/>
        <v>77.400000000000006</v>
      </c>
      <c r="T9" s="169">
        <f t="shared" si="3"/>
        <v>11.610000000000001</v>
      </c>
      <c r="U9" s="165">
        <f t="shared" si="4"/>
        <v>688</v>
      </c>
      <c r="V9" s="166">
        <f t="shared" si="5"/>
        <v>35.69</v>
      </c>
      <c r="W9" s="167">
        <f t="shared" si="6"/>
        <v>4.3</v>
      </c>
      <c r="X9" s="168">
        <f t="shared" si="7"/>
        <v>4.3</v>
      </c>
      <c r="Y9" s="14"/>
    </row>
    <row r="10" spans="1:25" s="7" customFormat="1" ht="13.5" customHeight="1">
      <c r="A10" s="67"/>
      <c r="B10" s="28"/>
      <c r="C10" s="20" t="s">
        <v>65</v>
      </c>
      <c r="D10" s="43" t="s">
        <v>66</v>
      </c>
      <c r="E10" s="26">
        <v>12</v>
      </c>
      <c r="F10" s="28" t="s">
        <v>1295</v>
      </c>
      <c r="G10" s="37">
        <v>42</v>
      </c>
      <c r="H10" s="150">
        <f t="shared" si="8"/>
        <v>504</v>
      </c>
      <c r="I10" s="306">
        <v>5</v>
      </c>
      <c r="J10" s="155">
        <v>2.6</v>
      </c>
      <c r="K10" s="177">
        <v>1.8</v>
      </c>
      <c r="L10" s="157">
        <v>0.27</v>
      </c>
      <c r="M10" s="165">
        <f t="shared" ref="M10:M73" si="9">J10+K10</f>
        <v>4.4000000000000004</v>
      </c>
      <c r="N10" s="166">
        <v>0.83</v>
      </c>
      <c r="O10" s="167">
        <v>0.1</v>
      </c>
      <c r="P10" s="168">
        <v>0.1</v>
      </c>
      <c r="Q10" s="309">
        <f t="shared" si="0"/>
        <v>60</v>
      </c>
      <c r="R10" s="152">
        <f t="shared" si="1"/>
        <v>31.200000000000003</v>
      </c>
      <c r="S10" s="154">
        <f t="shared" si="2"/>
        <v>21.6</v>
      </c>
      <c r="T10" s="169">
        <f t="shared" si="3"/>
        <v>3.24</v>
      </c>
      <c r="U10" s="153">
        <f t="shared" si="4"/>
        <v>52.800000000000004</v>
      </c>
      <c r="V10" s="166">
        <f t="shared" si="5"/>
        <v>9.9599999999999991</v>
      </c>
      <c r="W10" s="167">
        <f t="shared" si="6"/>
        <v>1.2000000000000002</v>
      </c>
      <c r="X10" s="168">
        <f t="shared" si="7"/>
        <v>1.2000000000000002</v>
      </c>
      <c r="Y10" s="14"/>
    </row>
    <row r="11" spans="1:25" s="7" customFormat="1" ht="13.5" customHeight="1">
      <c r="A11" s="67"/>
      <c r="B11" s="28"/>
      <c r="C11" s="20" t="s">
        <v>65</v>
      </c>
      <c r="D11" s="43" t="s">
        <v>66</v>
      </c>
      <c r="E11" s="26">
        <v>32</v>
      </c>
      <c r="F11" s="28" t="s">
        <v>1296</v>
      </c>
      <c r="G11" s="37">
        <v>45</v>
      </c>
      <c r="H11" s="150">
        <f t="shared" si="8"/>
        <v>1440</v>
      </c>
      <c r="I11" s="306">
        <v>5</v>
      </c>
      <c r="J11" s="155">
        <v>5.6</v>
      </c>
      <c r="K11" s="177">
        <v>1.8</v>
      </c>
      <c r="L11" s="157">
        <v>0.27</v>
      </c>
      <c r="M11" s="165">
        <f t="shared" si="9"/>
        <v>7.3999999999999995</v>
      </c>
      <c r="N11" s="166">
        <v>0.83</v>
      </c>
      <c r="O11" s="167">
        <v>0.1</v>
      </c>
      <c r="P11" s="168">
        <v>0.1</v>
      </c>
      <c r="Q11" s="309">
        <f t="shared" si="0"/>
        <v>160</v>
      </c>
      <c r="R11" s="152">
        <f t="shared" si="1"/>
        <v>179.2</v>
      </c>
      <c r="S11" s="154">
        <f t="shared" si="2"/>
        <v>57.6</v>
      </c>
      <c r="T11" s="169">
        <f t="shared" si="3"/>
        <v>8.64</v>
      </c>
      <c r="U11" s="153">
        <f t="shared" si="4"/>
        <v>236.79999999999998</v>
      </c>
      <c r="V11" s="166">
        <f t="shared" si="5"/>
        <v>26.56</v>
      </c>
      <c r="W11" s="167">
        <f t="shared" si="6"/>
        <v>3.2</v>
      </c>
      <c r="X11" s="168">
        <f t="shared" si="7"/>
        <v>3.2</v>
      </c>
      <c r="Y11" s="14"/>
    </row>
    <row r="12" spans="1:25" s="7" customFormat="1" ht="13.5" customHeight="1">
      <c r="A12" s="67">
        <v>40300</v>
      </c>
      <c r="B12" s="28">
        <v>465</v>
      </c>
      <c r="C12" s="20" t="s">
        <v>872</v>
      </c>
      <c r="D12" s="20" t="s">
        <v>213</v>
      </c>
      <c r="E12" s="26">
        <v>5</v>
      </c>
      <c r="F12" s="28" t="s">
        <v>1297</v>
      </c>
      <c r="G12" s="37">
        <v>85</v>
      </c>
      <c r="H12" s="150">
        <f t="shared" si="8"/>
        <v>425</v>
      </c>
      <c r="I12" s="306">
        <v>8.5</v>
      </c>
      <c r="J12" s="155">
        <v>14.1</v>
      </c>
      <c r="K12" s="177">
        <v>3.5</v>
      </c>
      <c r="L12" s="157">
        <v>0.53</v>
      </c>
      <c r="M12" s="165">
        <f t="shared" si="9"/>
        <v>17.600000000000001</v>
      </c>
      <c r="N12" s="166">
        <v>1.1299999999999999</v>
      </c>
      <c r="O12" s="167">
        <v>1</v>
      </c>
      <c r="P12" s="168">
        <v>0</v>
      </c>
      <c r="Q12" s="309">
        <f t="shared" si="0"/>
        <v>42.5</v>
      </c>
      <c r="R12" s="152">
        <f t="shared" si="1"/>
        <v>70.5</v>
      </c>
      <c r="S12" s="154">
        <f t="shared" si="2"/>
        <v>17.5</v>
      </c>
      <c r="T12" s="169">
        <f t="shared" si="3"/>
        <v>2.6500000000000004</v>
      </c>
      <c r="U12" s="153">
        <f t="shared" si="4"/>
        <v>88</v>
      </c>
      <c r="V12" s="166">
        <f t="shared" si="5"/>
        <v>5.6499999999999995</v>
      </c>
      <c r="W12" s="167">
        <f t="shared" si="6"/>
        <v>5</v>
      </c>
      <c r="X12" s="168">
        <f t="shared" si="7"/>
        <v>0</v>
      </c>
      <c r="Y12" s="14"/>
    </row>
    <row r="13" spans="1:25" s="7" customFormat="1" ht="13.5" customHeight="1">
      <c r="A13" s="67"/>
      <c r="B13" s="28"/>
      <c r="C13" s="20" t="s">
        <v>872</v>
      </c>
      <c r="D13" s="20" t="s">
        <v>213</v>
      </c>
      <c r="E13" s="26">
        <v>5</v>
      </c>
      <c r="F13" s="28" t="s">
        <v>1298</v>
      </c>
      <c r="G13" s="37">
        <v>80</v>
      </c>
      <c r="H13" s="150">
        <f t="shared" si="8"/>
        <v>400</v>
      </c>
      <c r="I13" s="306">
        <v>8.5</v>
      </c>
      <c r="J13" s="155">
        <v>14.1</v>
      </c>
      <c r="K13" s="177">
        <v>3.5</v>
      </c>
      <c r="L13" s="157">
        <v>0.53</v>
      </c>
      <c r="M13" s="165">
        <f t="shared" ref="M13:M19" si="10">J13+K13</f>
        <v>17.600000000000001</v>
      </c>
      <c r="N13" s="166">
        <v>1.1299999999999999</v>
      </c>
      <c r="O13" s="167">
        <v>1</v>
      </c>
      <c r="P13" s="168">
        <v>0</v>
      </c>
      <c r="Q13" s="309">
        <f t="shared" si="0"/>
        <v>42.5</v>
      </c>
      <c r="R13" s="152">
        <f t="shared" si="1"/>
        <v>70.5</v>
      </c>
      <c r="S13" s="154">
        <f t="shared" si="2"/>
        <v>17.5</v>
      </c>
      <c r="T13" s="169">
        <f t="shared" si="3"/>
        <v>2.6500000000000004</v>
      </c>
      <c r="U13" s="153">
        <f t="shared" si="4"/>
        <v>88</v>
      </c>
      <c r="V13" s="166">
        <f t="shared" si="5"/>
        <v>5.6499999999999995</v>
      </c>
      <c r="W13" s="167">
        <f t="shared" si="6"/>
        <v>5</v>
      </c>
      <c r="X13" s="168">
        <f t="shared" si="7"/>
        <v>0</v>
      </c>
      <c r="Y13" s="14"/>
    </row>
    <row r="14" spans="1:25" s="7" customFormat="1" ht="13.5" customHeight="1">
      <c r="A14" s="67"/>
      <c r="B14" s="28"/>
      <c r="C14" s="20" t="s">
        <v>872</v>
      </c>
      <c r="D14" s="20" t="s">
        <v>213</v>
      </c>
      <c r="E14" s="26">
        <v>5</v>
      </c>
      <c r="F14" s="28" t="s">
        <v>1299</v>
      </c>
      <c r="G14" s="37">
        <v>85</v>
      </c>
      <c r="H14" s="150">
        <f t="shared" si="8"/>
        <v>425</v>
      </c>
      <c r="I14" s="306">
        <v>8.5</v>
      </c>
      <c r="J14" s="155">
        <v>14.1</v>
      </c>
      <c r="K14" s="177">
        <v>3.5</v>
      </c>
      <c r="L14" s="157">
        <v>0.53</v>
      </c>
      <c r="M14" s="165">
        <f t="shared" si="10"/>
        <v>17.600000000000001</v>
      </c>
      <c r="N14" s="166">
        <v>1.1299999999999999</v>
      </c>
      <c r="O14" s="167">
        <v>1</v>
      </c>
      <c r="P14" s="168">
        <v>0</v>
      </c>
      <c r="Q14" s="309">
        <f>E14*I14</f>
        <v>42.5</v>
      </c>
      <c r="R14" s="152">
        <f t="shared" si="1"/>
        <v>70.5</v>
      </c>
      <c r="S14" s="154">
        <f t="shared" si="2"/>
        <v>17.5</v>
      </c>
      <c r="T14" s="169">
        <f t="shared" si="3"/>
        <v>2.6500000000000004</v>
      </c>
      <c r="U14" s="153">
        <f t="shared" si="4"/>
        <v>88</v>
      </c>
      <c r="V14" s="166">
        <f t="shared" si="5"/>
        <v>5.6499999999999995</v>
      </c>
      <c r="W14" s="167">
        <f t="shared" si="6"/>
        <v>5</v>
      </c>
      <c r="X14" s="168">
        <f t="shared" si="7"/>
        <v>0</v>
      </c>
      <c r="Y14" s="14"/>
    </row>
    <row r="15" spans="1:25" s="7" customFormat="1" ht="13.5" customHeight="1">
      <c r="A15" s="67"/>
      <c r="B15" s="28"/>
      <c r="C15" s="20" t="s">
        <v>872</v>
      </c>
      <c r="D15" s="20" t="s">
        <v>213</v>
      </c>
      <c r="E15" s="26">
        <v>5</v>
      </c>
      <c r="F15" s="28" t="s">
        <v>1300</v>
      </c>
      <c r="G15" s="37">
        <v>80</v>
      </c>
      <c r="H15" s="150">
        <f t="shared" si="8"/>
        <v>400</v>
      </c>
      <c r="I15" s="306">
        <v>8.5</v>
      </c>
      <c r="J15" s="155">
        <v>14.1</v>
      </c>
      <c r="K15" s="177">
        <v>3.5</v>
      </c>
      <c r="L15" s="157">
        <v>0.53</v>
      </c>
      <c r="M15" s="165">
        <f t="shared" si="10"/>
        <v>17.600000000000001</v>
      </c>
      <c r="N15" s="166">
        <v>1.1299999999999999</v>
      </c>
      <c r="O15" s="167">
        <v>1</v>
      </c>
      <c r="P15" s="168">
        <v>0</v>
      </c>
      <c r="Q15" s="309">
        <f t="shared" si="0"/>
        <v>42.5</v>
      </c>
      <c r="R15" s="152">
        <f t="shared" si="1"/>
        <v>70.5</v>
      </c>
      <c r="S15" s="154">
        <f t="shared" si="2"/>
        <v>17.5</v>
      </c>
      <c r="T15" s="169">
        <f t="shared" si="3"/>
        <v>2.6500000000000004</v>
      </c>
      <c r="U15" s="153">
        <f t="shared" si="4"/>
        <v>88</v>
      </c>
      <c r="V15" s="166">
        <f t="shared" si="5"/>
        <v>5.6499999999999995</v>
      </c>
      <c r="W15" s="167">
        <f t="shared" si="6"/>
        <v>5</v>
      </c>
      <c r="X15" s="168">
        <f t="shared" si="7"/>
        <v>0</v>
      </c>
      <c r="Y15" s="14"/>
    </row>
    <row r="16" spans="1:25" s="7" customFormat="1" ht="13.5" customHeight="1">
      <c r="A16" s="67"/>
      <c r="B16" s="28"/>
      <c r="C16" s="20" t="s">
        <v>872</v>
      </c>
      <c r="D16" s="20" t="s">
        <v>213</v>
      </c>
      <c r="E16" s="26">
        <v>5</v>
      </c>
      <c r="F16" s="28" t="s">
        <v>1301</v>
      </c>
      <c r="G16" s="37">
        <v>85</v>
      </c>
      <c r="H16" s="150">
        <f t="shared" si="8"/>
        <v>425</v>
      </c>
      <c r="I16" s="306">
        <v>8.5</v>
      </c>
      <c r="J16" s="155">
        <v>14.1</v>
      </c>
      <c r="K16" s="177">
        <v>3.5</v>
      </c>
      <c r="L16" s="157">
        <v>0.53</v>
      </c>
      <c r="M16" s="165">
        <f t="shared" si="10"/>
        <v>17.600000000000001</v>
      </c>
      <c r="N16" s="166">
        <v>1.1299999999999999</v>
      </c>
      <c r="O16" s="167">
        <v>1</v>
      </c>
      <c r="P16" s="168">
        <v>0</v>
      </c>
      <c r="Q16" s="309">
        <f t="shared" si="0"/>
        <v>42.5</v>
      </c>
      <c r="R16" s="152">
        <f t="shared" si="1"/>
        <v>70.5</v>
      </c>
      <c r="S16" s="154">
        <f t="shared" si="2"/>
        <v>17.5</v>
      </c>
      <c r="T16" s="183">
        <f t="shared" si="3"/>
        <v>2.6500000000000004</v>
      </c>
      <c r="U16" s="153">
        <f t="shared" si="4"/>
        <v>88</v>
      </c>
      <c r="V16" s="166">
        <f t="shared" si="5"/>
        <v>5.6499999999999995</v>
      </c>
      <c r="W16" s="167">
        <f t="shared" si="6"/>
        <v>5</v>
      </c>
      <c r="X16" s="168">
        <f t="shared" si="7"/>
        <v>0</v>
      </c>
      <c r="Y16" s="14"/>
    </row>
    <row r="17" spans="1:25" s="7" customFormat="1" ht="13.5" customHeight="1">
      <c r="A17" s="67"/>
      <c r="B17" s="28"/>
      <c r="C17" s="20" t="s">
        <v>872</v>
      </c>
      <c r="D17" s="20" t="s">
        <v>213</v>
      </c>
      <c r="E17" s="26">
        <v>5</v>
      </c>
      <c r="F17" s="28" t="s">
        <v>1302</v>
      </c>
      <c r="G17" s="37">
        <v>80</v>
      </c>
      <c r="H17" s="150">
        <f t="shared" si="8"/>
        <v>400</v>
      </c>
      <c r="I17" s="306">
        <v>8.5</v>
      </c>
      <c r="J17" s="155">
        <v>14.1</v>
      </c>
      <c r="K17" s="177">
        <v>3.5</v>
      </c>
      <c r="L17" s="157">
        <v>0.53</v>
      </c>
      <c r="M17" s="165">
        <f t="shared" si="10"/>
        <v>17.600000000000001</v>
      </c>
      <c r="N17" s="166">
        <v>1.1299999999999999</v>
      </c>
      <c r="O17" s="167">
        <v>1</v>
      </c>
      <c r="P17" s="168">
        <v>0</v>
      </c>
      <c r="Q17" s="309">
        <f t="shared" si="0"/>
        <v>42.5</v>
      </c>
      <c r="R17" s="152">
        <f t="shared" si="1"/>
        <v>70.5</v>
      </c>
      <c r="S17" s="154">
        <f t="shared" si="2"/>
        <v>17.5</v>
      </c>
      <c r="T17" s="169">
        <f t="shared" si="3"/>
        <v>2.6500000000000004</v>
      </c>
      <c r="U17" s="153">
        <f t="shared" si="4"/>
        <v>88</v>
      </c>
      <c r="V17" s="166">
        <f t="shared" si="5"/>
        <v>5.6499999999999995</v>
      </c>
      <c r="W17" s="167">
        <f t="shared" si="6"/>
        <v>5</v>
      </c>
      <c r="X17" s="168">
        <f t="shared" si="7"/>
        <v>0</v>
      </c>
      <c r="Y17" s="14"/>
    </row>
    <row r="18" spans="1:25" s="7" customFormat="1" ht="13.5" customHeight="1">
      <c r="A18" s="67"/>
      <c r="B18" s="28"/>
      <c r="C18" s="20" t="s">
        <v>872</v>
      </c>
      <c r="D18" s="20" t="s">
        <v>213</v>
      </c>
      <c r="E18" s="26">
        <v>2</v>
      </c>
      <c r="F18" s="28" t="s">
        <v>1303</v>
      </c>
      <c r="G18" s="37">
        <v>95</v>
      </c>
      <c r="H18" s="150">
        <f t="shared" si="8"/>
        <v>190</v>
      </c>
      <c r="I18" s="306">
        <v>8.5</v>
      </c>
      <c r="J18" s="155">
        <v>14.1</v>
      </c>
      <c r="K18" s="177">
        <v>3.5</v>
      </c>
      <c r="L18" s="157">
        <v>0.53</v>
      </c>
      <c r="M18" s="165">
        <f t="shared" si="10"/>
        <v>17.600000000000001</v>
      </c>
      <c r="N18" s="166">
        <v>1.1299999999999999</v>
      </c>
      <c r="O18" s="167">
        <v>1</v>
      </c>
      <c r="P18" s="168">
        <v>0</v>
      </c>
      <c r="Q18" s="309">
        <f t="shared" si="0"/>
        <v>17</v>
      </c>
      <c r="R18" s="152">
        <f t="shared" si="1"/>
        <v>28.2</v>
      </c>
      <c r="S18" s="154">
        <f t="shared" si="2"/>
        <v>7</v>
      </c>
      <c r="T18" s="169">
        <f t="shared" si="3"/>
        <v>1.06</v>
      </c>
      <c r="U18" s="153">
        <f t="shared" si="4"/>
        <v>35.200000000000003</v>
      </c>
      <c r="V18" s="166">
        <f t="shared" si="5"/>
        <v>2.2599999999999998</v>
      </c>
      <c r="W18" s="167">
        <f t="shared" si="6"/>
        <v>2</v>
      </c>
      <c r="X18" s="168">
        <f t="shared" si="7"/>
        <v>0</v>
      </c>
      <c r="Y18" s="14"/>
    </row>
    <row r="19" spans="1:25" s="7" customFormat="1" ht="13.5" customHeight="1">
      <c r="A19" s="67"/>
      <c r="B19" s="28"/>
      <c r="C19" s="20" t="s">
        <v>872</v>
      </c>
      <c r="D19" s="20" t="s">
        <v>213</v>
      </c>
      <c r="E19" s="26">
        <v>5</v>
      </c>
      <c r="F19" s="28" t="s">
        <v>1304</v>
      </c>
      <c r="G19" s="37">
        <v>55</v>
      </c>
      <c r="H19" s="150">
        <f t="shared" si="8"/>
        <v>275</v>
      </c>
      <c r="I19" s="306">
        <v>8.5</v>
      </c>
      <c r="J19" s="155">
        <v>14.1</v>
      </c>
      <c r="K19" s="177">
        <v>3.5</v>
      </c>
      <c r="L19" s="157">
        <v>0.53</v>
      </c>
      <c r="M19" s="165">
        <f t="shared" si="10"/>
        <v>17.600000000000001</v>
      </c>
      <c r="N19" s="166">
        <v>1.1299999999999999</v>
      </c>
      <c r="O19" s="167">
        <v>1</v>
      </c>
      <c r="P19" s="168">
        <v>0</v>
      </c>
      <c r="Q19" s="309">
        <f t="shared" si="0"/>
        <v>42.5</v>
      </c>
      <c r="R19" s="152">
        <f t="shared" si="1"/>
        <v>70.5</v>
      </c>
      <c r="S19" s="154">
        <f t="shared" si="2"/>
        <v>17.5</v>
      </c>
      <c r="T19" s="169">
        <f t="shared" si="3"/>
        <v>2.6500000000000004</v>
      </c>
      <c r="U19" s="153">
        <f t="shared" si="4"/>
        <v>88</v>
      </c>
      <c r="V19" s="166">
        <f t="shared" si="5"/>
        <v>5.6499999999999995</v>
      </c>
      <c r="W19" s="167">
        <f t="shared" si="6"/>
        <v>5</v>
      </c>
      <c r="X19" s="168">
        <f t="shared" si="7"/>
        <v>0</v>
      </c>
      <c r="Y19" s="14"/>
    </row>
    <row r="20" spans="1:25" s="7" customFormat="1" ht="13.5" customHeight="1">
      <c r="A20" s="67">
        <v>40303</v>
      </c>
      <c r="B20" s="28">
        <v>466</v>
      </c>
      <c r="C20" s="20" t="s">
        <v>1305</v>
      </c>
      <c r="D20" s="20" t="s">
        <v>1305</v>
      </c>
      <c r="E20" s="26">
        <v>2</v>
      </c>
      <c r="F20" s="28" t="s">
        <v>1306</v>
      </c>
      <c r="G20" s="37">
        <v>38</v>
      </c>
      <c r="H20" s="150">
        <f t="shared" si="8"/>
        <v>76</v>
      </c>
      <c r="I20" s="306">
        <v>3.5</v>
      </c>
      <c r="J20" s="155">
        <v>6.17</v>
      </c>
      <c r="K20" s="156">
        <v>1.1000000000000001</v>
      </c>
      <c r="L20" s="157">
        <v>0.17</v>
      </c>
      <c r="M20" s="165">
        <f t="shared" si="9"/>
        <v>7.27</v>
      </c>
      <c r="N20" s="166">
        <v>0.33</v>
      </c>
      <c r="O20" s="167">
        <v>0.25</v>
      </c>
      <c r="P20" s="168">
        <v>0.1</v>
      </c>
      <c r="Q20" s="309">
        <f t="shared" si="0"/>
        <v>7</v>
      </c>
      <c r="R20" s="152">
        <f t="shared" si="1"/>
        <v>12.34</v>
      </c>
      <c r="S20" s="154">
        <f t="shared" si="2"/>
        <v>2.2000000000000002</v>
      </c>
      <c r="T20" s="169">
        <f t="shared" si="3"/>
        <v>0.34</v>
      </c>
      <c r="U20" s="153">
        <f t="shared" si="4"/>
        <v>14.54</v>
      </c>
      <c r="V20" s="166">
        <f t="shared" si="5"/>
        <v>0.66</v>
      </c>
      <c r="W20" s="167">
        <f t="shared" si="6"/>
        <v>0.5</v>
      </c>
      <c r="X20" s="168">
        <f t="shared" si="7"/>
        <v>0.2</v>
      </c>
      <c r="Y20" s="14"/>
    </row>
    <row r="21" spans="1:25" s="7" customFormat="1" ht="13.5" customHeight="1">
      <c r="A21" s="67"/>
      <c r="B21" s="28"/>
      <c r="C21" s="20" t="s">
        <v>1305</v>
      </c>
      <c r="D21" s="20" t="s">
        <v>1305</v>
      </c>
      <c r="E21" s="26">
        <v>2</v>
      </c>
      <c r="F21" s="28" t="s">
        <v>1307</v>
      </c>
      <c r="G21" s="37">
        <v>38</v>
      </c>
      <c r="H21" s="150">
        <f t="shared" si="8"/>
        <v>76</v>
      </c>
      <c r="I21" s="306">
        <v>3.5</v>
      </c>
      <c r="J21" s="155">
        <v>6.17</v>
      </c>
      <c r="K21" s="156">
        <v>1.1000000000000001</v>
      </c>
      <c r="L21" s="157">
        <v>0.17</v>
      </c>
      <c r="M21" s="165">
        <f>J21+K21</f>
        <v>7.27</v>
      </c>
      <c r="N21" s="166">
        <v>0.33</v>
      </c>
      <c r="O21" s="167">
        <v>0.25</v>
      </c>
      <c r="P21" s="168">
        <v>0.1</v>
      </c>
      <c r="Q21" s="309">
        <f t="shared" si="0"/>
        <v>7</v>
      </c>
      <c r="R21" s="152">
        <f t="shared" si="1"/>
        <v>12.34</v>
      </c>
      <c r="S21" s="154">
        <f t="shared" si="2"/>
        <v>2.2000000000000002</v>
      </c>
      <c r="T21" s="169">
        <f t="shared" si="3"/>
        <v>0.34</v>
      </c>
      <c r="U21" s="153">
        <f t="shared" si="4"/>
        <v>14.54</v>
      </c>
      <c r="V21" s="166">
        <f t="shared" si="5"/>
        <v>0.66</v>
      </c>
      <c r="W21" s="167">
        <f t="shared" si="6"/>
        <v>0.5</v>
      </c>
      <c r="X21" s="168">
        <f t="shared" si="7"/>
        <v>0.2</v>
      </c>
      <c r="Y21" s="14"/>
    </row>
    <row r="22" spans="1:25" s="7" customFormat="1" ht="13.5" customHeight="1">
      <c r="A22" s="67"/>
      <c r="B22" s="26"/>
      <c r="C22" s="20" t="s">
        <v>1305</v>
      </c>
      <c r="D22" s="20" t="s">
        <v>1305</v>
      </c>
      <c r="E22" s="26">
        <v>2</v>
      </c>
      <c r="F22" s="28" t="s">
        <v>1308</v>
      </c>
      <c r="G22" s="37">
        <v>38</v>
      </c>
      <c r="H22" s="150">
        <f t="shared" si="8"/>
        <v>76</v>
      </c>
      <c r="I22" s="306">
        <v>3.5</v>
      </c>
      <c r="J22" s="155">
        <v>6.17</v>
      </c>
      <c r="K22" s="156">
        <v>1.1000000000000001</v>
      </c>
      <c r="L22" s="157">
        <v>0.17</v>
      </c>
      <c r="M22" s="165">
        <f>J22+K22</f>
        <v>7.27</v>
      </c>
      <c r="N22" s="166">
        <v>0.33</v>
      </c>
      <c r="O22" s="167">
        <v>0.25</v>
      </c>
      <c r="P22" s="168">
        <v>0.1</v>
      </c>
      <c r="Q22" s="309">
        <f t="shared" si="0"/>
        <v>7</v>
      </c>
      <c r="R22" s="152">
        <f t="shared" si="1"/>
        <v>12.34</v>
      </c>
      <c r="S22" s="154">
        <f t="shared" si="2"/>
        <v>2.2000000000000002</v>
      </c>
      <c r="T22" s="169">
        <f t="shared" si="3"/>
        <v>0.34</v>
      </c>
      <c r="U22" s="153">
        <f t="shared" si="4"/>
        <v>14.54</v>
      </c>
      <c r="V22" s="166">
        <f t="shared" si="5"/>
        <v>0.66</v>
      </c>
      <c r="W22" s="167">
        <f t="shared" si="6"/>
        <v>0.5</v>
      </c>
      <c r="X22" s="168">
        <f t="shared" si="7"/>
        <v>0.2</v>
      </c>
      <c r="Y22" s="14"/>
    </row>
    <row r="23" spans="1:25" s="7" customFormat="1" ht="13.5" customHeight="1">
      <c r="A23" s="67">
        <v>40307</v>
      </c>
      <c r="B23" s="28">
        <v>467</v>
      </c>
      <c r="C23" s="20" t="s">
        <v>1050</v>
      </c>
      <c r="D23" s="20" t="s">
        <v>245</v>
      </c>
      <c r="E23" s="26">
        <v>2</v>
      </c>
      <c r="F23" s="28" t="s">
        <v>1309</v>
      </c>
      <c r="G23" s="37">
        <v>89</v>
      </c>
      <c r="H23" s="150">
        <f t="shared" si="8"/>
        <v>178</v>
      </c>
      <c r="I23" s="307">
        <v>8.5</v>
      </c>
      <c r="J23" s="155">
        <v>28.58</v>
      </c>
      <c r="K23" s="177">
        <v>0</v>
      </c>
      <c r="L23" s="157">
        <v>0</v>
      </c>
      <c r="M23" s="165">
        <f t="shared" si="9"/>
        <v>28.58</v>
      </c>
      <c r="N23" s="166">
        <v>1.25</v>
      </c>
      <c r="O23" s="167">
        <v>0.2</v>
      </c>
      <c r="P23" s="168">
        <v>0.2</v>
      </c>
      <c r="Q23" s="309">
        <f t="shared" si="0"/>
        <v>17</v>
      </c>
      <c r="R23" s="152">
        <f t="shared" si="1"/>
        <v>57.16</v>
      </c>
      <c r="S23" s="154">
        <f t="shared" si="2"/>
        <v>0</v>
      </c>
      <c r="T23" s="169">
        <f t="shared" si="3"/>
        <v>0</v>
      </c>
      <c r="U23" s="153">
        <f t="shared" si="4"/>
        <v>57.16</v>
      </c>
      <c r="V23" s="166">
        <f t="shared" si="5"/>
        <v>2.5</v>
      </c>
      <c r="W23" s="167">
        <f t="shared" si="6"/>
        <v>0.4</v>
      </c>
      <c r="X23" s="168">
        <f t="shared" si="7"/>
        <v>0.4</v>
      </c>
      <c r="Y23" s="14"/>
    </row>
    <row r="24" spans="1:25" s="7" customFormat="1" ht="13.5" customHeight="1">
      <c r="A24" s="67"/>
      <c r="B24" s="28"/>
      <c r="C24" s="20" t="s">
        <v>1050</v>
      </c>
      <c r="D24" s="20" t="s">
        <v>245</v>
      </c>
      <c r="E24" s="26">
        <v>1</v>
      </c>
      <c r="F24" s="28" t="s">
        <v>1310</v>
      </c>
      <c r="G24" s="37">
        <v>40</v>
      </c>
      <c r="H24" s="150">
        <f t="shared" si="8"/>
        <v>40</v>
      </c>
      <c r="I24" s="307">
        <v>0</v>
      </c>
      <c r="J24" s="155">
        <v>0</v>
      </c>
      <c r="K24" s="177">
        <v>0</v>
      </c>
      <c r="L24" s="157">
        <v>0</v>
      </c>
      <c r="M24" s="165">
        <f t="shared" si="9"/>
        <v>0</v>
      </c>
      <c r="N24" s="166">
        <v>0</v>
      </c>
      <c r="O24" s="167">
        <v>0</v>
      </c>
      <c r="P24" s="168">
        <v>0</v>
      </c>
      <c r="Q24" s="309">
        <f t="shared" si="0"/>
        <v>0</v>
      </c>
      <c r="R24" s="152">
        <f t="shared" si="1"/>
        <v>0</v>
      </c>
      <c r="S24" s="154">
        <f t="shared" si="2"/>
        <v>0</v>
      </c>
      <c r="T24" s="169">
        <f t="shared" si="3"/>
        <v>0</v>
      </c>
      <c r="U24" s="153">
        <f t="shared" si="4"/>
        <v>0</v>
      </c>
      <c r="V24" s="166">
        <f t="shared" si="5"/>
        <v>0</v>
      </c>
      <c r="W24" s="167">
        <f t="shared" si="6"/>
        <v>0</v>
      </c>
      <c r="X24" s="168">
        <f t="shared" si="7"/>
        <v>0</v>
      </c>
      <c r="Y24" s="14"/>
    </row>
    <row r="25" spans="1:25" s="7" customFormat="1" ht="13.5" customHeight="1">
      <c r="A25" s="67">
        <v>40302</v>
      </c>
      <c r="B25" s="28">
        <v>468</v>
      </c>
      <c r="C25" s="20" t="s">
        <v>1311</v>
      </c>
      <c r="D25" s="20" t="s">
        <v>1312</v>
      </c>
      <c r="E25" s="26">
        <v>52</v>
      </c>
      <c r="F25" s="28" t="s">
        <v>1313</v>
      </c>
      <c r="G25" s="37">
        <v>51.5</v>
      </c>
      <c r="H25" s="150">
        <f t="shared" si="8"/>
        <v>2678</v>
      </c>
      <c r="I25" s="306">
        <v>3.5</v>
      </c>
      <c r="J25" s="155">
        <v>17.760000000000002</v>
      </c>
      <c r="K25" s="156">
        <v>2.8</v>
      </c>
      <c r="L25" s="157">
        <v>0.42</v>
      </c>
      <c r="M25" s="165">
        <f t="shared" si="9"/>
        <v>20.560000000000002</v>
      </c>
      <c r="N25" s="166">
        <v>0.33</v>
      </c>
      <c r="O25" s="167">
        <v>0.1</v>
      </c>
      <c r="P25" s="168">
        <v>0.1</v>
      </c>
      <c r="Q25" s="309">
        <f t="shared" si="0"/>
        <v>182</v>
      </c>
      <c r="R25" s="152">
        <f t="shared" si="1"/>
        <v>923.5200000000001</v>
      </c>
      <c r="S25" s="154">
        <f t="shared" si="2"/>
        <v>145.6</v>
      </c>
      <c r="T25" s="169">
        <f t="shared" si="3"/>
        <v>21.84</v>
      </c>
      <c r="U25" s="153">
        <f t="shared" si="4"/>
        <v>1069.1200000000001</v>
      </c>
      <c r="V25" s="166">
        <f t="shared" si="5"/>
        <v>17.16</v>
      </c>
      <c r="W25" s="167">
        <f t="shared" si="6"/>
        <v>5.2</v>
      </c>
      <c r="X25" s="168">
        <f t="shared" si="7"/>
        <v>5.2</v>
      </c>
      <c r="Y25" s="14"/>
    </row>
    <row r="26" spans="1:25" s="7" customFormat="1" ht="13.5" customHeight="1">
      <c r="A26" s="67">
        <v>40303</v>
      </c>
      <c r="B26" s="28">
        <v>469</v>
      </c>
      <c r="C26" s="20" t="s">
        <v>1314</v>
      </c>
      <c r="D26" s="20" t="s">
        <v>486</v>
      </c>
      <c r="E26" s="26">
        <v>18</v>
      </c>
      <c r="F26" s="28" t="s">
        <v>1315</v>
      </c>
      <c r="G26" s="37">
        <v>38.5</v>
      </c>
      <c r="H26" s="150">
        <f t="shared" si="8"/>
        <v>693</v>
      </c>
      <c r="I26" s="306">
        <v>3.5</v>
      </c>
      <c r="J26" s="155">
        <v>9.0399999999999991</v>
      </c>
      <c r="K26" s="177">
        <v>2</v>
      </c>
      <c r="L26" s="157">
        <v>0.3</v>
      </c>
      <c r="M26" s="165">
        <f t="shared" si="9"/>
        <v>11.04</v>
      </c>
      <c r="N26" s="166">
        <v>0.33</v>
      </c>
      <c r="O26" s="167">
        <v>0.1</v>
      </c>
      <c r="P26" s="168">
        <v>0.1</v>
      </c>
      <c r="Q26" s="309">
        <f t="shared" si="0"/>
        <v>63</v>
      </c>
      <c r="R26" s="152">
        <f t="shared" si="1"/>
        <v>162.71999999999997</v>
      </c>
      <c r="S26" s="154">
        <f t="shared" si="2"/>
        <v>36</v>
      </c>
      <c r="T26" s="169">
        <f t="shared" si="3"/>
        <v>5.3999999999999995</v>
      </c>
      <c r="U26" s="153">
        <f t="shared" si="4"/>
        <v>198.71999999999997</v>
      </c>
      <c r="V26" s="166">
        <f t="shared" si="5"/>
        <v>5.94</v>
      </c>
      <c r="W26" s="167">
        <f t="shared" si="6"/>
        <v>1.8</v>
      </c>
      <c r="X26" s="168">
        <f t="shared" si="7"/>
        <v>1.8</v>
      </c>
      <c r="Y26" s="14"/>
    </row>
    <row r="27" spans="1:25" s="7" customFormat="1" ht="13.5" customHeight="1">
      <c r="A27" s="67"/>
      <c r="B27" s="28"/>
      <c r="C27" s="20" t="s">
        <v>1314</v>
      </c>
      <c r="D27" s="20" t="s">
        <v>486</v>
      </c>
      <c r="E27" s="26">
        <v>22</v>
      </c>
      <c r="F27" s="28" t="s">
        <v>1316</v>
      </c>
      <c r="G27" s="37">
        <v>36.5</v>
      </c>
      <c r="H27" s="150">
        <f t="shared" si="8"/>
        <v>803</v>
      </c>
      <c r="I27" s="306">
        <v>3.5</v>
      </c>
      <c r="J27" s="155">
        <v>9.0399999999999991</v>
      </c>
      <c r="K27" s="177">
        <v>2</v>
      </c>
      <c r="L27" s="157">
        <v>0.3</v>
      </c>
      <c r="M27" s="165">
        <f>J27+K27</f>
        <v>11.04</v>
      </c>
      <c r="N27" s="166">
        <v>0.33</v>
      </c>
      <c r="O27" s="167">
        <v>0.1</v>
      </c>
      <c r="P27" s="168">
        <v>0.1</v>
      </c>
      <c r="Q27" s="309">
        <f t="shared" si="0"/>
        <v>77</v>
      </c>
      <c r="R27" s="152">
        <f t="shared" si="1"/>
        <v>198.88</v>
      </c>
      <c r="S27" s="154">
        <f t="shared" si="2"/>
        <v>44</v>
      </c>
      <c r="T27" s="169">
        <f t="shared" si="3"/>
        <v>6.6</v>
      </c>
      <c r="U27" s="153">
        <f t="shared" si="4"/>
        <v>242.88</v>
      </c>
      <c r="V27" s="166">
        <f t="shared" si="5"/>
        <v>7.2600000000000007</v>
      </c>
      <c r="W27" s="167">
        <f t="shared" si="6"/>
        <v>2.2000000000000002</v>
      </c>
      <c r="X27" s="168">
        <f t="shared" si="7"/>
        <v>2.2000000000000002</v>
      </c>
      <c r="Y27" s="14"/>
    </row>
    <row r="28" spans="1:25" s="7" customFormat="1" ht="13.5" customHeight="1">
      <c r="A28" s="67"/>
      <c r="B28" s="28"/>
      <c r="C28" s="20" t="s">
        <v>1314</v>
      </c>
      <c r="D28" s="20" t="s">
        <v>486</v>
      </c>
      <c r="E28" s="26">
        <v>3</v>
      </c>
      <c r="F28" s="28" t="s">
        <v>1317</v>
      </c>
      <c r="G28" s="37">
        <v>38.5</v>
      </c>
      <c r="H28" s="150">
        <f t="shared" si="8"/>
        <v>115.5</v>
      </c>
      <c r="I28" s="306">
        <v>3.5</v>
      </c>
      <c r="J28" s="155">
        <v>9.0399999999999991</v>
      </c>
      <c r="K28" s="177">
        <v>2</v>
      </c>
      <c r="L28" s="157">
        <v>0.3</v>
      </c>
      <c r="M28" s="165">
        <f>J28+K28</f>
        <v>11.04</v>
      </c>
      <c r="N28" s="166">
        <v>0.33</v>
      </c>
      <c r="O28" s="167">
        <v>0.1</v>
      </c>
      <c r="P28" s="168">
        <v>0.1</v>
      </c>
      <c r="Q28" s="309">
        <f t="shared" si="0"/>
        <v>10.5</v>
      </c>
      <c r="R28" s="152">
        <f t="shared" si="1"/>
        <v>27.119999999999997</v>
      </c>
      <c r="S28" s="154">
        <f t="shared" si="2"/>
        <v>6</v>
      </c>
      <c r="T28" s="169">
        <f t="shared" si="3"/>
        <v>0.89999999999999991</v>
      </c>
      <c r="U28" s="153">
        <f t="shared" si="4"/>
        <v>33.119999999999997</v>
      </c>
      <c r="V28" s="166">
        <f t="shared" si="5"/>
        <v>0.99</v>
      </c>
      <c r="W28" s="167">
        <f t="shared" si="6"/>
        <v>0.30000000000000004</v>
      </c>
      <c r="X28" s="168">
        <f t="shared" si="7"/>
        <v>0.30000000000000004</v>
      </c>
      <c r="Y28" s="14"/>
    </row>
    <row r="29" spans="1:25" s="7" customFormat="1" ht="13.5" customHeight="1">
      <c r="A29" s="67"/>
      <c r="B29" s="28"/>
      <c r="C29" s="20" t="s">
        <v>1314</v>
      </c>
      <c r="D29" s="20" t="s">
        <v>486</v>
      </c>
      <c r="E29" s="26">
        <v>6</v>
      </c>
      <c r="F29" s="28" t="s">
        <v>1318</v>
      </c>
      <c r="G29" s="37">
        <v>36.5</v>
      </c>
      <c r="H29" s="150">
        <f t="shared" si="8"/>
        <v>219</v>
      </c>
      <c r="I29" s="306">
        <v>3.5</v>
      </c>
      <c r="J29" s="155">
        <v>9.0399999999999991</v>
      </c>
      <c r="K29" s="177">
        <v>2</v>
      </c>
      <c r="L29" s="157">
        <v>0.3</v>
      </c>
      <c r="M29" s="165">
        <f>J29+K29</f>
        <v>11.04</v>
      </c>
      <c r="N29" s="166">
        <v>0.33</v>
      </c>
      <c r="O29" s="167">
        <v>0.1</v>
      </c>
      <c r="P29" s="168">
        <v>0.1</v>
      </c>
      <c r="Q29" s="309">
        <f t="shared" si="0"/>
        <v>21</v>
      </c>
      <c r="R29" s="152">
        <f t="shared" si="1"/>
        <v>54.239999999999995</v>
      </c>
      <c r="S29" s="154">
        <f t="shared" si="2"/>
        <v>12</v>
      </c>
      <c r="T29" s="169">
        <f t="shared" si="3"/>
        <v>1.7999999999999998</v>
      </c>
      <c r="U29" s="153">
        <f t="shared" si="4"/>
        <v>66.239999999999995</v>
      </c>
      <c r="V29" s="166">
        <f t="shared" si="5"/>
        <v>1.98</v>
      </c>
      <c r="W29" s="167">
        <f t="shared" si="6"/>
        <v>0.60000000000000009</v>
      </c>
      <c r="X29" s="168">
        <f t="shared" si="7"/>
        <v>0.60000000000000009</v>
      </c>
      <c r="Y29" s="14"/>
    </row>
    <row r="30" spans="1:25" s="7" customFormat="1" ht="13.5" customHeight="1">
      <c r="A30" s="67">
        <v>40308</v>
      </c>
      <c r="B30" s="28">
        <v>470</v>
      </c>
      <c r="C30" s="20" t="s">
        <v>1050</v>
      </c>
      <c r="D30" s="20" t="s">
        <v>245</v>
      </c>
      <c r="E30" s="26">
        <v>29</v>
      </c>
      <c r="F30" s="28" t="s">
        <v>1319</v>
      </c>
      <c r="G30" s="37">
        <v>47.5</v>
      </c>
      <c r="H30" s="150">
        <f t="shared" si="8"/>
        <v>1377.5</v>
      </c>
      <c r="I30" s="306">
        <v>5</v>
      </c>
      <c r="J30" s="155">
        <v>7.71</v>
      </c>
      <c r="K30" s="156">
        <v>0</v>
      </c>
      <c r="L30" s="157">
        <v>0</v>
      </c>
      <c r="M30" s="165">
        <f t="shared" si="9"/>
        <v>7.71</v>
      </c>
      <c r="N30" s="166">
        <v>0.57999999999999996</v>
      </c>
      <c r="O30" s="167">
        <v>0.2</v>
      </c>
      <c r="P30" s="168">
        <v>0.2</v>
      </c>
      <c r="Q30" s="309">
        <f t="shared" si="0"/>
        <v>145</v>
      </c>
      <c r="R30" s="152">
        <f t="shared" si="1"/>
        <v>223.59</v>
      </c>
      <c r="S30" s="154">
        <f t="shared" si="2"/>
        <v>0</v>
      </c>
      <c r="T30" s="169">
        <f t="shared" si="3"/>
        <v>0</v>
      </c>
      <c r="U30" s="153">
        <f t="shared" si="4"/>
        <v>223.59</v>
      </c>
      <c r="V30" s="166">
        <f t="shared" si="5"/>
        <v>16.82</v>
      </c>
      <c r="W30" s="167">
        <f t="shared" si="6"/>
        <v>5.8000000000000007</v>
      </c>
      <c r="X30" s="168">
        <f t="shared" si="7"/>
        <v>5.8000000000000007</v>
      </c>
      <c r="Y30" s="14"/>
    </row>
    <row r="31" spans="1:25" s="7" customFormat="1" ht="13.5" customHeight="1">
      <c r="A31" s="67"/>
      <c r="B31" s="28"/>
      <c r="C31" s="20" t="s">
        <v>1050</v>
      </c>
      <c r="D31" s="20" t="s">
        <v>245</v>
      </c>
      <c r="E31" s="26">
        <v>1</v>
      </c>
      <c r="F31" s="28" t="s">
        <v>1320</v>
      </c>
      <c r="G31" s="37">
        <v>48.5</v>
      </c>
      <c r="H31" s="150">
        <f t="shared" si="8"/>
        <v>48.5</v>
      </c>
      <c r="I31" s="306">
        <v>0</v>
      </c>
      <c r="J31" s="155">
        <v>0</v>
      </c>
      <c r="K31" s="156">
        <v>0</v>
      </c>
      <c r="L31" s="157">
        <v>0</v>
      </c>
      <c r="M31" s="165">
        <f t="shared" si="9"/>
        <v>0</v>
      </c>
      <c r="N31" s="166">
        <v>0</v>
      </c>
      <c r="O31" s="167">
        <v>0</v>
      </c>
      <c r="P31" s="168">
        <v>0</v>
      </c>
      <c r="Q31" s="309">
        <f t="shared" si="0"/>
        <v>0</v>
      </c>
      <c r="R31" s="152">
        <f t="shared" si="1"/>
        <v>0</v>
      </c>
      <c r="S31" s="154">
        <f t="shared" si="2"/>
        <v>0</v>
      </c>
      <c r="T31" s="169">
        <f t="shared" si="3"/>
        <v>0</v>
      </c>
      <c r="U31" s="153">
        <f t="shared" si="4"/>
        <v>0</v>
      </c>
      <c r="V31" s="166">
        <f t="shared" si="5"/>
        <v>0</v>
      </c>
      <c r="W31" s="167">
        <f t="shared" si="6"/>
        <v>0</v>
      </c>
      <c r="X31" s="168">
        <f t="shared" si="7"/>
        <v>0</v>
      </c>
      <c r="Y31" s="14"/>
    </row>
    <row r="32" spans="1:25" s="7" customFormat="1" ht="13.5" customHeight="1">
      <c r="A32" s="67"/>
      <c r="B32" s="28"/>
      <c r="C32" s="20" t="s">
        <v>1050</v>
      </c>
      <c r="D32" s="20" t="s">
        <v>245</v>
      </c>
      <c r="E32" s="26">
        <v>2</v>
      </c>
      <c r="F32" s="28" t="s">
        <v>1321</v>
      </c>
      <c r="G32" s="37">
        <v>47.5</v>
      </c>
      <c r="H32" s="150">
        <f t="shared" si="8"/>
        <v>95</v>
      </c>
      <c r="I32" s="306">
        <v>6</v>
      </c>
      <c r="J32" s="155">
        <v>14.67</v>
      </c>
      <c r="K32" s="156">
        <v>0</v>
      </c>
      <c r="L32" s="157">
        <v>0</v>
      </c>
      <c r="M32" s="165">
        <f t="shared" si="9"/>
        <v>14.67</v>
      </c>
      <c r="N32" s="166">
        <v>0.57999999999999996</v>
      </c>
      <c r="O32" s="167">
        <v>0.2</v>
      </c>
      <c r="P32" s="168">
        <v>0.2</v>
      </c>
      <c r="Q32" s="309">
        <f t="shared" si="0"/>
        <v>12</v>
      </c>
      <c r="R32" s="152">
        <f t="shared" si="1"/>
        <v>29.34</v>
      </c>
      <c r="S32" s="154">
        <f t="shared" si="2"/>
        <v>0</v>
      </c>
      <c r="T32" s="169">
        <f t="shared" si="3"/>
        <v>0</v>
      </c>
      <c r="U32" s="153">
        <f t="shared" si="4"/>
        <v>29.34</v>
      </c>
      <c r="V32" s="166">
        <f t="shared" si="5"/>
        <v>1.1599999999999999</v>
      </c>
      <c r="W32" s="167">
        <f t="shared" si="6"/>
        <v>0.4</v>
      </c>
      <c r="X32" s="168">
        <f t="shared" si="7"/>
        <v>0.4</v>
      </c>
      <c r="Y32" s="14"/>
    </row>
    <row r="33" spans="1:25" s="7" customFormat="1" ht="13.5" customHeight="1">
      <c r="A33" s="67"/>
      <c r="B33" s="28"/>
      <c r="C33" s="20" t="s">
        <v>1050</v>
      </c>
      <c r="D33" s="20" t="s">
        <v>245</v>
      </c>
      <c r="E33" s="26">
        <v>3</v>
      </c>
      <c r="F33" s="28" t="s">
        <v>1322</v>
      </c>
      <c r="G33" s="37">
        <v>47.5</v>
      </c>
      <c r="H33" s="150">
        <f t="shared" si="8"/>
        <v>142.5</v>
      </c>
      <c r="I33" s="306">
        <v>5</v>
      </c>
      <c r="J33" s="155">
        <v>7.71</v>
      </c>
      <c r="K33" s="156">
        <v>0</v>
      </c>
      <c r="L33" s="157">
        <v>0</v>
      </c>
      <c r="M33" s="165">
        <f>J33+K33</f>
        <v>7.71</v>
      </c>
      <c r="N33" s="166">
        <v>0.57999999999999996</v>
      </c>
      <c r="O33" s="167">
        <v>0.2</v>
      </c>
      <c r="P33" s="168">
        <v>0.2</v>
      </c>
      <c r="Q33" s="309">
        <f t="shared" si="0"/>
        <v>15</v>
      </c>
      <c r="R33" s="152">
        <f t="shared" si="1"/>
        <v>23.13</v>
      </c>
      <c r="S33" s="154">
        <f t="shared" si="2"/>
        <v>0</v>
      </c>
      <c r="T33" s="169">
        <f t="shared" si="3"/>
        <v>0</v>
      </c>
      <c r="U33" s="153">
        <f t="shared" si="4"/>
        <v>23.13</v>
      </c>
      <c r="V33" s="166">
        <f t="shared" si="5"/>
        <v>1.7399999999999998</v>
      </c>
      <c r="W33" s="167">
        <f t="shared" si="6"/>
        <v>0.60000000000000009</v>
      </c>
      <c r="X33" s="168">
        <f t="shared" si="7"/>
        <v>0.60000000000000009</v>
      </c>
      <c r="Y33" s="14"/>
    </row>
    <row r="34" spans="1:25" s="7" customFormat="1" ht="13.5" customHeight="1">
      <c r="A34" s="67">
        <v>40308</v>
      </c>
      <c r="B34" s="28">
        <v>471</v>
      </c>
      <c r="C34" s="20" t="s">
        <v>1323</v>
      </c>
      <c r="D34" s="20" t="s">
        <v>42</v>
      </c>
      <c r="E34" s="26">
        <v>2</v>
      </c>
      <c r="F34" s="28" t="s">
        <v>1324</v>
      </c>
      <c r="G34" s="37">
        <v>46.5</v>
      </c>
      <c r="H34" s="150">
        <f t="shared" si="8"/>
        <v>93</v>
      </c>
      <c r="I34" s="306">
        <v>3.5</v>
      </c>
      <c r="J34" s="155">
        <v>5.03</v>
      </c>
      <c r="K34" s="156">
        <v>7</v>
      </c>
      <c r="L34" s="157">
        <v>1.05</v>
      </c>
      <c r="M34" s="165">
        <f t="shared" si="9"/>
        <v>12.030000000000001</v>
      </c>
      <c r="N34" s="166">
        <v>0.33</v>
      </c>
      <c r="O34" s="167">
        <v>0.1</v>
      </c>
      <c r="P34" s="168">
        <v>0.1</v>
      </c>
      <c r="Q34" s="309">
        <f t="shared" si="0"/>
        <v>7</v>
      </c>
      <c r="R34" s="152">
        <f t="shared" si="1"/>
        <v>10.06</v>
      </c>
      <c r="S34" s="154">
        <f t="shared" si="2"/>
        <v>14</v>
      </c>
      <c r="T34" s="169">
        <f t="shared" si="3"/>
        <v>2.1</v>
      </c>
      <c r="U34" s="153">
        <f t="shared" si="4"/>
        <v>24.060000000000002</v>
      </c>
      <c r="V34" s="166">
        <f t="shared" si="5"/>
        <v>0.66</v>
      </c>
      <c r="W34" s="167">
        <f t="shared" si="6"/>
        <v>0.2</v>
      </c>
      <c r="X34" s="168">
        <f t="shared" si="7"/>
        <v>0.2</v>
      </c>
      <c r="Y34" s="14"/>
    </row>
    <row r="35" spans="1:25" s="7" customFormat="1" ht="13.5" customHeight="1">
      <c r="A35" s="67">
        <v>40308</v>
      </c>
      <c r="B35" s="28">
        <v>472</v>
      </c>
      <c r="C35" s="20" t="s">
        <v>944</v>
      </c>
      <c r="D35" s="20" t="s">
        <v>523</v>
      </c>
      <c r="E35" s="26">
        <v>13</v>
      </c>
      <c r="F35" s="28" t="s">
        <v>1325</v>
      </c>
      <c r="G35" s="37">
        <v>39.5</v>
      </c>
      <c r="H35" s="150">
        <f t="shared" si="8"/>
        <v>513.5</v>
      </c>
      <c r="I35" s="307">
        <v>3.5</v>
      </c>
      <c r="J35" s="155">
        <v>5.93</v>
      </c>
      <c r="K35" s="156">
        <v>2.5</v>
      </c>
      <c r="L35" s="157">
        <v>0.38</v>
      </c>
      <c r="M35" s="165">
        <f t="shared" si="9"/>
        <v>8.43</v>
      </c>
      <c r="N35" s="166">
        <v>0.33</v>
      </c>
      <c r="O35" s="167">
        <v>0.25</v>
      </c>
      <c r="P35" s="168">
        <v>0.1</v>
      </c>
      <c r="Q35" s="309">
        <f t="shared" si="0"/>
        <v>45.5</v>
      </c>
      <c r="R35" s="152">
        <f t="shared" si="1"/>
        <v>77.09</v>
      </c>
      <c r="S35" s="154">
        <f t="shared" si="2"/>
        <v>32.5</v>
      </c>
      <c r="T35" s="169">
        <f t="shared" si="3"/>
        <v>4.9400000000000004</v>
      </c>
      <c r="U35" s="153">
        <f t="shared" si="4"/>
        <v>109.59</v>
      </c>
      <c r="V35" s="166">
        <f t="shared" si="5"/>
        <v>4.29</v>
      </c>
      <c r="W35" s="167">
        <f t="shared" si="6"/>
        <v>3.25</v>
      </c>
      <c r="X35" s="168">
        <f t="shared" si="7"/>
        <v>1.3</v>
      </c>
      <c r="Y35" s="14"/>
    </row>
    <row r="36" spans="1:25" s="7" customFormat="1" ht="13.5" customHeight="1">
      <c r="A36" s="67"/>
      <c r="B36" s="28"/>
      <c r="C36" s="20" t="s">
        <v>944</v>
      </c>
      <c r="D36" s="20" t="s">
        <v>523</v>
      </c>
      <c r="E36" s="26">
        <v>2</v>
      </c>
      <c r="F36" s="28" t="s">
        <v>1326</v>
      </c>
      <c r="G36" s="37">
        <v>39.5</v>
      </c>
      <c r="H36" s="150">
        <f t="shared" si="8"/>
        <v>79</v>
      </c>
      <c r="I36" s="306">
        <v>3.5</v>
      </c>
      <c r="J36" s="155">
        <v>10.67</v>
      </c>
      <c r="K36" s="156">
        <v>2.5</v>
      </c>
      <c r="L36" s="157">
        <v>0.38</v>
      </c>
      <c r="M36" s="153">
        <f t="shared" si="9"/>
        <v>13.17</v>
      </c>
      <c r="N36" s="166">
        <v>0.33</v>
      </c>
      <c r="O36" s="167">
        <v>0.25</v>
      </c>
      <c r="P36" s="168">
        <v>0.1</v>
      </c>
      <c r="Q36" s="309">
        <f t="shared" si="0"/>
        <v>7</v>
      </c>
      <c r="R36" s="152">
        <f t="shared" si="1"/>
        <v>21.34</v>
      </c>
      <c r="S36" s="154">
        <f t="shared" si="2"/>
        <v>5</v>
      </c>
      <c r="T36" s="169">
        <f t="shared" si="3"/>
        <v>0.76</v>
      </c>
      <c r="U36" s="153">
        <f t="shared" si="4"/>
        <v>26.34</v>
      </c>
      <c r="V36" s="166">
        <f t="shared" si="5"/>
        <v>0.66</v>
      </c>
      <c r="W36" s="167">
        <f t="shared" si="6"/>
        <v>0.5</v>
      </c>
      <c r="X36" s="168">
        <f t="shared" si="7"/>
        <v>0.2</v>
      </c>
      <c r="Y36" s="14"/>
    </row>
    <row r="37" spans="1:25" s="7" customFormat="1" ht="13.5" customHeight="1">
      <c r="A37" s="67">
        <v>40309</v>
      </c>
      <c r="B37" s="28">
        <v>473</v>
      </c>
      <c r="C37" s="20" t="s">
        <v>23</v>
      </c>
      <c r="D37" s="20" t="s">
        <v>24</v>
      </c>
      <c r="E37" s="26">
        <v>2</v>
      </c>
      <c r="F37" s="20" t="s">
        <v>1327</v>
      </c>
      <c r="G37" s="37">
        <v>34</v>
      </c>
      <c r="H37" s="150">
        <f t="shared" si="8"/>
        <v>68</v>
      </c>
      <c r="I37" s="306">
        <v>3.5</v>
      </c>
      <c r="J37" s="155">
        <v>5.03</v>
      </c>
      <c r="K37" s="156">
        <v>7</v>
      </c>
      <c r="L37" s="157">
        <v>1.05</v>
      </c>
      <c r="M37" s="153">
        <f t="shared" si="9"/>
        <v>12.030000000000001</v>
      </c>
      <c r="N37" s="166">
        <v>0.33</v>
      </c>
      <c r="O37" s="167">
        <v>0.1</v>
      </c>
      <c r="P37" s="168">
        <v>0.1</v>
      </c>
      <c r="Q37" s="309">
        <f t="shared" si="0"/>
        <v>7</v>
      </c>
      <c r="R37" s="152">
        <f t="shared" si="1"/>
        <v>10.06</v>
      </c>
      <c r="S37" s="154">
        <f t="shared" si="2"/>
        <v>14</v>
      </c>
      <c r="T37" s="169">
        <f t="shared" si="3"/>
        <v>2.1</v>
      </c>
      <c r="U37" s="153">
        <f t="shared" si="4"/>
        <v>24.060000000000002</v>
      </c>
      <c r="V37" s="166">
        <f t="shared" si="5"/>
        <v>0.66</v>
      </c>
      <c r="W37" s="167">
        <f t="shared" si="6"/>
        <v>0.2</v>
      </c>
      <c r="X37" s="168">
        <f t="shared" si="7"/>
        <v>0.2</v>
      </c>
      <c r="Y37" s="14"/>
    </row>
    <row r="38" spans="1:25" s="7" customFormat="1" ht="13.5" customHeight="1">
      <c r="A38" s="67">
        <v>40309</v>
      </c>
      <c r="B38" s="28">
        <v>474</v>
      </c>
      <c r="C38" s="20" t="s">
        <v>23</v>
      </c>
      <c r="D38" s="20" t="s">
        <v>24</v>
      </c>
      <c r="E38" s="26">
        <v>2</v>
      </c>
      <c r="F38" s="28" t="s">
        <v>1328</v>
      </c>
      <c r="G38" s="37"/>
      <c r="H38" s="150">
        <f t="shared" si="8"/>
        <v>0</v>
      </c>
      <c r="I38" s="306">
        <v>0</v>
      </c>
      <c r="J38" s="155">
        <v>0</v>
      </c>
      <c r="K38" s="156">
        <v>0</v>
      </c>
      <c r="L38" s="157">
        <v>0</v>
      </c>
      <c r="M38" s="153">
        <f t="shared" si="9"/>
        <v>0</v>
      </c>
      <c r="N38" s="166">
        <v>0</v>
      </c>
      <c r="O38" s="167">
        <v>0</v>
      </c>
      <c r="P38" s="168">
        <v>0</v>
      </c>
      <c r="Q38" s="309">
        <f t="shared" si="0"/>
        <v>0</v>
      </c>
      <c r="R38" s="152">
        <f t="shared" si="1"/>
        <v>0</v>
      </c>
      <c r="S38" s="154">
        <f t="shared" si="2"/>
        <v>0</v>
      </c>
      <c r="T38" s="169">
        <f t="shared" si="3"/>
        <v>0</v>
      </c>
      <c r="U38" s="153">
        <f t="shared" si="4"/>
        <v>0</v>
      </c>
      <c r="V38" s="166">
        <f t="shared" si="5"/>
        <v>0</v>
      </c>
      <c r="W38" s="167">
        <f t="shared" si="6"/>
        <v>0</v>
      </c>
      <c r="X38" s="168">
        <f t="shared" si="7"/>
        <v>0</v>
      </c>
      <c r="Y38" s="14"/>
    </row>
    <row r="39" spans="1:25" s="7" customFormat="1" ht="13.5" customHeight="1">
      <c r="A39" s="67"/>
      <c r="B39" s="28"/>
      <c r="C39" s="20" t="s">
        <v>23</v>
      </c>
      <c r="D39" s="20" t="s">
        <v>24</v>
      </c>
      <c r="E39" s="26">
        <v>1</v>
      </c>
      <c r="F39" s="28" t="s">
        <v>1329</v>
      </c>
      <c r="G39" s="37"/>
      <c r="H39" s="150">
        <f t="shared" si="8"/>
        <v>0</v>
      </c>
      <c r="I39" s="306">
        <v>0</v>
      </c>
      <c r="J39" s="155">
        <v>0</v>
      </c>
      <c r="K39" s="156">
        <v>0</v>
      </c>
      <c r="L39" s="157">
        <v>0</v>
      </c>
      <c r="M39" s="153">
        <f t="shared" si="9"/>
        <v>0</v>
      </c>
      <c r="N39" s="166">
        <v>0</v>
      </c>
      <c r="O39" s="167">
        <v>0</v>
      </c>
      <c r="P39" s="168">
        <v>0</v>
      </c>
      <c r="Q39" s="309">
        <f t="shared" si="0"/>
        <v>0</v>
      </c>
      <c r="R39" s="152">
        <f t="shared" si="1"/>
        <v>0</v>
      </c>
      <c r="S39" s="154">
        <f t="shared" si="2"/>
        <v>0</v>
      </c>
      <c r="T39" s="169">
        <f t="shared" si="3"/>
        <v>0</v>
      </c>
      <c r="U39" s="153">
        <f t="shared" si="4"/>
        <v>0</v>
      </c>
      <c r="V39" s="166">
        <f t="shared" si="5"/>
        <v>0</v>
      </c>
      <c r="W39" s="167">
        <f t="shared" si="6"/>
        <v>0</v>
      </c>
      <c r="X39" s="168">
        <f t="shared" si="7"/>
        <v>0</v>
      </c>
      <c r="Y39" s="14"/>
    </row>
    <row r="40" spans="1:25" s="7" customFormat="1" ht="13.5" customHeight="1">
      <c r="A40" s="67"/>
      <c r="B40" s="28"/>
      <c r="C40" s="20" t="s">
        <v>23</v>
      </c>
      <c r="D40" s="20" t="s">
        <v>24</v>
      </c>
      <c r="E40" s="26">
        <v>3</v>
      </c>
      <c r="F40" s="28" t="s">
        <v>1330</v>
      </c>
      <c r="G40" s="37">
        <v>35</v>
      </c>
      <c r="H40" s="150">
        <f t="shared" si="8"/>
        <v>105</v>
      </c>
      <c r="I40" s="306">
        <v>4</v>
      </c>
      <c r="J40" s="155">
        <v>10.84</v>
      </c>
      <c r="K40" s="156">
        <v>3</v>
      </c>
      <c r="L40" s="157">
        <v>0.45</v>
      </c>
      <c r="M40" s="153">
        <f t="shared" si="9"/>
        <v>13.84</v>
      </c>
      <c r="N40" s="166">
        <v>0.28999999999999998</v>
      </c>
      <c r="O40" s="167">
        <v>0.1</v>
      </c>
      <c r="P40" s="168">
        <v>0.2</v>
      </c>
      <c r="Q40" s="309">
        <f t="shared" si="0"/>
        <v>12</v>
      </c>
      <c r="R40" s="152">
        <f t="shared" si="1"/>
        <v>32.519999999999996</v>
      </c>
      <c r="S40" s="154">
        <f t="shared" si="2"/>
        <v>9</v>
      </c>
      <c r="T40" s="169">
        <f t="shared" si="3"/>
        <v>1.35</v>
      </c>
      <c r="U40" s="153">
        <f t="shared" si="4"/>
        <v>41.519999999999996</v>
      </c>
      <c r="V40" s="166">
        <f t="shared" si="5"/>
        <v>0.86999999999999988</v>
      </c>
      <c r="W40" s="167">
        <f t="shared" si="6"/>
        <v>0.30000000000000004</v>
      </c>
      <c r="X40" s="168">
        <f t="shared" si="7"/>
        <v>0.60000000000000009</v>
      </c>
      <c r="Y40" s="14"/>
    </row>
    <row r="41" spans="1:25" s="7" customFormat="1" ht="13.5" customHeight="1">
      <c r="A41" s="67"/>
      <c r="B41" s="28"/>
      <c r="C41" s="20" t="s">
        <v>23</v>
      </c>
      <c r="D41" s="20" t="s">
        <v>24</v>
      </c>
      <c r="E41" s="26">
        <v>3</v>
      </c>
      <c r="F41" s="28" t="s">
        <v>1331</v>
      </c>
      <c r="G41" s="37">
        <v>25</v>
      </c>
      <c r="H41" s="150">
        <f t="shared" si="8"/>
        <v>75</v>
      </c>
      <c r="I41" s="306">
        <v>3.5</v>
      </c>
      <c r="J41" s="155">
        <v>10.88</v>
      </c>
      <c r="K41" s="156">
        <v>1.5</v>
      </c>
      <c r="L41" s="157">
        <v>0.23</v>
      </c>
      <c r="M41" s="153">
        <f t="shared" si="9"/>
        <v>12.38</v>
      </c>
      <c r="N41" s="166">
        <v>0.28999999999999998</v>
      </c>
      <c r="O41" s="167">
        <v>0.1</v>
      </c>
      <c r="P41" s="168">
        <v>0.1</v>
      </c>
      <c r="Q41" s="309">
        <f t="shared" si="0"/>
        <v>10.5</v>
      </c>
      <c r="R41" s="152">
        <f t="shared" si="1"/>
        <v>32.64</v>
      </c>
      <c r="S41" s="154">
        <f t="shared" si="2"/>
        <v>4.5</v>
      </c>
      <c r="T41" s="169">
        <f t="shared" si="3"/>
        <v>0.69000000000000006</v>
      </c>
      <c r="U41" s="153">
        <f t="shared" si="4"/>
        <v>37.14</v>
      </c>
      <c r="V41" s="166">
        <f t="shared" si="5"/>
        <v>0.86999999999999988</v>
      </c>
      <c r="W41" s="167">
        <f t="shared" si="6"/>
        <v>0.30000000000000004</v>
      </c>
      <c r="X41" s="168">
        <f t="shared" si="7"/>
        <v>0.30000000000000004</v>
      </c>
      <c r="Y41" s="14"/>
    </row>
    <row r="42" spans="1:25" s="7" customFormat="1" ht="13.5" customHeight="1">
      <c r="A42" s="67">
        <v>40309</v>
      </c>
      <c r="B42" s="28">
        <v>475</v>
      </c>
      <c r="C42" s="20" t="s">
        <v>1332</v>
      </c>
      <c r="D42" s="20" t="s">
        <v>210</v>
      </c>
      <c r="E42" s="26">
        <v>66</v>
      </c>
      <c r="F42" s="28" t="s">
        <v>1333</v>
      </c>
      <c r="G42" s="37">
        <v>45</v>
      </c>
      <c r="H42" s="150">
        <f t="shared" si="8"/>
        <v>2970</v>
      </c>
      <c r="I42" s="306">
        <v>3.5</v>
      </c>
      <c r="J42" s="155">
        <v>4.62</v>
      </c>
      <c r="K42" s="156">
        <v>6</v>
      </c>
      <c r="L42" s="157">
        <v>0.9</v>
      </c>
      <c r="M42" s="153">
        <f t="shared" si="9"/>
        <v>10.620000000000001</v>
      </c>
      <c r="N42" s="166">
        <v>0.33</v>
      </c>
      <c r="O42" s="167">
        <v>0.25</v>
      </c>
      <c r="P42" s="168">
        <v>0.1</v>
      </c>
      <c r="Q42" s="309">
        <f t="shared" si="0"/>
        <v>231</v>
      </c>
      <c r="R42" s="152">
        <f t="shared" si="1"/>
        <v>304.92</v>
      </c>
      <c r="S42" s="154">
        <f t="shared" si="2"/>
        <v>396</v>
      </c>
      <c r="T42" s="169">
        <f t="shared" si="3"/>
        <v>59.4</v>
      </c>
      <c r="U42" s="153">
        <f t="shared" si="4"/>
        <v>700.92000000000007</v>
      </c>
      <c r="V42" s="166">
        <f t="shared" si="5"/>
        <v>21.78</v>
      </c>
      <c r="W42" s="167">
        <f t="shared" si="6"/>
        <v>16.5</v>
      </c>
      <c r="X42" s="168">
        <f t="shared" si="7"/>
        <v>6.6000000000000005</v>
      </c>
      <c r="Y42" s="14"/>
    </row>
    <row r="43" spans="1:25" s="7" customFormat="1" ht="13.5" customHeight="1">
      <c r="A43" s="67">
        <v>40311</v>
      </c>
      <c r="B43" s="28">
        <v>476</v>
      </c>
      <c r="C43" s="20" t="s">
        <v>1334</v>
      </c>
      <c r="D43" s="20" t="s">
        <v>1334</v>
      </c>
      <c r="E43" s="26">
        <v>13</v>
      </c>
      <c r="F43" s="28" t="s">
        <v>1335</v>
      </c>
      <c r="G43" s="37">
        <v>38.5</v>
      </c>
      <c r="H43" s="150">
        <f t="shared" si="8"/>
        <v>500.5</v>
      </c>
      <c r="I43" s="306">
        <v>3.5</v>
      </c>
      <c r="J43" s="155">
        <v>10.16</v>
      </c>
      <c r="K43" s="156">
        <v>0.7</v>
      </c>
      <c r="L43" s="157">
        <v>0.11</v>
      </c>
      <c r="M43" s="153">
        <f t="shared" si="9"/>
        <v>10.86</v>
      </c>
      <c r="N43" s="166">
        <v>0.33</v>
      </c>
      <c r="O43" s="167">
        <v>0.1</v>
      </c>
      <c r="P43" s="168">
        <v>0.1</v>
      </c>
      <c r="Q43" s="309">
        <f t="shared" si="0"/>
        <v>45.5</v>
      </c>
      <c r="R43" s="152">
        <f t="shared" si="1"/>
        <v>132.08000000000001</v>
      </c>
      <c r="S43" s="154">
        <f t="shared" si="2"/>
        <v>9.1</v>
      </c>
      <c r="T43" s="169">
        <f t="shared" si="3"/>
        <v>1.43</v>
      </c>
      <c r="U43" s="153">
        <f t="shared" si="4"/>
        <v>141.18</v>
      </c>
      <c r="V43" s="166">
        <f t="shared" si="5"/>
        <v>4.29</v>
      </c>
      <c r="W43" s="167">
        <f t="shared" si="6"/>
        <v>1.3</v>
      </c>
      <c r="X43" s="168">
        <f t="shared" si="7"/>
        <v>1.3</v>
      </c>
      <c r="Y43" s="14"/>
    </row>
    <row r="44" spans="1:25" s="7" customFormat="1" ht="13.5" customHeight="1">
      <c r="A44" s="67"/>
      <c r="B44" s="28"/>
      <c r="C44" s="20" t="s">
        <v>1334</v>
      </c>
      <c r="D44" s="20" t="s">
        <v>1334</v>
      </c>
      <c r="E44" s="26">
        <v>12</v>
      </c>
      <c r="F44" s="28" t="s">
        <v>1336</v>
      </c>
      <c r="G44" s="37">
        <v>38.5</v>
      </c>
      <c r="H44" s="150">
        <f t="shared" si="8"/>
        <v>462</v>
      </c>
      <c r="I44" s="306">
        <v>3.5</v>
      </c>
      <c r="J44" s="155">
        <v>10.16</v>
      </c>
      <c r="K44" s="156">
        <v>0.4</v>
      </c>
      <c r="L44" s="157">
        <v>0.11</v>
      </c>
      <c r="M44" s="153">
        <f t="shared" si="9"/>
        <v>10.56</v>
      </c>
      <c r="N44" s="166">
        <v>0.33</v>
      </c>
      <c r="O44" s="167">
        <v>0.1</v>
      </c>
      <c r="P44" s="168">
        <v>0.1</v>
      </c>
      <c r="Q44" s="309">
        <f t="shared" si="0"/>
        <v>42</v>
      </c>
      <c r="R44" s="152">
        <f t="shared" si="1"/>
        <v>121.92</v>
      </c>
      <c r="S44" s="154">
        <f t="shared" si="2"/>
        <v>4.8000000000000007</v>
      </c>
      <c r="T44" s="169">
        <f t="shared" si="3"/>
        <v>1.32</v>
      </c>
      <c r="U44" s="153">
        <f t="shared" si="4"/>
        <v>126.72</v>
      </c>
      <c r="V44" s="166">
        <f t="shared" si="5"/>
        <v>3.96</v>
      </c>
      <c r="W44" s="167">
        <f t="shared" si="6"/>
        <v>1.2000000000000002</v>
      </c>
      <c r="X44" s="168">
        <f t="shared" si="7"/>
        <v>1.2000000000000002</v>
      </c>
      <c r="Y44" s="14"/>
    </row>
    <row r="45" spans="1:25" s="7" customFormat="1" ht="13.5" customHeight="1">
      <c r="A45" s="67">
        <v>40315</v>
      </c>
      <c r="B45" s="28">
        <v>477</v>
      </c>
      <c r="C45" s="20" t="s">
        <v>845</v>
      </c>
      <c r="D45" s="20" t="s">
        <v>42</v>
      </c>
      <c r="E45" s="26">
        <v>8</v>
      </c>
      <c r="F45" s="28" t="s">
        <v>1337</v>
      </c>
      <c r="G45" s="37">
        <v>34</v>
      </c>
      <c r="H45" s="150">
        <f t="shared" si="8"/>
        <v>272</v>
      </c>
      <c r="I45" s="306">
        <v>3.5</v>
      </c>
      <c r="J45" s="155">
        <v>0.9</v>
      </c>
      <c r="K45" s="156">
        <v>1.3</v>
      </c>
      <c r="L45" s="157">
        <v>0.2</v>
      </c>
      <c r="M45" s="153">
        <f t="shared" si="9"/>
        <v>2.2000000000000002</v>
      </c>
      <c r="N45" s="166">
        <v>0.33</v>
      </c>
      <c r="O45" s="167">
        <v>0.1</v>
      </c>
      <c r="P45" s="168">
        <v>0.1</v>
      </c>
      <c r="Q45" s="309">
        <f t="shared" si="0"/>
        <v>28</v>
      </c>
      <c r="R45" s="152">
        <f t="shared" si="1"/>
        <v>7.2</v>
      </c>
      <c r="S45" s="154">
        <f t="shared" si="2"/>
        <v>10.4</v>
      </c>
      <c r="T45" s="169">
        <f t="shared" si="3"/>
        <v>1.6</v>
      </c>
      <c r="U45" s="153">
        <f t="shared" si="4"/>
        <v>17.600000000000001</v>
      </c>
      <c r="V45" s="166">
        <f t="shared" si="5"/>
        <v>2.64</v>
      </c>
      <c r="W45" s="167">
        <f t="shared" si="6"/>
        <v>0.8</v>
      </c>
      <c r="X45" s="168">
        <f t="shared" si="7"/>
        <v>0.8</v>
      </c>
      <c r="Y45" s="14"/>
    </row>
    <row r="46" spans="1:25" s="7" customFormat="1" ht="13.5" customHeight="1">
      <c r="A46" s="67"/>
      <c r="B46" s="28"/>
      <c r="C46" s="20" t="s">
        <v>845</v>
      </c>
      <c r="D46" s="20" t="s">
        <v>42</v>
      </c>
      <c r="E46" s="26">
        <v>34</v>
      </c>
      <c r="F46" s="28" t="s">
        <v>1338</v>
      </c>
      <c r="G46" s="37">
        <v>60</v>
      </c>
      <c r="H46" s="150">
        <f t="shared" si="8"/>
        <v>2040</v>
      </c>
      <c r="I46" s="306">
        <v>4.5</v>
      </c>
      <c r="J46" s="155">
        <v>3.97</v>
      </c>
      <c r="K46" s="156">
        <v>2.5</v>
      </c>
      <c r="L46" s="157">
        <v>0.38</v>
      </c>
      <c r="M46" s="153">
        <f>J46+K46</f>
        <v>6.4700000000000006</v>
      </c>
      <c r="N46" s="166">
        <v>0.57999999999999996</v>
      </c>
      <c r="O46" s="167">
        <v>0.2</v>
      </c>
      <c r="P46" s="168">
        <v>0.4</v>
      </c>
      <c r="Q46" s="309">
        <f t="shared" si="0"/>
        <v>153</v>
      </c>
      <c r="R46" s="152">
        <f t="shared" si="1"/>
        <v>134.98000000000002</v>
      </c>
      <c r="S46" s="154">
        <f t="shared" si="2"/>
        <v>85</v>
      </c>
      <c r="T46" s="169">
        <f t="shared" si="3"/>
        <v>12.92</v>
      </c>
      <c r="U46" s="153">
        <f t="shared" si="4"/>
        <v>219.98000000000002</v>
      </c>
      <c r="V46" s="166">
        <f>N46*E46</f>
        <v>19.72</v>
      </c>
      <c r="W46" s="167">
        <f>O46*E46</f>
        <v>6.8000000000000007</v>
      </c>
      <c r="X46" s="168">
        <f>P46*E46</f>
        <v>13.600000000000001</v>
      </c>
      <c r="Y46" s="14"/>
    </row>
    <row r="47" spans="1:25" s="7" customFormat="1" ht="13.5" customHeight="1">
      <c r="A47" s="67"/>
      <c r="B47" s="28"/>
      <c r="C47" s="20" t="s">
        <v>845</v>
      </c>
      <c r="D47" s="20" t="s">
        <v>42</v>
      </c>
      <c r="E47" s="26">
        <v>2</v>
      </c>
      <c r="F47" s="28" t="s">
        <v>1339</v>
      </c>
      <c r="G47" s="37">
        <v>60</v>
      </c>
      <c r="H47" s="150">
        <f t="shared" si="8"/>
        <v>120</v>
      </c>
      <c r="I47" s="306">
        <v>4.5</v>
      </c>
      <c r="J47" s="155">
        <v>3.97</v>
      </c>
      <c r="K47" s="156">
        <v>2.5</v>
      </c>
      <c r="L47" s="157">
        <v>0.38</v>
      </c>
      <c r="M47" s="153">
        <f t="shared" si="9"/>
        <v>6.4700000000000006</v>
      </c>
      <c r="N47" s="166">
        <v>0.57999999999999996</v>
      </c>
      <c r="O47" s="167">
        <v>0.2</v>
      </c>
      <c r="P47" s="168">
        <v>0.4</v>
      </c>
      <c r="Q47" s="309">
        <f t="shared" si="0"/>
        <v>9</v>
      </c>
      <c r="R47" s="152">
        <f t="shared" si="1"/>
        <v>7.94</v>
      </c>
      <c r="S47" s="154">
        <f t="shared" si="2"/>
        <v>5</v>
      </c>
      <c r="T47" s="169">
        <f t="shared" si="3"/>
        <v>0.76</v>
      </c>
      <c r="U47" s="153">
        <f t="shared" si="4"/>
        <v>12.940000000000001</v>
      </c>
      <c r="V47" s="166">
        <f t="shared" si="5"/>
        <v>1.1599999999999999</v>
      </c>
      <c r="W47" s="167">
        <f t="shared" si="6"/>
        <v>0.4</v>
      </c>
      <c r="X47" s="168">
        <f t="shared" si="7"/>
        <v>0.8</v>
      </c>
      <c r="Y47" s="14"/>
    </row>
    <row r="48" spans="1:25" s="7" customFormat="1" ht="13.5" customHeight="1">
      <c r="A48" s="67"/>
      <c r="B48" s="28"/>
      <c r="C48" s="20" t="s">
        <v>845</v>
      </c>
      <c r="D48" s="20" t="s">
        <v>42</v>
      </c>
      <c r="E48" s="26">
        <v>4</v>
      </c>
      <c r="F48" s="28" t="s">
        <v>1340</v>
      </c>
      <c r="G48" s="37">
        <v>40</v>
      </c>
      <c r="H48" s="150">
        <f t="shared" si="8"/>
        <v>160</v>
      </c>
      <c r="I48" s="306">
        <v>6</v>
      </c>
      <c r="J48" s="155">
        <v>15.2</v>
      </c>
      <c r="K48" s="156">
        <v>1.3</v>
      </c>
      <c r="L48" s="157">
        <v>0.2</v>
      </c>
      <c r="M48" s="153">
        <f>J48+K48</f>
        <v>16.5</v>
      </c>
      <c r="N48" s="166">
        <v>0.57999999999999996</v>
      </c>
      <c r="O48" s="167">
        <v>0.2</v>
      </c>
      <c r="P48" s="168">
        <v>0.1</v>
      </c>
      <c r="Q48" s="309">
        <f t="shared" si="0"/>
        <v>24</v>
      </c>
      <c r="R48" s="152">
        <f t="shared" si="1"/>
        <v>60.8</v>
      </c>
      <c r="S48" s="154">
        <f t="shared" si="2"/>
        <v>5.2</v>
      </c>
      <c r="T48" s="169">
        <f t="shared" si="3"/>
        <v>0.8</v>
      </c>
      <c r="U48" s="153">
        <f t="shared" si="4"/>
        <v>66</v>
      </c>
      <c r="V48" s="166">
        <f>N48*E48</f>
        <v>2.3199999999999998</v>
      </c>
      <c r="W48" s="167">
        <f>O48*E48</f>
        <v>0.8</v>
      </c>
      <c r="X48" s="168">
        <f>P48*E48</f>
        <v>0.4</v>
      </c>
      <c r="Y48" s="14"/>
    </row>
    <row r="49" spans="1:25" s="7" customFormat="1" ht="13.5" customHeight="1">
      <c r="A49" s="67"/>
      <c r="B49" s="28"/>
      <c r="C49" s="20" t="s">
        <v>845</v>
      </c>
      <c r="D49" s="20" t="s">
        <v>42</v>
      </c>
      <c r="E49" s="26">
        <v>3</v>
      </c>
      <c r="F49" s="28" t="s">
        <v>1341</v>
      </c>
      <c r="G49" s="37">
        <v>45</v>
      </c>
      <c r="H49" s="150">
        <f t="shared" si="8"/>
        <v>135</v>
      </c>
      <c r="I49" s="306">
        <v>6</v>
      </c>
      <c r="J49" s="155">
        <v>15.2</v>
      </c>
      <c r="K49" s="156">
        <v>1.3</v>
      </c>
      <c r="L49" s="157">
        <v>0.2</v>
      </c>
      <c r="M49" s="153">
        <f t="shared" si="9"/>
        <v>16.5</v>
      </c>
      <c r="N49" s="166">
        <v>0.57999999999999996</v>
      </c>
      <c r="O49" s="167">
        <v>0.2</v>
      </c>
      <c r="P49" s="168">
        <v>0.1</v>
      </c>
      <c r="Q49" s="309">
        <f t="shared" si="0"/>
        <v>18</v>
      </c>
      <c r="R49" s="152">
        <f t="shared" si="1"/>
        <v>45.599999999999994</v>
      </c>
      <c r="S49" s="154">
        <f t="shared" si="2"/>
        <v>3.9000000000000004</v>
      </c>
      <c r="T49" s="169">
        <f t="shared" si="3"/>
        <v>0.60000000000000009</v>
      </c>
      <c r="U49" s="153">
        <f t="shared" si="4"/>
        <v>49.5</v>
      </c>
      <c r="V49" s="166">
        <f t="shared" si="5"/>
        <v>1.7399999999999998</v>
      </c>
      <c r="W49" s="167">
        <f t="shared" si="6"/>
        <v>0.60000000000000009</v>
      </c>
      <c r="X49" s="168">
        <f t="shared" si="7"/>
        <v>0.30000000000000004</v>
      </c>
      <c r="Y49" s="14"/>
    </row>
    <row r="50" spans="1:25" s="7" customFormat="1" ht="13.5" customHeight="1">
      <c r="A50" s="67">
        <v>40315</v>
      </c>
      <c r="B50" s="28">
        <v>478</v>
      </c>
      <c r="C50" s="20" t="s">
        <v>1342</v>
      </c>
      <c r="D50" s="20" t="s">
        <v>135</v>
      </c>
      <c r="E50" s="26">
        <v>122</v>
      </c>
      <c r="F50" s="28" t="s">
        <v>1343</v>
      </c>
      <c r="G50" s="37">
        <v>150</v>
      </c>
      <c r="H50" s="150">
        <f t="shared" si="8"/>
        <v>18300</v>
      </c>
      <c r="I50" s="307">
        <v>15</v>
      </c>
      <c r="J50" s="155">
        <v>43.04</v>
      </c>
      <c r="K50" s="156">
        <v>2</v>
      </c>
      <c r="L50" s="157">
        <v>0.3</v>
      </c>
      <c r="M50" s="153">
        <f t="shared" si="9"/>
        <v>45.04</v>
      </c>
      <c r="N50" s="166">
        <v>1.67</v>
      </c>
      <c r="O50" s="167">
        <v>0.1</v>
      </c>
      <c r="P50" s="168">
        <v>0.1</v>
      </c>
      <c r="Q50" s="309">
        <f t="shared" si="0"/>
        <v>1830</v>
      </c>
      <c r="R50" s="152">
        <f t="shared" si="1"/>
        <v>5250.88</v>
      </c>
      <c r="S50" s="154">
        <f t="shared" si="2"/>
        <v>244</v>
      </c>
      <c r="T50" s="169">
        <f t="shared" si="3"/>
        <v>36.6</v>
      </c>
      <c r="U50" s="153">
        <f t="shared" si="4"/>
        <v>5494.88</v>
      </c>
      <c r="V50" s="166">
        <f t="shared" si="5"/>
        <v>203.73999999999998</v>
      </c>
      <c r="W50" s="167">
        <f t="shared" si="6"/>
        <v>12.200000000000001</v>
      </c>
      <c r="X50" s="168">
        <f t="shared" si="7"/>
        <v>12.200000000000001</v>
      </c>
      <c r="Y50" s="14"/>
    </row>
    <row r="51" spans="1:25" s="7" customFormat="1" ht="13.5" customHeight="1">
      <c r="A51" s="67">
        <v>40315</v>
      </c>
      <c r="B51" s="28">
        <v>479</v>
      </c>
      <c r="C51" s="20" t="s">
        <v>1344</v>
      </c>
      <c r="D51" s="20" t="s">
        <v>1345</v>
      </c>
      <c r="E51" s="26">
        <v>48</v>
      </c>
      <c r="F51" s="28" t="s">
        <v>1346</v>
      </c>
      <c r="G51" s="37">
        <v>38.5</v>
      </c>
      <c r="H51" s="150">
        <f t="shared" si="8"/>
        <v>1848</v>
      </c>
      <c r="I51" s="306">
        <v>3.5</v>
      </c>
      <c r="J51" s="155">
        <v>11.42</v>
      </c>
      <c r="K51" s="156">
        <v>1.4</v>
      </c>
      <c r="L51" s="157">
        <v>0.21</v>
      </c>
      <c r="M51" s="153">
        <f t="shared" si="9"/>
        <v>12.82</v>
      </c>
      <c r="N51" s="166">
        <v>0.33</v>
      </c>
      <c r="O51" s="167">
        <v>0.1</v>
      </c>
      <c r="P51" s="168">
        <v>0.1</v>
      </c>
      <c r="Q51" s="309">
        <f t="shared" si="0"/>
        <v>168</v>
      </c>
      <c r="R51" s="152">
        <f t="shared" si="1"/>
        <v>548.16</v>
      </c>
      <c r="S51" s="154">
        <f t="shared" si="2"/>
        <v>67.199999999999989</v>
      </c>
      <c r="T51" s="169">
        <f t="shared" si="3"/>
        <v>10.08</v>
      </c>
      <c r="U51" s="153">
        <f t="shared" si="4"/>
        <v>615.36</v>
      </c>
      <c r="V51" s="166">
        <f t="shared" si="5"/>
        <v>15.84</v>
      </c>
      <c r="W51" s="167">
        <f t="shared" si="6"/>
        <v>4.8000000000000007</v>
      </c>
      <c r="X51" s="168">
        <f t="shared" si="7"/>
        <v>4.8000000000000007</v>
      </c>
      <c r="Y51" s="14"/>
    </row>
    <row r="52" spans="1:25" s="7" customFormat="1" ht="13.5" customHeight="1">
      <c r="A52" s="67"/>
      <c r="B52" s="28"/>
      <c r="C52" s="20" t="s">
        <v>1344</v>
      </c>
      <c r="D52" s="20" t="s">
        <v>1345</v>
      </c>
      <c r="E52" s="26">
        <v>24</v>
      </c>
      <c r="F52" s="28" t="s">
        <v>1347</v>
      </c>
      <c r="G52" s="37">
        <v>36.5</v>
      </c>
      <c r="H52" s="150">
        <f t="shared" si="8"/>
        <v>876</v>
      </c>
      <c r="I52" s="306">
        <v>3.5</v>
      </c>
      <c r="J52" s="155">
        <v>11.42</v>
      </c>
      <c r="K52" s="156">
        <v>1.4</v>
      </c>
      <c r="L52" s="157">
        <v>0.21</v>
      </c>
      <c r="M52" s="153">
        <f t="shared" si="9"/>
        <v>12.82</v>
      </c>
      <c r="N52" s="166">
        <v>0.33</v>
      </c>
      <c r="O52" s="167">
        <v>0.1</v>
      </c>
      <c r="P52" s="168">
        <v>0.1</v>
      </c>
      <c r="Q52" s="309">
        <f t="shared" si="0"/>
        <v>84</v>
      </c>
      <c r="R52" s="152">
        <f t="shared" si="1"/>
        <v>274.08</v>
      </c>
      <c r="S52" s="154">
        <f t="shared" si="2"/>
        <v>33.599999999999994</v>
      </c>
      <c r="T52" s="169">
        <f t="shared" si="3"/>
        <v>5.04</v>
      </c>
      <c r="U52" s="153">
        <f t="shared" si="4"/>
        <v>307.68</v>
      </c>
      <c r="V52" s="166">
        <f t="shared" si="5"/>
        <v>7.92</v>
      </c>
      <c r="W52" s="167">
        <f t="shared" si="6"/>
        <v>2.4000000000000004</v>
      </c>
      <c r="X52" s="168">
        <f t="shared" si="7"/>
        <v>2.4000000000000004</v>
      </c>
      <c r="Y52" s="14"/>
    </row>
    <row r="53" spans="1:25" s="7" customFormat="1" ht="13.5" customHeight="1">
      <c r="A53" s="67"/>
      <c r="B53" s="28"/>
      <c r="C53" s="20" t="s">
        <v>1344</v>
      </c>
      <c r="D53" s="20" t="s">
        <v>1345</v>
      </c>
      <c r="E53" s="26">
        <v>36</v>
      </c>
      <c r="F53" s="28" t="s">
        <v>1348</v>
      </c>
      <c r="G53" s="37">
        <v>12.5</v>
      </c>
      <c r="H53" s="150">
        <f t="shared" si="8"/>
        <v>450</v>
      </c>
      <c r="I53" s="306">
        <v>1</v>
      </c>
      <c r="J53" s="155">
        <v>1.7</v>
      </c>
      <c r="K53" s="156">
        <v>1.5</v>
      </c>
      <c r="L53" s="157">
        <v>0.23</v>
      </c>
      <c r="M53" s="153">
        <f t="shared" si="9"/>
        <v>3.2</v>
      </c>
      <c r="N53" s="166">
        <v>0.28999999999999998</v>
      </c>
      <c r="O53" s="167">
        <v>0.1</v>
      </c>
      <c r="P53" s="168">
        <v>0.1</v>
      </c>
      <c r="Q53" s="309">
        <f t="shared" si="0"/>
        <v>36</v>
      </c>
      <c r="R53" s="152">
        <f t="shared" si="1"/>
        <v>61.199999999999996</v>
      </c>
      <c r="S53" s="154">
        <f t="shared" si="2"/>
        <v>54</v>
      </c>
      <c r="T53" s="169">
        <f t="shared" si="3"/>
        <v>8.2800000000000011</v>
      </c>
      <c r="U53" s="153">
        <f t="shared" si="4"/>
        <v>115.2</v>
      </c>
      <c r="V53" s="166">
        <f t="shared" si="5"/>
        <v>10.44</v>
      </c>
      <c r="W53" s="167">
        <f t="shared" si="6"/>
        <v>3.6</v>
      </c>
      <c r="X53" s="168">
        <f t="shared" si="7"/>
        <v>3.6</v>
      </c>
      <c r="Y53" s="14"/>
    </row>
    <row r="54" spans="1:25" s="7" customFormat="1" ht="13.5" customHeight="1">
      <c r="A54" s="67"/>
      <c r="B54" s="28"/>
      <c r="C54" s="20" t="s">
        <v>1344</v>
      </c>
      <c r="D54" s="20" t="s">
        <v>1345</v>
      </c>
      <c r="E54" s="26">
        <v>36</v>
      </c>
      <c r="F54" s="28" t="s">
        <v>1349</v>
      </c>
      <c r="G54" s="37">
        <v>12.5</v>
      </c>
      <c r="H54" s="150">
        <f t="shared" si="8"/>
        <v>450</v>
      </c>
      <c r="I54" s="306">
        <v>1</v>
      </c>
      <c r="J54" s="155">
        <v>1.7</v>
      </c>
      <c r="K54" s="156">
        <v>1.5</v>
      </c>
      <c r="L54" s="157">
        <v>0.23</v>
      </c>
      <c r="M54" s="153">
        <f t="shared" si="9"/>
        <v>3.2</v>
      </c>
      <c r="N54" s="166">
        <v>0.28999999999999998</v>
      </c>
      <c r="O54" s="167">
        <v>0.1</v>
      </c>
      <c r="P54" s="168">
        <v>0.1</v>
      </c>
      <c r="Q54" s="309">
        <f t="shared" si="0"/>
        <v>36</v>
      </c>
      <c r="R54" s="178">
        <f t="shared" si="1"/>
        <v>61.199999999999996</v>
      </c>
      <c r="S54" s="154">
        <f t="shared" si="2"/>
        <v>54</v>
      </c>
      <c r="T54" s="169">
        <f t="shared" si="3"/>
        <v>8.2800000000000011</v>
      </c>
      <c r="U54" s="179">
        <f t="shared" si="4"/>
        <v>115.2</v>
      </c>
      <c r="V54" s="166">
        <f t="shared" si="5"/>
        <v>10.44</v>
      </c>
      <c r="W54" s="167">
        <f t="shared" si="6"/>
        <v>3.6</v>
      </c>
      <c r="X54" s="168">
        <f t="shared" si="7"/>
        <v>3.6</v>
      </c>
      <c r="Y54" s="14"/>
    </row>
    <row r="55" spans="1:25" s="7" customFormat="1" ht="13.5" customHeight="1">
      <c r="A55" s="67"/>
      <c r="B55" s="28"/>
      <c r="C55" s="20" t="s">
        <v>1344</v>
      </c>
      <c r="D55" s="20" t="s">
        <v>1345</v>
      </c>
      <c r="E55" s="26">
        <v>36</v>
      </c>
      <c r="F55" s="28" t="s">
        <v>1350</v>
      </c>
      <c r="G55" s="37">
        <v>23.5</v>
      </c>
      <c r="H55" s="150">
        <f t="shared" si="8"/>
        <v>846</v>
      </c>
      <c r="I55" s="306">
        <v>2.5</v>
      </c>
      <c r="J55" s="155">
        <v>5.66</v>
      </c>
      <c r="K55" s="156">
        <v>1.5</v>
      </c>
      <c r="L55" s="157">
        <v>0.23</v>
      </c>
      <c r="M55" s="153">
        <f t="shared" si="9"/>
        <v>7.16</v>
      </c>
      <c r="N55" s="166">
        <v>0.25</v>
      </c>
      <c r="O55" s="167">
        <v>0.1</v>
      </c>
      <c r="P55" s="168">
        <v>0.2</v>
      </c>
      <c r="Q55" s="309">
        <f t="shared" si="0"/>
        <v>90</v>
      </c>
      <c r="R55" s="152">
        <f t="shared" si="1"/>
        <v>203.76</v>
      </c>
      <c r="S55" s="154">
        <f t="shared" si="2"/>
        <v>54</v>
      </c>
      <c r="T55" s="169">
        <f t="shared" si="3"/>
        <v>8.2800000000000011</v>
      </c>
      <c r="U55" s="153">
        <f t="shared" si="4"/>
        <v>257.76</v>
      </c>
      <c r="V55" s="166">
        <f t="shared" si="5"/>
        <v>9</v>
      </c>
      <c r="W55" s="167">
        <f t="shared" si="6"/>
        <v>3.6</v>
      </c>
      <c r="X55" s="168">
        <f t="shared" si="7"/>
        <v>7.2</v>
      </c>
      <c r="Y55" s="14"/>
    </row>
    <row r="56" spans="1:25" s="7" customFormat="1" ht="13.5" customHeight="1">
      <c r="A56" s="67"/>
      <c r="B56" s="28"/>
      <c r="C56" s="20" t="s">
        <v>1344</v>
      </c>
      <c r="D56" s="20" t="s">
        <v>1345</v>
      </c>
      <c r="E56" s="26">
        <v>36</v>
      </c>
      <c r="F56" s="28" t="s">
        <v>1351</v>
      </c>
      <c r="G56" s="37">
        <v>25.5</v>
      </c>
      <c r="H56" s="150">
        <f t="shared" si="8"/>
        <v>918</v>
      </c>
      <c r="I56" s="306">
        <v>4</v>
      </c>
      <c r="J56" s="155">
        <v>3.63</v>
      </c>
      <c r="K56" s="156">
        <v>1.5</v>
      </c>
      <c r="L56" s="157">
        <v>0.23</v>
      </c>
      <c r="M56" s="153">
        <f t="shared" si="9"/>
        <v>5.13</v>
      </c>
      <c r="N56" s="166">
        <v>0.28999999999999998</v>
      </c>
      <c r="O56" s="167">
        <v>0.1</v>
      </c>
      <c r="P56" s="168">
        <v>0.2</v>
      </c>
      <c r="Q56" s="309">
        <f t="shared" si="0"/>
        <v>144</v>
      </c>
      <c r="R56" s="152">
        <f t="shared" si="1"/>
        <v>130.68</v>
      </c>
      <c r="S56" s="154">
        <f t="shared" si="2"/>
        <v>54</v>
      </c>
      <c r="T56" s="169">
        <f t="shared" si="3"/>
        <v>8.2800000000000011</v>
      </c>
      <c r="U56" s="153">
        <f t="shared" si="4"/>
        <v>184.68</v>
      </c>
      <c r="V56" s="166">
        <f t="shared" si="5"/>
        <v>10.44</v>
      </c>
      <c r="W56" s="167">
        <f t="shared" si="6"/>
        <v>3.6</v>
      </c>
      <c r="X56" s="168">
        <f t="shared" si="7"/>
        <v>7.2</v>
      </c>
      <c r="Y56" s="14"/>
    </row>
    <row r="57" spans="1:25" s="7" customFormat="1" ht="13.5" customHeight="1">
      <c r="A57" s="67">
        <v>40315</v>
      </c>
      <c r="B57" s="28">
        <v>480</v>
      </c>
      <c r="C57" s="20" t="s">
        <v>21</v>
      </c>
      <c r="D57" s="20" t="s">
        <v>42</v>
      </c>
      <c r="E57" s="26">
        <v>41</v>
      </c>
      <c r="F57" s="28" t="s">
        <v>1352</v>
      </c>
      <c r="G57" s="37">
        <v>57.5</v>
      </c>
      <c r="H57" s="150">
        <f t="shared" si="8"/>
        <v>2357.5</v>
      </c>
      <c r="I57" s="306">
        <v>5</v>
      </c>
      <c r="J57" s="155">
        <v>8.48</v>
      </c>
      <c r="K57" s="156">
        <v>1.5</v>
      </c>
      <c r="L57" s="157">
        <v>0.23</v>
      </c>
      <c r="M57" s="153">
        <f t="shared" si="9"/>
        <v>9.98</v>
      </c>
      <c r="N57" s="166">
        <v>0.83</v>
      </c>
      <c r="O57" s="167">
        <v>0.5</v>
      </c>
      <c r="P57" s="168">
        <v>1</v>
      </c>
      <c r="Q57" s="309">
        <f t="shared" si="0"/>
        <v>205</v>
      </c>
      <c r="R57" s="152">
        <f t="shared" si="1"/>
        <v>347.68</v>
      </c>
      <c r="S57" s="154">
        <f t="shared" si="2"/>
        <v>61.5</v>
      </c>
      <c r="T57" s="169">
        <f t="shared" si="3"/>
        <v>9.43</v>
      </c>
      <c r="U57" s="153">
        <f t="shared" si="4"/>
        <v>409.18</v>
      </c>
      <c r="V57" s="166">
        <f t="shared" si="5"/>
        <v>34.03</v>
      </c>
      <c r="W57" s="167">
        <f t="shared" si="6"/>
        <v>20.5</v>
      </c>
      <c r="X57" s="168">
        <f t="shared" si="7"/>
        <v>41</v>
      </c>
      <c r="Y57" s="14"/>
    </row>
    <row r="58" spans="1:25" s="7" customFormat="1" ht="13.5" customHeight="1">
      <c r="A58" s="67">
        <v>40317</v>
      </c>
      <c r="B58" s="28">
        <v>481</v>
      </c>
      <c r="C58" s="20" t="s">
        <v>1050</v>
      </c>
      <c r="D58" s="20" t="s">
        <v>245</v>
      </c>
      <c r="E58" s="26">
        <v>2</v>
      </c>
      <c r="F58" s="28" t="s">
        <v>1353</v>
      </c>
      <c r="G58" s="37">
        <v>48.5</v>
      </c>
      <c r="H58" s="150">
        <f t="shared" si="8"/>
        <v>97</v>
      </c>
      <c r="I58" s="306">
        <v>8.5</v>
      </c>
      <c r="J58" s="155">
        <v>10.27</v>
      </c>
      <c r="K58" s="156">
        <v>3</v>
      </c>
      <c r="L58" s="157">
        <v>0.45</v>
      </c>
      <c r="M58" s="153">
        <f t="shared" si="9"/>
        <v>13.27</v>
      </c>
      <c r="N58" s="166">
        <v>0.67</v>
      </c>
      <c r="O58" s="167">
        <v>0.1</v>
      </c>
      <c r="P58" s="168">
        <v>0.1</v>
      </c>
      <c r="Q58" s="309">
        <f t="shared" si="0"/>
        <v>17</v>
      </c>
      <c r="R58" s="152">
        <f t="shared" si="1"/>
        <v>20.54</v>
      </c>
      <c r="S58" s="154">
        <f t="shared" si="2"/>
        <v>6</v>
      </c>
      <c r="T58" s="169">
        <f t="shared" si="3"/>
        <v>0.9</v>
      </c>
      <c r="U58" s="153">
        <f t="shared" si="4"/>
        <v>26.54</v>
      </c>
      <c r="V58" s="166">
        <f t="shared" si="5"/>
        <v>1.34</v>
      </c>
      <c r="W58" s="167">
        <f t="shared" si="6"/>
        <v>0.2</v>
      </c>
      <c r="X58" s="168">
        <f t="shared" si="7"/>
        <v>0.2</v>
      </c>
      <c r="Y58" s="14"/>
    </row>
    <row r="59" spans="1:25" ht="13.5" customHeight="1">
      <c r="A59" s="67">
        <v>40318</v>
      </c>
      <c r="B59" s="28">
        <v>482</v>
      </c>
      <c r="C59" s="20" t="s">
        <v>891</v>
      </c>
      <c r="D59" s="20" t="s">
        <v>892</v>
      </c>
      <c r="E59" s="26">
        <v>1</v>
      </c>
      <c r="F59" s="28" t="s">
        <v>1354</v>
      </c>
      <c r="G59" s="37">
        <v>100</v>
      </c>
      <c r="H59" s="150">
        <f t="shared" si="8"/>
        <v>100</v>
      </c>
      <c r="I59" s="307">
        <v>10</v>
      </c>
      <c r="J59" s="155">
        <v>20.28</v>
      </c>
      <c r="K59" s="156">
        <v>2.5</v>
      </c>
      <c r="L59" s="157">
        <v>0.38</v>
      </c>
      <c r="M59" s="153">
        <f t="shared" si="9"/>
        <v>22.78</v>
      </c>
      <c r="N59" s="166">
        <v>1.25</v>
      </c>
      <c r="O59" s="167">
        <v>0.1</v>
      </c>
      <c r="P59" s="168">
        <v>0.1</v>
      </c>
      <c r="Q59" s="309">
        <f t="shared" si="0"/>
        <v>10</v>
      </c>
      <c r="R59" s="152">
        <f t="shared" si="1"/>
        <v>20.28</v>
      </c>
      <c r="S59" s="154">
        <f t="shared" si="2"/>
        <v>2.5</v>
      </c>
      <c r="T59" s="169">
        <f t="shared" si="3"/>
        <v>0.38</v>
      </c>
      <c r="U59" s="153">
        <f t="shared" si="4"/>
        <v>22.78</v>
      </c>
      <c r="V59" s="166">
        <f t="shared" si="5"/>
        <v>1.25</v>
      </c>
      <c r="W59" s="167">
        <f t="shared" si="6"/>
        <v>0.1</v>
      </c>
      <c r="X59" s="168">
        <f t="shared" si="7"/>
        <v>0.1</v>
      </c>
      <c r="Y59" s="14"/>
    </row>
    <row r="60" spans="1:25" ht="13.5" customHeight="1">
      <c r="A60" s="67"/>
      <c r="B60" s="28"/>
      <c r="C60" s="20" t="s">
        <v>891</v>
      </c>
      <c r="D60" s="20" t="s">
        <v>892</v>
      </c>
      <c r="E60" s="26">
        <v>1</v>
      </c>
      <c r="F60" s="28" t="s">
        <v>1355</v>
      </c>
      <c r="G60" s="37">
        <v>100</v>
      </c>
      <c r="H60" s="150">
        <f t="shared" si="8"/>
        <v>100</v>
      </c>
      <c r="I60" s="307">
        <v>10</v>
      </c>
      <c r="J60" s="155">
        <v>16.38</v>
      </c>
      <c r="K60" s="156">
        <v>2.5</v>
      </c>
      <c r="L60" s="157">
        <v>0.38</v>
      </c>
      <c r="M60" s="153">
        <f t="shared" si="9"/>
        <v>18.88</v>
      </c>
      <c r="N60" s="166">
        <v>1.25</v>
      </c>
      <c r="O60" s="167">
        <v>0.1</v>
      </c>
      <c r="P60" s="168">
        <v>0.1</v>
      </c>
      <c r="Q60" s="309">
        <f t="shared" si="0"/>
        <v>10</v>
      </c>
      <c r="R60" s="152">
        <f t="shared" si="1"/>
        <v>16.38</v>
      </c>
      <c r="S60" s="154">
        <f t="shared" si="2"/>
        <v>2.5</v>
      </c>
      <c r="T60" s="169">
        <f t="shared" si="3"/>
        <v>0.38</v>
      </c>
      <c r="U60" s="153">
        <f t="shared" si="4"/>
        <v>18.88</v>
      </c>
      <c r="V60" s="166">
        <f t="shared" si="5"/>
        <v>1.25</v>
      </c>
      <c r="W60" s="167">
        <f t="shared" si="6"/>
        <v>0.1</v>
      </c>
      <c r="X60" s="168">
        <f t="shared" si="7"/>
        <v>0.1</v>
      </c>
      <c r="Y60" s="14"/>
    </row>
    <row r="61" spans="1:25" ht="13.5" customHeight="1">
      <c r="A61" s="67">
        <v>40318</v>
      </c>
      <c r="B61" s="28">
        <v>483</v>
      </c>
      <c r="C61" s="20" t="s">
        <v>1356</v>
      </c>
      <c r="D61" s="20" t="s">
        <v>305</v>
      </c>
      <c r="E61" s="26">
        <v>50</v>
      </c>
      <c r="F61" s="28" t="s">
        <v>1357</v>
      </c>
      <c r="G61" s="37">
        <v>40</v>
      </c>
      <c r="H61" s="150">
        <f t="shared" si="8"/>
        <v>2000</v>
      </c>
      <c r="I61" s="306">
        <v>8.5</v>
      </c>
      <c r="J61" s="155">
        <v>6.03</v>
      </c>
      <c r="K61" s="156">
        <v>2</v>
      </c>
      <c r="L61" s="157">
        <v>0.3</v>
      </c>
      <c r="M61" s="153">
        <f t="shared" si="9"/>
        <v>8.0300000000000011</v>
      </c>
      <c r="N61" s="166">
        <v>0.67</v>
      </c>
      <c r="O61" s="167">
        <v>0.1</v>
      </c>
      <c r="P61" s="168">
        <v>0.1</v>
      </c>
      <c r="Q61" s="309">
        <f t="shared" si="0"/>
        <v>425</v>
      </c>
      <c r="R61" s="152">
        <f t="shared" si="1"/>
        <v>301.5</v>
      </c>
      <c r="S61" s="154">
        <f t="shared" si="2"/>
        <v>100</v>
      </c>
      <c r="T61" s="169">
        <f t="shared" si="3"/>
        <v>15</v>
      </c>
      <c r="U61" s="153">
        <f t="shared" si="4"/>
        <v>401.50000000000006</v>
      </c>
      <c r="V61" s="166">
        <f t="shared" si="5"/>
        <v>33.5</v>
      </c>
      <c r="W61" s="167">
        <f t="shared" si="6"/>
        <v>5</v>
      </c>
      <c r="X61" s="168">
        <f t="shared" si="7"/>
        <v>5</v>
      </c>
      <c r="Y61" s="14"/>
    </row>
    <row r="62" spans="1:25" ht="13.5" customHeight="1">
      <c r="A62" s="67">
        <v>40315</v>
      </c>
      <c r="B62" s="28">
        <v>484</v>
      </c>
      <c r="C62" s="20" t="s">
        <v>21</v>
      </c>
      <c r="D62" s="20" t="s">
        <v>42</v>
      </c>
      <c r="E62" s="26">
        <v>130</v>
      </c>
      <c r="F62" s="28" t="s">
        <v>1358</v>
      </c>
      <c r="G62" s="37">
        <v>33.5</v>
      </c>
      <c r="H62" s="150">
        <f t="shared" si="8"/>
        <v>4355</v>
      </c>
      <c r="I62" s="306">
        <v>2</v>
      </c>
      <c r="J62" s="155">
        <v>27.51</v>
      </c>
      <c r="K62" s="156">
        <v>0</v>
      </c>
      <c r="L62" s="157">
        <v>0</v>
      </c>
      <c r="M62" s="153">
        <f t="shared" si="9"/>
        <v>27.51</v>
      </c>
      <c r="N62" s="166">
        <v>0.08</v>
      </c>
      <c r="O62" s="167">
        <v>0.1</v>
      </c>
      <c r="P62" s="168">
        <v>0.1</v>
      </c>
      <c r="Q62" s="309">
        <f t="shared" si="0"/>
        <v>260</v>
      </c>
      <c r="R62" s="152">
        <f t="shared" si="1"/>
        <v>3576.3</v>
      </c>
      <c r="S62" s="154">
        <f t="shared" si="2"/>
        <v>0</v>
      </c>
      <c r="T62" s="169">
        <f t="shared" si="3"/>
        <v>0</v>
      </c>
      <c r="U62" s="153">
        <f t="shared" si="4"/>
        <v>3576.3</v>
      </c>
      <c r="V62" s="166">
        <f t="shared" si="5"/>
        <v>10.4</v>
      </c>
      <c r="W62" s="167">
        <f t="shared" si="6"/>
        <v>13</v>
      </c>
      <c r="X62" s="168">
        <f t="shared" si="7"/>
        <v>13</v>
      </c>
      <c r="Y62" s="14"/>
    </row>
    <row r="63" spans="1:25" ht="13.5" customHeight="1">
      <c r="A63" s="67"/>
      <c r="B63" s="28"/>
      <c r="C63" s="20" t="s">
        <v>21</v>
      </c>
      <c r="D63" s="20" t="s">
        <v>42</v>
      </c>
      <c r="E63" s="26">
        <v>130</v>
      </c>
      <c r="F63" s="28" t="s">
        <v>1359</v>
      </c>
      <c r="G63" s="37">
        <v>33.5</v>
      </c>
      <c r="H63" s="150">
        <f t="shared" si="8"/>
        <v>4355</v>
      </c>
      <c r="I63" s="306">
        <v>2</v>
      </c>
      <c r="J63" s="155">
        <v>27.51</v>
      </c>
      <c r="K63" s="177">
        <v>0</v>
      </c>
      <c r="L63" s="157">
        <v>0</v>
      </c>
      <c r="M63" s="179">
        <f t="shared" si="9"/>
        <v>27.51</v>
      </c>
      <c r="N63" s="166">
        <v>0.08</v>
      </c>
      <c r="O63" s="167">
        <v>0.1</v>
      </c>
      <c r="P63" s="168">
        <v>0.1</v>
      </c>
      <c r="Q63" s="309">
        <f t="shared" si="0"/>
        <v>260</v>
      </c>
      <c r="R63" s="152">
        <f t="shared" si="1"/>
        <v>3576.3</v>
      </c>
      <c r="S63" s="154">
        <f t="shared" si="2"/>
        <v>0</v>
      </c>
      <c r="T63" s="169">
        <f t="shared" si="3"/>
        <v>0</v>
      </c>
      <c r="U63" s="153">
        <f t="shared" si="4"/>
        <v>3576.3</v>
      </c>
      <c r="V63" s="166">
        <f t="shared" si="5"/>
        <v>10.4</v>
      </c>
      <c r="W63" s="167">
        <f t="shared" si="6"/>
        <v>13</v>
      </c>
      <c r="X63" s="168">
        <f t="shared" si="7"/>
        <v>13</v>
      </c>
      <c r="Y63" s="14"/>
    </row>
    <row r="64" spans="1:25" ht="13.5" customHeight="1">
      <c r="A64" s="67">
        <v>40315</v>
      </c>
      <c r="B64" s="28">
        <v>485</v>
      </c>
      <c r="C64" s="20" t="s">
        <v>30</v>
      </c>
      <c r="D64" s="20" t="s">
        <v>42</v>
      </c>
      <c r="E64" s="26">
        <v>2496</v>
      </c>
      <c r="F64" s="28" t="s">
        <v>1360</v>
      </c>
      <c r="G64" s="37">
        <v>1.3</v>
      </c>
      <c r="H64" s="150">
        <f t="shared" si="8"/>
        <v>3244.8</v>
      </c>
      <c r="I64" s="306">
        <v>0.25</v>
      </c>
      <c r="J64" s="155">
        <v>0.67</v>
      </c>
      <c r="K64" s="156">
        <v>0</v>
      </c>
      <c r="L64" s="157">
        <v>0</v>
      </c>
      <c r="M64" s="153">
        <f t="shared" si="9"/>
        <v>0.67</v>
      </c>
      <c r="N64" s="166">
        <v>0</v>
      </c>
      <c r="O64" s="167">
        <v>0.1</v>
      </c>
      <c r="P64" s="168">
        <v>0</v>
      </c>
      <c r="Q64" s="309">
        <f t="shared" si="0"/>
        <v>624</v>
      </c>
      <c r="R64" s="152">
        <f t="shared" si="1"/>
        <v>1672.3200000000002</v>
      </c>
      <c r="S64" s="154">
        <f t="shared" si="2"/>
        <v>0</v>
      </c>
      <c r="T64" s="169">
        <f t="shared" si="3"/>
        <v>0</v>
      </c>
      <c r="U64" s="153">
        <f t="shared" si="4"/>
        <v>1672.3200000000002</v>
      </c>
      <c r="V64" s="166">
        <f t="shared" si="5"/>
        <v>0</v>
      </c>
      <c r="W64" s="167">
        <f t="shared" si="6"/>
        <v>249.60000000000002</v>
      </c>
      <c r="X64" s="168">
        <f t="shared" si="7"/>
        <v>0</v>
      </c>
      <c r="Y64" s="14"/>
    </row>
    <row r="65" spans="1:25" ht="13.5" customHeight="1">
      <c r="A65" s="67"/>
      <c r="B65" s="28"/>
      <c r="C65" s="20" t="s">
        <v>30</v>
      </c>
      <c r="D65" s="20" t="s">
        <v>42</v>
      </c>
      <c r="E65" s="26">
        <v>1000</v>
      </c>
      <c r="F65" s="28" t="s">
        <v>1361</v>
      </c>
      <c r="G65" s="37">
        <v>1.3</v>
      </c>
      <c r="H65" s="150">
        <f t="shared" si="8"/>
        <v>1300</v>
      </c>
      <c r="I65" s="306">
        <v>0.25</v>
      </c>
      <c r="J65" s="155">
        <v>0.67</v>
      </c>
      <c r="K65" s="156">
        <v>0</v>
      </c>
      <c r="L65" s="157">
        <v>0</v>
      </c>
      <c r="M65" s="153">
        <f t="shared" si="9"/>
        <v>0.67</v>
      </c>
      <c r="N65" s="166">
        <v>0</v>
      </c>
      <c r="O65" s="167">
        <v>0.1</v>
      </c>
      <c r="P65" s="168">
        <v>0</v>
      </c>
      <c r="Q65" s="309">
        <f t="shared" si="0"/>
        <v>250</v>
      </c>
      <c r="R65" s="152">
        <f t="shared" si="1"/>
        <v>670</v>
      </c>
      <c r="S65" s="154">
        <f t="shared" si="2"/>
        <v>0</v>
      </c>
      <c r="T65" s="169">
        <f t="shared" si="3"/>
        <v>0</v>
      </c>
      <c r="U65" s="153">
        <f t="shared" si="4"/>
        <v>670</v>
      </c>
      <c r="V65" s="166">
        <f t="shared" si="5"/>
        <v>0</v>
      </c>
      <c r="W65" s="167">
        <f t="shared" si="6"/>
        <v>100</v>
      </c>
      <c r="X65" s="168">
        <f t="shared" si="7"/>
        <v>0</v>
      </c>
      <c r="Y65" s="14"/>
    </row>
    <row r="66" spans="1:25" ht="13.5" customHeight="1">
      <c r="A66" s="67"/>
      <c r="B66" s="28"/>
      <c r="C66" s="20" t="s">
        <v>30</v>
      </c>
      <c r="D66" s="20" t="s">
        <v>42</v>
      </c>
      <c r="E66" s="26">
        <v>1000</v>
      </c>
      <c r="F66" s="28" t="s">
        <v>1362</v>
      </c>
      <c r="G66" s="37">
        <v>0.6</v>
      </c>
      <c r="H66" s="150">
        <f t="shared" si="8"/>
        <v>600</v>
      </c>
      <c r="I66" s="306">
        <v>0</v>
      </c>
      <c r="J66" s="155">
        <v>0.06</v>
      </c>
      <c r="K66" s="156">
        <v>0.5</v>
      </c>
      <c r="L66" s="157">
        <v>0</v>
      </c>
      <c r="M66" s="153">
        <f t="shared" si="9"/>
        <v>0.56000000000000005</v>
      </c>
      <c r="N66" s="166">
        <v>0</v>
      </c>
      <c r="O66" s="167">
        <v>0</v>
      </c>
      <c r="P66" s="168">
        <v>0</v>
      </c>
      <c r="Q66" s="309">
        <f t="shared" si="0"/>
        <v>0</v>
      </c>
      <c r="R66" s="152">
        <f t="shared" si="1"/>
        <v>60</v>
      </c>
      <c r="S66" s="154">
        <f t="shared" si="2"/>
        <v>500</v>
      </c>
      <c r="T66" s="169">
        <f t="shared" si="3"/>
        <v>0</v>
      </c>
      <c r="U66" s="153">
        <f t="shared" si="4"/>
        <v>560</v>
      </c>
      <c r="V66" s="166">
        <f t="shared" si="5"/>
        <v>0</v>
      </c>
      <c r="W66" s="167">
        <f t="shared" si="6"/>
        <v>0</v>
      </c>
      <c r="X66" s="168">
        <f t="shared" si="7"/>
        <v>0</v>
      </c>
      <c r="Y66" s="14"/>
    </row>
    <row r="67" spans="1:25" ht="13.5" customHeight="1">
      <c r="A67" s="67"/>
      <c r="B67" s="28"/>
      <c r="C67" s="20" t="s">
        <v>30</v>
      </c>
      <c r="D67" s="20" t="s">
        <v>42</v>
      </c>
      <c r="E67" s="26">
        <v>1</v>
      </c>
      <c r="F67" s="28" t="s">
        <v>1363</v>
      </c>
      <c r="G67" s="37">
        <v>1900</v>
      </c>
      <c r="H67" s="150">
        <f t="shared" si="8"/>
        <v>1900</v>
      </c>
      <c r="I67" s="306">
        <v>0</v>
      </c>
      <c r="J67" s="155">
        <v>0</v>
      </c>
      <c r="K67" s="156">
        <v>0</v>
      </c>
      <c r="L67" s="157">
        <v>0</v>
      </c>
      <c r="M67" s="153">
        <f t="shared" si="9"/>
        <v>0</v>
      </c>
      <c r="N67" s="166">
        <v>0</v>
      </c>
      <c r="O67" s="167">
        <v>0</v>
      </c>
      <c r="P67" s="168">
        <v>0</v>
      </c>
      <c r="Q67" s="309">
        <f t="shared" si="0"/>
        <v>0</v>
      </c>
      <c r="R67" s="152">
        <f t="shared" si="1"/>
        <v>0</v>
      </c>
      <c r="S67" s="154">
        <f t="shared" si="2"/>
        <v>0</v>
      </c>
      <c r="T67" s="169">
        <f t="shared" si="3"/>
        <v>0</v>
      </c>
      <c r="U67" s="153">
        <f t="shared" si="4"/>
        <v>0</v>
      </c>
      <c r="V67" s="166">
        <f t="shared" si="5"/>
        <v>0</v>
      </c>
      <c r="W67" s="167">
        <f t="shared" si="6"/>
        <v>0</v>
      </c>
      <c r="X67" s="168">
        <f t="shared" si="7"/>
        <v>0</v>
      </c>
      <c r="Y67" s="14"/>
    </row>
    <row r="68" spans="1:25" ht="13.5" customHeight="1">
      <c r="A68" s="67">
        <v>40318</v>
      </c>
      <c r="B68" s="28">
        <v>486</v>
      </c>
      <c r="C68" s="20" t="s">
        <v>269</v>
      </c>
      <c r="D68" s="20" t="s">
        <v>135</v>
      </c>
      <c r="E68" s="26">
        <v>20</v>
      </c>
      <c r="F68" s="28" t="s">
        <v>1364</v>
      </c>
      <c r="G68" s="37">
        <v>89</v>
      </c>
      <c r="H68" s="150">
        <f t="shared" si="8"/>
        <v>1780</v>
      </c>
      <c r="I68" s="306">
        <v>8.5</v>
      </c>
      <c r="J68" s="155">
        <v>14.98</v>
      </c>
      <c r="K68" s="156">
        <v>2</v>
      </c>
      <c r="L68" s="157">
        <v>0.3</v>
      </c>
      <c r="M68" s="153">
        <f t="shared" si="9"/>
        <v>16.98</v>
      </c>
      <c r="N68" s="166">
        <v>1.25</v>
      </c>
      <c r="O68" s="167">
        <v>0.1</v>
      </c>
      <c r="P68" s="168">
        <v>0.1</v>
      </c>
      <c r="Q68" s="309">
        <f t="shared" si="0"/>
        <v>170</v>
      </c>
      <c r="R68" s="152">
        <f t="shared" si="1"/>
        <v>299.60000000000002</v>
      </c>
      <c r="S68" s="154">
        <f t="shared" si="2"/>
        <v>40</v>
      </c>
      <c r="T68" s="169">
        <f t="shared" si="3"/>
        <v>6</v>
      </c>
      <c r="U68" s="153">
        <f t="shared" si="4"/>
        <v>339.6</v>
      </c>
      <c r="V68" s="166">
        <f t="shared" si="5"/>
        <v>25</v>
      </c>
      <c r="W68" s="167">
        <f t="shared" si="6"/>
        <v>2</v>
      </c>
      <c r="X68" s="168">
        <f t="shared" si="7"/>
        <v>2</v>
      </c>
      <c r="Y68" s="14"/>
    </row>
    <row r="69" spans="1:25" ht="13.5" customHeight="1">
      <c r="A69" s="67">
        <v>40315</v>
      </c>
      <c r="B69" s="28">
        <v>487</v>
      </c>
      <c r="C69" s="20" t="s">
        <v>1365</v>
      </c>
      <c r="D69" s="20" t="s">
        <v>1255</v>
      </c>
      <c r="E69" s="26">
        <v>15</v>
      </c>
      <c r="F69" s="28" t="s">
        <v>1366</v>
      </c>
      <c r="G69" s="37">
        <v>10.35</v>
      </c>
      <c r="H69" s="150">
        <f t="shared" si="8"/>
        <v>155.25</v>
      </c>
      <c r="I69" s="306">
        <v>1.5</v>
      </c>
      <c r="J69" s="155">
        <v>2.98</v>
      </c>
      <c r="K69" s="156">
        <v>1.8</v>
      </c>
      <c r="L69" s="157">
        <v>0.27</v>
      </c>
      <c r="M69" s="153">
        <f t="shared" si="9"/>
        <v>4.78</v>
      </c>
      <c r="N69" s="166">
        <v>0.13</v>
      </c>
      <c r="O69" s="167">
        <v>0.1</v>
      </c>
      <c r="P69" s="168">
        <v>0.1</v>
      </c>
      <c r="Q69" s="309">
        <f t="shared" si="0"/>
        <v>22.5</v>
      </c>
      <c r="R69" s="152">
        <f t="shared" si="1"/>
        <v>44.7</v>
      </c>
      <c r="S69" s="154">
        <f t="shared" si="2"/>
        <v>27</v>
      </c>
      <c r="T69" s="169">
        <f t="shared" si="3"/>
        <v>4.0500000000000007</v>
      </c>
      <c r="U69" s="153">
        <f t="shared" si="4"/>
        <v>71.7</v>
      </c>
      <c r="V69" s="166">
        <f t="shared" si="5"/>
        <v>1.9500000000000002</v>
      </c>
      <c r="W69" s="167">
        <f t="shared" si="6"/>
        <v>1.5</v>
      </c>
      <c r="X69" s="168">
        <f t="shared" si="7"/>
        <v>1.5</v>
      </c>
      <c r="Y69" s="14"/>
    </row>
    <row r="70" spans="1:25" ht="13.5" customHeight="1">
      <c r="A70" s="67">
        <v>40322</v>
      </c>
      <c r="B70" s="28">
        <v>488</v>
      </c>
      <c r="C70" s="20" t="s">
        <v>23</v>
      </c>
      <c r="D70" s="20" t="s">
        <v>24</v>
      </c>
      <c r="E70" s="26">
        <v>22</v>
      </c>
      <c r="F70" s="28" t="s">
        <v>1367</v>
      </c>
      <c r="G70" s="37">
        <v>10</v>
      </c>
      <c r="H70" s="150">
        <f t="shared" si="8"/>
        <v>220</v>
      </c>
      <c r="I70" s="306">
        <v>1.5</v>
      </c>
      <c r="J70" s="155">
        <v>2.16</v>
      </c>
      <c r="K70" s="156">
        <v>0</v>
      </c>
      <c r="L70" s="157">
        <v>0</v>
      </c>
      <c r="M70" s="153">
        <f t="shared" si="9"/>
        <v>2.16</v>
      </c>
      <c r="N70" s="166">
        <v>0.21</v>
      </c>
      <c r="O70" s="167">
        <v>0.1</v>
      </c>
      <c r="P70" s="168">
        <v>0.1</v>
      </c>
      <c r="Q70" s="309">
        <f t="shared" si="0"/>
        <v>33</v>
      </c>
      <c r="R70" s="152">
        <f t="shared" si="1"/>
        <v>47.52</v>
      </c>
      <c r="S70" s="154">
        <f t="shared" si="2"/>
        <v>0</v>
      </c>
      <c r="T70" s="169">
        <f t="shared" si="3"/>
        <v>0</v>
      </c>
      <c r="U70" s="153">
        <f t="shared" si="4"/>
        <v>47.52</v>
      </c>
      <c r="V70" s="166">
        <f t="shared" si="5"/>
        <v>4.62</v>
      </c>
      <c r="W70" s="167">
        <f t="shared" si="6"/>
        <v>2.2000000000000002</v>
      </c>
      <c r="X70" s="168">
        <f t="shared" si="7"/>
        <v>2.2000000000000002</v>
      </c>
      <c r="Y70" s="14"/>
    </row>
    <row r="71" spans="1:25" ht="13.5" customHeight="1">
      <c r="A71" s="67">
        <v>40323</v>
      </c>
      <c r="B71" s="28">
        <v>489</v>
      </c>
      <c r="C71" s="20" t="s">
        <v>1050</v>
      </c>
      <c r="D71" s="20" t="s">
        <v>245</v>
      </c>
      <c r="E71" s="26">
        <v>96</v>
      </c>
      <c r="F71" s="28" t="s">
        <v>1368</v>
      </c>
      <c r="G71" s="37">
        <v>53.5</v>
      </c>
      <c r="H71" s="150">
        <f t="shared" si="8"/>
        <v>5136</v>
      </c>
      <c r="I71" s="306">
        <v>5</v>
      </c>
      <c r="J71" s="155">
        <v>8.11</v>
      </c>
      <c r="K71" s="177">
        <v>12</v>
      </c>
      <c r="L71" s="157">
        <v>1.8</v>
      </c>
      <c r="M71" s="153">
        <f t="shared" si="9"/>
        <v>20.11</v>
      </c>
      <c r="N71" s="166">
        <v>0.67</v>
      </c>
      <c r="O71" s="167">
        <v>0.2</v>
      </c>
      <c r="P71" s="168">
        <v>0.35</v>
      </c>
      <c r="Q71" s="309">
        <f t="shared" si="0"/>
        <v>480</v>
      </c>
      <c r="R71" s="152">
        <f t="shared" si="1"/>
        <v>778.56</v>
      </c>
      <c r="S71" s="154">
        <f t="shared" si="2"/>
        <v>1152</v>
      </c>
      <c r="T71" s="169">
        <f t="shared" si="3"/>
        <v>172.8</v>
      </c>
      <c r="U71" s="153">
        <f t="shared" si="4"/>
        <v>1930.56</v>
      </c>
      <c r="V71" s="166">
        <f t="shared" si="5"/>
        <v>64.320000000000007</v>
      </c>
      <c r="W71" s="167">
        <f t="shared" si="6"/>
        <v>19.200000000000003</v>
      </c>
      <c r="X71" s="168">
        <f t="shared" si="7"/>
        <v>33.599999999999994</v>
      </c>
      <c r="Y71" s="14"/>
    </row>
    <row r="72" spans="1:25" ht="13.5" customHeight="1">
      <c r="A72" s="67">
        <v>40323</v>
      </c>
      <c r="B72" s="28">
        <v>490</v>
      </c>
      <c r="C72" s="20" t="s">
        <v>960</v>
      </c>
      <c r="D72" s="20" t="s">
        <v>210</v>
      </c>
      <c r="E72" s="26">
        <v>29</v>
      </c>
      <c r="F72" s="28" t="s">
        <v>1369</v>
      </c>
      <c r="G72" s="37">
        <v>17</v>
      </c>
      <c r="H72" s="150">
        <f t="shared" si="8"/>
        <v>493</v>
      </c>
      <c r="I72" s="306">
        <v>1</v>
      </c>
      <c r="J72" s="155">
        <v>0.31</v>
      </c>
      <c r="K72" s="156">
        <v>3.8</v>
      </c>
      <c r="L72" s="157">
        <v>0.56999999999999995</v>
      </c>
      <c r="M72" s="153">
        <f t="shared" si="9"/>
        <v>4.1099999999999994</v>
      </c>
      <c r="N72" s="166">
        <v>0</v>
      </c>
      <c r="O72" s="167">
        <v>0.1</v>
      </c>
      <c r="P72" s="168">
        <v>0.1</v>
      </c>
      <c r="Q72" s="309">
        <f t="shared" si="0"/>
        <v>29</v>
      </c>
      <c r="R72" s="152">
        <f t="shared" si="1"/>
        <v>8.99</v>
      </c>
      <c r="S72" s="154">
        <f t="shared" si="2"/>
        <v>110.19999999999999</v>
      </c>
      <c r="T72" s="169">
        <f t="shared" si="3"/>
        <v>16.529999999999998</v>
      </c>
      <c r="U72" s="153">
        <f t="shared" si="4"/>
        <v>119.18999999999998</v>
      </c>
      <c r="V72" s="166">
        <f t="shared" si="5"/>
        <v>0</v>
      </c>
      <c r="W72" s="167">
        <f t="shared" si="6"/>
        <v>2.9000000000000004</v>
      </c>
      <c r="X72" s="168">
        <f t="shared" si="7"/>
        <v>2.9000000000000004</v>
      </c>
      <c r="Y72" s="15"/>
    </row>
    <row r="73" spans="1:25" ht="13.5" customHeight="1">
      <c r="A73" s="67"/>
      <c r="B73" s="28"/>
      <c r="C73" s="20" t="s">
        <v>960</v>
      </c>
      <c r="D73" s="20" t="s">
        <v>210</v>
      </c>
      <c r="E73" s="26">
        <v>15</v>
      </c>
      <c r="F73" s="28" t="s">
        <v>1370</v>
      </c>
      <c r="G73" s="37">
        <v>17</v>
      </c>
      <c r="H73" s="150">
        <f t="shared" ref="H73:H89" si="11">E73*G73</f>
        <v>255</v>
      </c>
      <c r="I73" s="306">
        <v>1</v>
      </c>
      <c r="J73" s="155">
        <v>0.31</v>
      </c>
      <c r="K73" s="156">
        <v>3.8</v>
      </c>
      <c r="L73" s="157">
        <v>0.56999999999999995</v>
      </c>
      <c r="M73" s="153">
        <f t="shared" si="9"/>
        <v>4.1099999999999994</v>
      </c>
      <c r="N73" s="166">
        <v>0</v>
      </c>
      <c r="O73" s="167">
        <v>0.1</v>
      </c>
      <c r="P73" s="168">
        <v>0.1</v>
      </c>
      <c r="Q73" s="309">
        <f t="shared" si="0"/>
        <v>15</v>
      </c>
      <c r="R73" s="152">
        <f t="shared" si="1"/>
        <v>4.6500000000000004</v>
      </c>
      <c r="S73" s="154">
        <f t="shared" si="2"/>
        <v>57</v>
      </c>
      <c r="T73" s="169">
        <f t="shared" si="3"/>
        <v>8.5499999999999989</v>
      </c>
      <c r="U73" s="153">
        <f t="shared" si="4"/>
        <v>61.649999999999991</v>
      </c>
      <c r="V73" s="166">
        <f t="shared" si="5"/>
        <v>0</v>
      </c>
      <c r="W73" s="167">
        <f t="shared" si="6"/>
        <v>1.5</v>
      </c>
      <c r="X73" s="168">
        <f t="shared" si="7"/>
        <v>1.5</v>
      </c>
      <c r="Y73" s="14"/>
    </row>
    <row r="74" spans="1:25" ht="13.5" customHeight="1">
      <c r="A74" s="67"/>
      <c r="B74" s="28"/>
      <c r="C74" s="20" t="s">
        <v>960</v>
      </c>
      <c r="D74" s="20" t="s">
        <v>210</v>
      </c>
      <c r="E74" s="26">
        <v>29</v>
      </c>
      <c r="F74" s="28" t="s">
        <v>1371</v>
      </c>
      <c r="G74" s="37">
        <v>17</v>
      </c>
      <c r="H74" s="150">
        <f t="shared" si="11"/>
        <v>493</v>
      </c>
      <c r="I74" s="306">
        <v>1</v>
      </c>
      <c r="J74" s="155">
        <v>0.31</v>
      </c>
      <c r="K74" s="156">
        <v>3.8</v>
      </c>
      <c r="L74" s="157">
        <v>0.56999999999999995</v>
      </c>
      <c r="M74" s="153">
        <f t="shared" ref="M74:M89" si="12">J74+K74</f>
        <v>4.1099999999999994</v>
      </c>
      <c r="N74" s="166">
        <v>0</v>
      </c>
      <c r="O74" s="167">
        <v>0.1</v>
      </c>
      <c r="P74" s="168">
        <v>0.1</v>
      </c>
      <c r="Q74" s="309">
        <f t="shared" si="0"/>
        <v>29</v>
      </c>
      <c r="R74" s="152">
        <f t="shared" si="1"/>
        <v>8.99</v>
      </c>
      <c r="S74" s="154">
        <f t="shared" si="2"/>
        <v>110.19999999999999</v>
      </c>
      <c r="T74" s="169">
        <f t="shared" si="3"/>
        <v>16.529999999999998</v>
      </c>
      <c r="U74" s="153">
        <f t="shared" si="4"/>
        <v>119.18999999999998</v>
      </c>
      <c r="V74" s="166">
        <f t="shared" si="5"/>
        <v>0</v>
      </c>
      <c r="W74" s="167">
        <f t="shared" si="6"/>
        <v>2.9000000000000004</v>
      </c>
      <c r="X74" s="168">
        <f t="shared" si="7"/>
        <v>2.9000000000000004</v>
      </c>
      <c r="Y74" s="14"/>
    </row>
    <row r="75" spans="1:25" ht="13.5" customHeight="1">
      <c r="A75" s="67">
        <v>40323</v>
      </c>
      <c r="B75" s="28">
        <v>491</v>
      </c>
      <c r="C75" s="20" t="s">
        <v>1372</v>
      </c>
      <c r="D75" s="20" t="s">
        <v>1373</v>
      </c>
      <c r="E75" s="26">
        <v>300</v>
      </c>
      <c r="F75" s="28" t="s">
        <v>1374</v>
      </c>
      <c r="G75" s="37">
        <v>9.5</v>
      </c>
      <c r="H75" s="150">
        <f t="shared" si="11"/>
        <v>2850</v>
      </c>
      <c r="I75" s="306">
        <v>1.1000000000000001</v>
      </c>
      <c r="J75" s="155">
        <v>0.48</v>
      </c>
      <c r="K75" s="156">
        <v>1.55</v>
      </c>
      <c r="L75" s="157">
        <v>0.23</v>
      </c>
      <c r="M75" s="153">
        <f t="shared" si="12"/>
        <v>2.0300000000000002</v>
      </c>
      <c r="N75" s="166">
        <v>0.21</v>
      </c>
      <c r="O75" s="167">
        <v>0.1</v>
      </c>
      <c r="P75" s="168">
        <v>0.1</v>
      </c>
      <c r="Q75" s="309">
        <f t="shared" si="0"/>
        <v>330</v>
      </c>
      <c r="R75" s="152">
        <f t="shared" si="1"/>
        <v>144</v>
      </c>
      <c r="S75" s="154">
        <f t="shared" si="2"/>
        <v>465</v>
      </c>
      <c r="T75" s="169">
        <f t="shared" si="3"/>
        <v>69</v>
      </c>
      <c r="U75" s="153">
        <f t="shared" si="4"/>
        <v>609.00000000000011</v>
      </c>
      <c r="V75" s="166">
        <f t="shared" si="5"/>
        <v>63</v>
      </c>
      <c r="W75" s="167">
        <f t="shared" si="6"/>
        <v>30</v>
      </c>
      <c r="X75" s="168">
        <f t="shared" si="7"/>
        <v>30</v>
      </c>
      <c r="Y75" s="14"/>
    </row>
    <row r="76" spans="1:25" ht="13.5" customHeight="1">
      <c r="A76" s="67">
        <v>40323</v>
      </c>
      <c r="B76" s="28">
        <v>492</v>
      </c>
      <c r="C76" s="20" t="s">
        <v>183</v>
      </c>
      <c r="D76" s="20" t="s">
        <v>42</v>
      </c>
      <c r="E76" s="26">
        <v>30</v>
      </c>
      <c r="F76" s="28" t="s">
        <v>1375</v>
      </c>
      <c r="G76" s="37">
        <v>40</v>
      </c>
      <c r="H76" s="150">
        <f t="shared" si="11"/>
        <v>1200</v>
      </c>
      <c r="I76" s="306">
        <v>3.5</v>
      </c>
      <c r="J76" s="155">
        <v>10.18</v>
      </c>
      <c r="K76" s="156">
        <v>1.2</v>
      </c>
      <c r="L76" s="157">
        <v>0.18</v>
      </c>
      <c r="M76" s="153">
        <f t="shared" si="12"/>
        <v>11.379999999999999</v>
      </c>
      <c r="N76" s="166">
        <v>0.33</v>
      </c>
      <c r="O76" s="167">
        <v>0.25</v>
      </c>
      <c r="P76" s="168">
        <v>0.1</v>
      </c>
      <c r="Q76" s="309">
        <f t="shared" si="0"/>
        <v>105</v>
      </c>
      <c r="R76" s="152">
        <f t="shared" si="1"/>
        <v>305.39999999999998</v>
      </c>
      <c r="S76" s="154">
        <f t="shared" si="2"/>
        <v>36</v>
      </c>
      <c r="T76" s="169">
        <f t="shared" si="3"/>
        <v>5.3999999999999995</v>
      </c>
      <c r="U76" s="153">
        <f t="shared" si="4"/>
        <v>341.4</v>
      </c>
      <c r="V76" s="166">
        <f t="shared" si="5"/>
        <v>9.9</v>
      </c>
      <c r="W76" s="167">
        <f t="shared" si="6"/>
        <v>7.5</v>
      </c>
      <c r="X76" s="168">
        <f t="shared" si="7"/>
        <v>3</v>
      </c>
      <c r="Y76" s="14"/>
    </row>
    <row r="77" spans="1:25" ht="13.5" customHeight="1">
      <c r="A77" s="67">
        <v>40323</v>
      </c>
      <c r="B77" s="28">
        <v>493</v>
      </c>
      <c r="C77" s="20" t="s">
        <v>514</v>
      </c>
      <c r="D77" s="20" t="s">
        <v>42</v>
      </c>
      <c r="E77" s="26">
        <v>60</v>
      </c>
      <c r="F77" s="28" t="s">
        <v>1376</v>
      </c>
      <c r="G77" s="37">
        <v>40.5</v>
      </c>
      <c r="H77" s="150">
        <f t="shared" si="11"/>
        <v>2430</v>
      </c>
      <c r="I77" s="306">
        <v>3.5</v>
      </c>
      <c r="J77" s="155">
        <v>5.43</v>
      </c>
      <c r="K77" s="156">
        <v>1.4</v>
      </c>
      <c r="L77" s="157">
        <v>0.21</v>
      </c>
      <c r="M77" s="153">
        <f t="shared" si="12"/>
        <v>6.83</v>
      </c>
      <c r="N77" s="166">
        <v>0.33</v>
      </c>
      <c r="O77" s="167">
        <v>0.1</v>
      </c>
      <c r="P77" s="168">
        <v>0.1</v>
      </c>
      <c r="Q77" s="309">
        <f t="shared" ref="Q77:Q89" si="13">E77*I77</f>
        <v>210</v>
      </c>
      <c r="R77" s="152">
        <f t="shared" ref="R77:R89" si="14">E77*J77</f>
        <v>325.79999999999995</v>
      </c>
      <c r="S77" s="154">
        <f t="shared" ref="S77:S89" si="15">E77*K77</f>
        <v>84</v>
      </c>
      <c r="T77" s="169">
        <f t="shared" ref="T77:T89" si="16">E77*L77</f>
        <v>12.6</v>
      </c>
      <c r="U77" s="153">
        <f t="shared" ref="U77:U89" si="17">E77*M77</f>
        <v>409.8</v>
      </c>
      <c r="V77" s="166">
        <f t="shared" ref="V77:V89" si="18">N77*E77</f>
        <v>19.8</v>
      </c>
      <c r="W77" s="167">
        <f t="shared" ref="W77:W89" si="19">O77*E77</f>
        <v>6</v>
      </c>
      <c r="X77" s="168">
        <f t="shared" ref="X77:X89" si="20">P77*E77</f>
        <v>6</v>
      </c>
      <c r="Y77" s="14"/>
    </row>
    <row r="78" spans="1:25" ht="13.5" customHeight="1">
      <c r="A78" s="67"/>
      <c r="B78" s="28"/>
      <c r="C78" s="20" t="s">
        <v>514</v>
      </c>
      <c r="D78" s="20" t="s">
        <v>42</v>
      </c>
      <c r="E78" s="26">
        <v>25</v>
      </c>
      <c r="F78" s="28" t="s">
        <v>1377</v>
      </c>
      <c r="G78" s="37">
        <v>59.5</v>
      </c>
      <c r="H78" s="150">
        <f t="shared" si="11"/>
        <v>1487.5</v>
      </c>
      <c r="I78" s="306">
        <v>6.5</v>
      </c>
      <c r="J78" s="155">
        <v>13.92</v>
      </c>
      <c r="K78" s="156">
        <v>1.4</v>
      </c>
      <c r="L78" s="157">
        <v>0.21</v>
      </c>
      <c r="M78" s="153">
        <f t="shared" si="12"/>
        <v>15.32</v>
      </c>
      <c r="N78" s="166">
        <v>0.83</v>
      </c>
      <c r="O78" s="167">
        <v>0.1</v>
      </c>
      <c r="P78" s="168">
        <v>0.2</v>
      </c>
      <c r="Q78" s="309">
        <f t="shared" si="13"/>
        <v>162.5</v>
      </c>
      <c r="R78" s="178">
        <f t="shared" si="14"/>
        <v>348</v>
      </c>
      <c r="S78" s="154">
        <f t="shared" si="15"/>
        <v>35</v>
      </c>
      <c r="T78" s="169">
        <f t="shared" si="16"/>
        <v>5.25</v>
      </c>
      <c r="U78" s="179">
        <f t="shared" si="17"/>
        <v>383</v>
      </c>
      <c r="V78" s="166">
        <f t="shared" si="18"/>
        <v>20.75</v>
      </c>
      <c r="W78" s="167">
        <f t="shared" si="19"/>
        <v>2.5</v>
      </c>
      <c r="X78" s="168">
        <f t="shared" si="20"/>
        <v>5</v>
      </c>
      <c r="Y78" s="14"/>
    </row>
    <row r="79" spans="1:25" ht="13.5" customHeight="1">
      <c r="A79" s="67"/>
      <c r="B79" s="28"/>
      <c r="C79" s="20" t="s">
        <v>514</v>
      </c>
      <c r="D79" s="20" t="s">
        <v>42</v>
      </c>
      <c r="E79" s="26">
        <v>25</v>
      </c>
      <c r="F79" s="28" t="s">
        <v>1378</v>
      </c>
      <c r="G79" s="37">
        <v>44</v>
      </c>
      <c r="H79" s="150">
        <f t="shared" si="11"/>
        <v>1100</v>
      </c>
      <c r="I79" s="306">
        <v>0</v>
      </c>
      <c r="J79" s="155">
        <v>0</v>
      </c>
      <c r="K79" s="156">
        <v>0</v>
      </c>
      <c r="L79" s="157">
        <v>0</v>
      </c>
      <c r="M79" s="153">
        <f t="shared" si="12"/>
        <v>0</v>
      </c>
      <c r="N79" s="166">
        <v>0</v>
      </c>
      <c r="O79" s="167">
        <v>0</v>
      </c>
      <c r="P79" s="168">
        <v>0</v>
      </c>
      <c r="Q79" s="309">
        <f t="shared" si="13"/>
        <v>0</v>
      </c>
      <c r="R79" s="152">
        <f t="shared" si="14"/>
        <v>0</v>
      </c>
      <c r="S79" s="154">
        <f t="shared" si="15"/>
        <v>0</v>
      </c>
      <c r="T79" s="169">
        <f t="shared" si="16"/>
        <v>0</v>
      </c>
      <c r="U79" s="153">
        <f t="shared" si="17"/>
        <v>0</v>
      </c>
      <c r="V79" s="166">
        <f t="shared" si="18"/>
        <v>0</v>
      </c>
      <c r="W79" s="167">
        <f t="shared" si="19"/>
        <v>0</v>
      </c>
      <c r="X79" s="168">
        <f t="shared" si="20"/>
        <v>0</v>
      </c>
      <c r="Y79" s="14"/>
    </row>
    <row r="80" spans="1:25" ht="13.5" customHeight="1">
      <c r="A80" s="67"/>
      <c r="B80" s="28"/>
      <c r="C80" s="20" t="s">
        <v>514</v>
      </c>
      <c r="D80" s="20" t="s">
        <v>42</v>
      </c>
      <c r="E80" s="26">
        <v>60</v>
      </c>
      <c r="F80" s="28" t="s">
        <v>1379</v>
      </c>
      <c r="G80" s="37">
        <v>40.5</v>
      </c>
      <c r="H80" s="150">
        <f t="shared" si="11"/>
        <v>2430</v>
      </c>
      <c r="I80" s="306">
        <v>3.5</v>
      </c>
      <c r="J80" s="155">
        <v>5.73</v>
      </c>
      <c r="K80" s="156">
        <v>1.4</v>
      </c>
      <c r="L80" s="157">
        <v>0.21</v>
      </c>
      <c r="M80" s="153">
        <f t="shared" si="12"/>
        <v>7.1300000000000008</v>
      </c>
      <c r="N80" s="166">
        <v>0.33</v>
      </c>
      <c r="O80" s="167">
        <v>0.1</v>
      </c>
      <c r="P80" s="168">
        <v>0.1</v>
      </c>
      <c r="Q80" s="309">
        <f t="shared" si="13"/>
        <v>210</v>
      </c>
      <c r="R80" s="152">
        <f t="shared" si="14"/>
        <v>343.8</v>
      </c>
      <c r="S80" s="154">
        <f t="shared" si="15"/>
        <v>84</v>
      </c>
      <c r="T80" s="169">
        <f t="shared" si="16"/>
        <v>12.6</v>
      </c>
      <c r="U80" s="153">
        <f t="shared" si="17"/>
        <v>427.80000000000007</v>
      </c>
      <c r="V80" s="166">
        <f t="shared" si="18"/>
        <v>19.8</v>
      </c>
      <c r="W80" s="167">
        <f t="shared" si="19"/>
        <v>6</v>
      </c>
      <c r="X80" s="168">
        <f t="shared" si="20"/>
        <v>6</v>
      </c>
      <c r="Y80" s="14"/>
    </row>
    <row r="81" spans="1:25" ht="13.5" customHeight="1">
      <c r="A81" s="67">
        <v>40323</v>
      </c>
      <c r="B81" s="28">
        <v>494</v>
      </c>
      <c r="C81" s="20" t="s">
        <v>1380</v>
      </c>
      <c r="D81" s="20" t="s">
        <v>66</v>
      </c>
      <c r="E81" s="26">
        <v>100</v>
      </c>
      <c r="F81" s="28" t="s">
        <v>1293</v>
      </c>
      <c r="G81" s="37">
        <v>11.5</v>
      </c>
      <c r="H81" s="150">
        <f t="shared" si="11"/>
        <v>1150</v>
      </c>
      <c r="I81" s="306">
        <v>1</v>
      </c>
      <c r="J81" s="155">
        <v>1.26</v>
      </c>
      <c r="K81" s="156">
        <v>1.8</v>
      </c>
      <c r="L81" s="182">
        <v>0.27</v>
      </c>
      <c r="M81" s="153">
        <f t="shared" si="12"/>
        <v>3.06</v>
      </c>
      <c r="N81" s="166">
        <v>0.28999999999999998</v>
      </c>
      <c r="O81" s="167">
        <v>0.1</v>
      </c>
      <c r="P81" s="168">
        <v>0.1</v>
      </c>
      <c r="Q81" s="309">
        <f t="shared" si="13"/>
        <v>100</v>
      </c>
      <c r="R81" s="152">
        <f t="shared" si="14"/>
        <v>126</v>
      </c>
      <c r="S81" s="154">
        <f t="shared" si="15"/>
        <v>180</v>
      </c>
      <c r="T81" s="169">
        <f t="shared" si="16"/>
        <v>27</v>
      </c>
      <c r="U81" s="153">
        <f t="shared" si="17"/>
        <v>306</v>
      </c>
      <c r="V81" s="166">
        <f t="shared" si="18"/>
        <v>28.999999999999996</v>
      </c>
      <c r="W81" s="167">
        <f t="shared" si="19"/>
        <v>10</v>
      </c>
      <c r="X81" s="168">
        <f t="shared" si="20"/>
        <v>10</v>
      </c>
      <c r="Y81" s="14"/>
    </row>
    <row r="82" spans="1:25" ht="13.5" customHeight="1">
      <c r="A82" s="67">
        <v>40323</v>
      </c>
      <c r="B82" s="28">
        <v>495</v>
      </c>
      <c r="C82" s="20" t="s">
        <v>1381</v>
      </c>
      <c r="D82" s="20"/>
      <c r="E82" s="26">
        <v>11</v>
      </c>
      <c r="F82" s="28" t="s">
        <v>1382</v>
      </c>
      <c r="G82" s="37">
        <v>35</v>
      </c>
      <c r="H82" s="150">
        <f t="shared" si="11"/>
        <v>385</v>
      </c>
      <c r="I82" s="307">
        <v>3.5</v>
      </c>
      <c r="J82" s="155">
        <v>10.1</v>
      </c>
      <c r="K82" s="156">
        <v>0.5</v>
      </c>
      <c r="L82" s="182">
        <v>0.08</v>
      </c>
      <c r="M82" s="153">
        <f t="shared" si="12"/>
        <v>10.6</v>
      </c>
      <c r="N82" s="166">
        <v>0.33</v>
      </c>
      <c r="O82" s="167">
        <v>0.25</v>
      </c>
      <c r="P82" s="168">
        <v>0.1</v>
      </c>
      <c r="Q82" s="309">
        <f t="shared" si="13"/>
        <v>38.5</v>
      </c>
      <c r="R82" s="152">
        <f t="shared" si="14"/>
        <v>111.1</v>
      </c>
      <c r="S82" s="154">
        <f t="shared" si="15"/>
        <v>5.5</v>
      </c>
      <c r="T82" s="169">
        <f t="shared" si="16"/>
        <v>0.88</v>
      </c>
      <c r="U82" s="153">
        <f t="shared" si="17"/>
        <v>116.6</v>
      </c>
      <c r="V82" s="166">
        <f t="shared" si="18"/>
        <v>3.6300000000000003</v>
      </c>
      <c r="W82" s="167">
        <f t="shared" si="19"/>
        <v>2.75</v>
      </c>
      <c r="X82" s="168">
        <f t="shared" si="20"/>
        <v>1.1000000000000001</v>
      </c>
      <c r="Y82" s="14"/>
    </row>
    <row r="83" spans="1:25" ht="13.5" customHeight="1">
      <c r="A83" s="67"/>
      <c r="B83" s="28"/>
      <c r="C83" s="20" t="s">
        <v>1381</v>
      </c>
      <c r="D83" s="20"/>
      <c r="E83" s="26">
        <v>1</v>
      </c>
      <c r="F83" s="28" t="s">
        <v>1383</v>
      </c>
      <c r="G83" s="37">
        <v>35</v>
      </c>
      <c r="H83" s="150">
        <f t="shared" si="11"/>
        <v>35</v>
      </c>
      <c r="I83" s="306">
        <v>3.5</v>
      </c>
      <c r="J83" s="155">
        <v>1.54</v>
      </c>
      <c r="K83" s="156">
        <v>0.5</v>
      </c>
      <c r="L83" s="157">
        <v>0.08</v>
      </c>
      <c r="M83" s="153">
        <f t="shared" si="12"/>
        <v>2.04</v>
      </c>
      <c r="N83" s="166">
        <v>0.33</v>
      </c>
      <c r="O83" s="167">
        <v>0.25</v>
      </c>
      <c r="P83" s="168">
        <v>0.1</v>
      </c>
      <c r="Q83" s="309">
        <f t="shared" si="13"/>
        <v>3.5</v>
      </c>
      <c r="R83" s="152">
        <f t="shared" si="14"/>
        <v>1.54</v>
      </c>
      <c r="S83" s="154">
        <f t="shared" si="15"/>
        <v>0.5</v>
      </c>
      <c r="T83" s="169">
        <f t="shared" si="16"/>
        <v>0.08</v>
      </c>
      <c r="U83" s="153">
        <f t="shared" si="17"/>
        <v>2.04</v>
      </c>
      <c r="V83" s="166">
        <f t="shared" si="18"/>
        <v>0.33</v>
      </c>
      <c r="W83" s="167">
        <f t="shared" si="19"/>
        <v>0.25</v>
      </c>
      <c r="X83" s="168">
        <f t="shared" si="20"/>
        <v>0.1</v>
      </c>
      <c r="Y83" s="14"/>
    </row>
    <row r="84" spans="1:25" ht="13.5" customHeight="1">
      <c r="A84" s="67">
        <v>40327</v>
      </c>
      <c r="B84" s="28">
        <v>496</v>
      </c>
      <c r="C84" s="20" t="s">
        <v>960</v>
      </c>
      <c r="D84" s="20" t="s">
        <v>210</v>
      </c>
      <c r="E84" s="26">
        <v>73</v>
      </c>
      <c r="F84" s="28" t="s">
        <v>1384</v>
      </c>
      <c r="G84" s="37">
        <v>12.5</v>
      </c>
      <c r="H84" s="150">
        <f t="shared" si="11"/>
        <v>912.5</v>
      </c>
      <c r="I84" s="306">
        <v>1</v>
      </c>
      <c r="J84" s="155">
        <v>2.77</v>
      </c>
      <c r="K84" s="156">
        <v>0.7</v>
      </c>
      <c r="L84" s="157">
        <v>0.11</v>
      </c>
      <c r="M84" s="153">
        <f t="shared" si="12"/>
        <v>3.4699999999999998</v>
      </c>
      <c r="N84" s="166">
        <v>0.28999999999999998</v>
      </c>
      <c r="O84" s="167">
        <v>0.1</v>
      </c>
      <c r="P84" s="168">
        <v>0.1</v>
      </c>
      <c r="Q84" s="309">
        <f t="shared" si="13"/>
        <v>73</v>
      </c>
      <c r="R84" s="152">
        <f t="shared" si="14"/>
        <v>202.21</v>
      </c>
      <c r="S84" s="154">
        <f t="shared" si="15"/>
        <v>51.099999999999994</v>
      </c>
      <c r="T84" s="169">
        <f t="shared" si="16"/>
        <v>8.0299999999999994</v>
      </c>
      <c r="U84" s="153">
        <f t="shared" si="17"/>
        <v>253.30999999999997</v>
      </c>
      <c r="V84" s="166">
        <f t="shared" si="18"/>
        <v>21.169999999999998</v>
      </c>
      <c r="W84" s="167">
        <f t="shared" si="19"/>
        <v>7.3000000000000007</v>
      </c>
      <c r="X84" s="168">
        <f t="shared" si="20"/>
        <v>7.3000000000000007</v>
      </c>
      <c r="Y84" s="14"/>
    </row>
    <row r="85" spans="1:25" ht="13.5" customHeight="1">
      <c r="A85" s="67">
        <v>40326</v>
      </c>
      <c r="B85" s="28">
        <v>497</v>
      </c>
      <c r="C85" s="20" t="s">
        <v>1323</v>
      </c>
      <c r="D85" s="20" t="s">
        <v>42</v>
      </c>
      <c r="E85" s="26">
        <v>2</v>
      </c>
      <c r="F85" s="28" t="s">
        <v>1385</v>
      </c>
      <c r="G85" s="37">
        <v>46.5</v>
      </c>
      <c r="H85" s="150">
        <f t="shared" si="11"/>
        <v>93</v>
      </c>
      <c r="I85" s="306">
        <v>3.5</v>
      </c>
      <c r="J85" s="155">
        <v>6.8</v>
      </c>
      <c r="K85" s="156">
        <v>7.5</v>
      </c>
      <c r="L85" s="157">
        <v>1.1299999999999999</v>
      </c>
      <c r="M85" s="153">
        <f t="shared" si="12"/>
        <v>14.3</v>
      </c>
      <c r="N85" s="166">
        <v>0.33</v>
      </c>
      <c r="O85" s="167">
        <v>0.25</v>
      </c>
      <c r="P85" s="168">
        <v>0.1</v>
      </c>
      <c r="Q85" s="309">
        <f t="shared" si="13"/>
        <v>7</v>
      </c>
      <c r="R85" s="178">
        <f t="shared" si="14"/>
        <v>13.6</v>
      </c>
      <c r="S85" s="154">
        <f t="shared" si="15"/>
        <v>15</v>
      </c>
      <c r="T85" s="169">
        <f t="shared" si="16"/>
        <v>2.2599999999999998</v>
      </c>
      <c r="U85" s="179">
        <f t="shared" si="17"/>
        <v>28.6</v>
      </c>
      <c r="V85" s="166">
        <f t="shared" si="18"/>
        <v>0.66</v>
      </c>
      <c r="W85" s="167">
        <f t="shared" si="19"/>
        <v>0.5</v>
      </c>
      <c r="X85" s="168">
        <f t="shared" si="20"/>
        <v>0.2</v>
      </c>
      <c r="Y85" s="14"/>
    </row>
    <row r="86" spans="1:25" ht="13.5" customHeight="1">
      <c r="A86" s="67">
        <v>40326</v>
      </c>
      <c r="B86" s="28">
        <v>498</v>
      </c>
      <c r="C86" s="20" t="s">
        <v>167</v>
      </c>
      <c r="D86" s="20" t="s">
        <v>168</v>
      </c>
      <c r="E86" s="26">
        <v>36</v>
      </c>
      <c r="F86" s="28" t="s">
        <v>1386</v>
      </c>
      <c r="G86" s="37">
        <v>55</v>
      </c>
      <c r="H86" s="150">
        <f t="shared" si="11"/>
        <v>1980</v>
      </c>
      <c r="I86" s="306">
        <v>6.5</v>
      </c>
      <c r="J86" s="155">
        <v>12.65</v>
      </c>
      <c r="K86" s="156">
        <v>6</v>
      </c>
      <c r="L86" s="157">
        <v>0.9</v>
      </c>
      <c r="M86" s="153">
        <f t="shared" si="12"/>
        <v>18.649999999999999</v>
      </c>
      <c r="N86" s="166">
        <v>0.83</v>
      </c>
      <c r="O86" s="167">
        <v>0.1</v>
      </c>
      <c r="P86" s="168">
        <v>0.2</v>
      </c>
      <c r="Q86" s="309">
        <f t="shared" si="13"/>
        <v>234</v>
      </c>
      <c r="R86" s="152">
        <f t="shared" si="14"/>
        <v>455.40000000000003</v>
      </c>
      <c r="S86" s="154">
        <f t="shared" si="15"/>
        <v>216</v>
      </c>
      <c r="T86" s="169">
        <f t="shared" si="16"/>
        <v>32.4</v>
      </c>
      <c r="U86" s="153">
        <f t="shared" si="17"/>
        <v>671.4</v>
      </c>
      <c r="V86" s="166">
        <f t="shared" si="18"/>
        <v>29.88</v>
      </c>
      <c r="W86" s="167">
        <f t="shared" si="19"/>
        <v>3.6</v>
      </c>
      <c r="X86" s="168">
        <f t="shared" si="20"/>
        <v>7.2</v>
      </c>
      <c r="Y86" s="14"/>
    </row>
    <row r="87" spans="1:25" ht="13.5" customHeight="1">
      <c r="A87" s="67">
        <v>40329</v>
      </c>
      <c r="B87" s="28">
        <v>499</v>
      </c>
      <c r="C87" s="20" t="s">
        <v>933</v>
      </c>
      <c r="D87" s="20" t="s">
        <v>206</v>
      </c>
      <c r="E87" s="26">
        <v>7</v>
      </c>
      <c r="F87" s="28" t="s">
        <v>1387</v>
      </c>
      <c r="G87" s="37"/>
      <c r="H87" s="150">
        <f t="shared" si="11"/>
        <v>0</v>
      </c>
      <c r="I87" s="306">
        <v>0</v>
      </c>
      <c r="J87" s="155">
        <v>0</v>
      </c>
      <c r="K87" s="156">
        <v>0</v>
      </c>
      <c r="L87" s="157">
        <v>0</v>
      </c>
      <c r="M87" s="153">
        <f t="shared" si="12"/>
        <v>0</v>
      </c>
      <c r="N87" s="166">
        <v>0</v>
      </c>
      <c r="O87" s="167">
        <v>0</v>
      </c>
      <c r="P87" s="168">
        <v>0</v>
      </c>
      <c r="Q87" s="309">
        <f t="shared" si="13"/>
        <v>0</v>
      </c>
      <c r="R87" s="152">
        <f t="shared" si="14"/>
        <v>0</v>
      </c>
      <c r="S87" s="154">
        <f t="shared" si="15"/>
        <v>0</v>
      </c>
      <c r="T87" s="169">
        <f t="shared" si="16"/>
        <v>0</v>
      </c>
      <c r="U87" s="153">
        <f t="shared" si="17"/>
        <v>0</v>
      </c>
      <c r="V87" s="166">
        <f t="shared" si="18"/>
        <v>0</v>
      </c>
      <c r="W87" s="167">
        <f t="shared" si="19"/>
        <v>0</v>
      </c>
      <c r="X87" s="168">
        <f t="shared" si="20"/>
        <v>0</v>
      </c>
      <c r="Y87" s="14"/>
    </row>
    <row r="88" spans="1:25" ht="13.5" customHeight="1">
      <c r="A88" s="67"/>
      <c r="B88" s="28"/>
      <c r="C88" s="20" t="s">
        <v>933</v>
      </c>
      <c r="D88" s="20" t="s">
        <v>206</v>
      </c>
      <c r="E88" s="26">
        <v>5</v>
      </c>
      <c r="F88" s="28" t="s">
        <v>1388</v>
      </c>
      <c r="G88" s="37"/>
      <c r="H88" s="150">
        <f t="shared" si="11"/>
        <v>0</v>
      </c>
      <c r="I88" s="306">
        <v>0</v>
      </c>
      <c r="J88" s="155">
        <v>0</v>
      </c>
      <c r="K88" s="156">
        <v>0</v>
      </c>
      <c r="L88" s="157">
        <v>0</v>
      </c>
      <c r="M88" s="153">
        <f t="shared" si="12"/>
        <v>0</v>
      </c>
      <c r="N88" s="166">
        <v>0</v>
      </c>
      <c r="O88" s="167">
        <v>0</v>
      </c>
      <c r="P88" s="168">
        <v>0</v>
      </c>
      <c r="Q88" s="309">
        <f t="shared" si="13"/>
        <v>0</v>
      </c>
      <c r="R88" s="152">
        <f t="shared" si="14"/>
        <v>0</v>
      </c>
      <c r="S88" s="154">
        <f t="shared" si="15"/>
        <v>0</v>
      </c>
      <c r="T88" s="169">
        <f t="shared" si="16"/>
        <v>0</v>
      </c>
      <c r="U88" s="153">
        <f t="shared" si="17"/>
        <v>0</v>
      </c>
      <c r="V88" s="166">
        <f t="shared" si="18"/>
        <v>0</v>
      </c>
      <c r="W88" s="167">
        <f t="shared" si="19"/>
        <v>0</v>
      </c>
      <c r="X88" s="168">
        <f t="shared" si="20"/>
        <v>0</v>
      </c>
      <c r="Y88" s="14"/>
    </row>
    <row r="89" spans="1:25" ht="13.5" customHeight="1">
      <c r="A89" s="67">
        <v>40329</v>
      </c>
      <c r="B89" s="28">
        <v>500</v>
      </c>
      <c r="C89" s="20" t="s">
        <v>65</v>
      </c>
      <c r="D89" s="20" t="s">
        <v>1751</v>
      </c>
      <c r="E89" s="26">
        <v>32</v>
      </c>
      <c r="F89" s="28" t="s">
        <v>1752</v>
      </c>
      <c r="G89" s="37">
        <v>42</v>
      </c>
      <c r="H89" s="150">
        <f t="shared" si="11"/>
        <v>1344</v>
      </c>
      <c r="I89" s="306">
        <v>5</v>
      </c>
      <c r="J89" s="155">
        <v>2.6</v>
      </c>
      <c r="K89" s="156">
        <v>1.8</v>
      </c>
      <c r="L89" s="157">
        <v>0.27</v>
      </c>
      <c r="M89" s="153">
        <f t="shared" si="12"/>
        <v>4.4000000000000004</v>
      </c>
      <c r="N89" s="166">
        <v>0.83</v>
      </c>
      <c r="O89" s="167">
        <v>0.1</v>
      </c>
      <c r="P89" s="168">
        <v>0.1</v>
      </c>
      <c r="Q89" s="309">
        <f t="shared" si="13"/>
        <v>160</v>
      </c>
      <c r="R89" s="152">
        <f t="shared" si="14"/>
        <v>83.2</v>
      </c>
      <c r="S89" s="154">
        <f t="shared" si="15"/>
        <v>57.6</v>
      </c>
      <c r="T89" s="169">
        <f t="shared" si="16"/>
        <v>8.64</v>
      </c>
      <c r="U89" s="153">
        <f t="shared" si="17"/>
        <v>140.80000000000001</v>
      </c>
      <c r="V89" s="166">
        <f t="shared" si="18"/>
        <v>26.56</v>
      </c>
      <c r="W89" s="167">
        <f t="shared" si="19"/>
        <v>3.2</v>
      </c>
      <c r="X89" s="168">
        <f t="shared" si="20"/>
        <v>3.2</v>
      </c>
      <c r="Y89" s="14"/>
    </row>
    <row r="90" spans="1:25" ht="13.5" customHeight="1" thickBot="1">
      <c r="A90" s="67"/>
      <c r="B90" s="28"/>
      <c r="C90" s="20"/>
      <c r="D90" s="20" t="s">
        <v>66</v>
      </c>
      <c r="E90" s="26">
        <v>48</v>
      </c>
      <c r="F90" s="28" t="s">
        <v>1753</v>
      </c>
      <c r="G90" s="37">
        <v>45</v>
      </c>
      <c r="H90" s="150">
        <v>42</v>
      </c>
      <c r="I90" s="306">
        <v>5</v>
      </c>
      <c r="J90" s="155">
        <v>5.6</v>
      </c>
      <c r="K90" s="156">
        <v>1.8</v>
      </c>
      <c r="L90" s="157">
        <v>0.27</v>
      </c>
      <c r="M90" s="153">
        <f>J90+K90</f>
        <v>7.3999999999999995</v>
      </c>
      <c r="N90" s="166">
        <v>0.83</v>
      </c>
      <c r="O90" s="167">
        <v>0.1</v>
      </c>
      <c r="P90" s="168">
        <v>0.1</v>
      </c>
      <c r="Q90" s="309">
        <f>E90*I90</f>
        <v>240</v>
      </c>
      <c r="R90" s="152">
        <f>E90*J90</f>
        <v>268.79999999999995</v>
      </c>
      <c r="S90" s="154">
        <f>E90*K90</f>
        <v>86.4</v>
      </c>
      <c r="T90" s="169">
        <f>E90*L90</f>
        <v>12.96</v>
      </c>
      <c r="U90" s="153">
        <f>E90*M90</f>
        <v>355.2</v>
      </c>
      <c r="V90" s="166">
        <f>N90*E90</f>
        <v>39.839999999999996</v>
      </c>
      <c r="W90" s="167">
        <f>O90*E90</f>
        <v>4.8000000000000007</v>
      </c>
      <c r="X90" s="168">
        <f>P90*E90</f>
        <v>4.8000000000000007</v>
      </c>
      <c r="Y90" s="14"/>
    </row>
    <row r="91" spans="1:25" ht="20.25" customHeight="1" thickBot="1">
      <c r="A91" s="188"/>
      <c r="B91" s="188"/>
      <c r="C91" s="188"/>
      <c r="D91" s="188"/>
      <c r="E91" s="188"/>
      <c r="F91" s="189" t="s">
        <v>1289</v>
      </c>
      <c r="G91" s="190"/>
      <c r="H91" s="362">
        <f>SUM(H8:H90)</f>
        <v>92412.05</v>
      </c>
      <c r="I91" s="363"/>
      <c r="J91" s="78" t="s">
        <v>36</v>
      </c>
      <c r="K91" s="79"/>
      <c r="L91" s="80"/>
      <c r="M91" s="81"/>
      <c r="N91" s="73"/>
      <c r="O91" s="74"/>
      <c r="P91" s="75"/>
      <c r="Q91" s="312">
        <f t="shared" ref="Q91:X91" si="21">SUM(Q8:Q90)</f>
        <v>9178</v>
      </c>
      <c r="R91" s="98">
        <f t="shared" si="21"/>
        <v>24867.290000000005</v>
      </c>
      <c r="S91" s="99">
        <f t="shared" si="21"/>
        <v>5288.5</v>
      </c>
      <c r="T91" s="100">
        <f t="shared" si="21"/>
        <v>720.11999999999989</v>
      </c>
      <c r="U91" s="101">
        <f t="shared" si="21"/>
        <v>30155.790000000005</v>
      </c>
      <c r="V91" s="73">
        <f t="shared" si="21"/>
        <v>994.76999999999987</v>
      </c>
      <c r="W91" s="88">
        <f t="shared" si="21"/>
        <v>655.55000000000007</v>
      </c>
      <c r="X91" s="89">
        <f t="shared" si="21"/>
        <v>304.3</v>
      </c>
      <c r="Y91" s="32" t="s">
        <v>36</v>
      </c>
    </row>
    <row r="92" spans="1:25" ht="20.25" customHeight="1" thickBot="1">
      <c r="A92" s="32"/>
      <c r="B92" s="32"/>
      <c r="C92" s="32"/>
      <c r="D92" s="32"/>
      <c r="E92" s="32"/>
      <c r="F92" s="189" t="s">
        <v>1289</v>
      </c>
      <c r="G92" s="72"/>
      <c r="H92" s="364">
        <f>H91/7.06</f>
        <v>13089.52549575071</v>
      </c>
      <c r="I92" s="365"/>
      <c r="J92" s="78" t="s">
        <v>407</v>
      </c>
      <c r="K92" s="79"/>
      <c r="L92" s="80"/>
      <c r="M92" s="81"/>
      <c r="N92" s="73"/>
      <c r="O92" s="74"/>
      <c r="P92" s="77"/>
      <c r="Q92" s="313">
        <f t="shared" ref="Q92:X92" si="22">Q91/7.06</f>
        <v>1300</v>
      </c>
      <c r="R92" s="82">
        <f t="shared" si="22"/>
        <v>3522.2790368271963</v>
      </c>
      <c r="S92" s="79">
        <f t="shared" si="22"/>
        <v>749.07932011331445</v>
      </c>
      <c r="T92" s="80">
        <f t="shared" si="22"/>
        <v>101.99999999999999</v>
      </c>
      <c r="U92" s="81">
        <f t="shared" si="22"/>
        <v>4271.3583569405109</v>
      </c>
      <c r="V92" s="73">
        <f t="shared" si="22"/>
        <v>140.90226628895184</v>
      </c>
      <c r="W92" s="88">
        <f t="shared" si="22"/>
        <v>92.854107648725233</v>
      </c>
      <c r="X92" s="89">
        <f t="shared" si="22"/>
        <v>43.101983002832867</v>
      </c>
      <c r="Y92" s="32" t="s">
        <v>407</v>
      </c>
    </row>
  </sheetData>
  <autoFilter ref="A7:S88">
    <filterColumn colId="7"/>
    <filterColumn colId="11"/>
    <filterColumn colId="16"/>
  </autoFilter>
  <mergeCells count="3">
    <mergeCell ref="H91:I91"/>
    <mergeCell ref="H92:I92"/>
    <mergeCell ref="G3:K4"/>
  </mergeCells>
  <pageMargins left="0.19685039370078741" right="0.19685039370078741" top="0.98425196850393704" bottom="0.78740157480314965" header="0" footer="0"/>
  <pageSetup paperSize="5" scale="75" orientation="landscape" horizontalDpi="4294967294" verticalDpi="300" r:id="rId1"/>
  <headerFooter alignWithMargins="0"/>
  <drawing r:id="rId2"/>
</worksheet>
</file>

<file path=xl/worksheets/sheet6.xml><?xml version="1.0" encoding="utf-8"?>
<worksheet xmlns="http://schemas.openxmlformats.org/spreadsheetml/2006/main" xmlns:r="http://schemas.openxmlformats.org/officeDocument/2006/relationships">
  <sheetPr>
    <tabColor theme="9" tint="-0.249977111117893"/>
  </sheetPr>
  <dimension ref="A1:Y119"/>
  <sheetViews>
    <sheetView topLeftCell="G1" workbookViewId="0">
      <pane ySplit="7" topLeftCell="A113" activePane="bottomLeft" state="frozen"/>
      <selection pane="bottomLeft" activeCell="X118" sqref="X118"/>
    </sheetView>
  </sheetViews>
  <sheetFormatPr baseColWidth="10" defaultRowHeight="12.75"/>
  <cols>
    <col min="1" max="1" width="7.42578125" customWidth="1"/>
    <col min="2" max="2" width="6" customWidth="1"/>
    <col min="3" max="3" width="13.7109375" customWidth="1"/>
    <col min="4" max="4" width="12" customWidth="1"/>
    <col min="5" max="5" width="5.140625" customWidth="1"/>
    <col min="6" max="6" width="39.5703125" customWidth="1"/>
    <col min="7" max="7" width="6.5703125" customWidth="1"/>
    <col min="8" max="8" width="8.28515625" customWidth="1"/>
    <col min="9" max="9" width="5.85546875" customWidth="1"/>
    <col min="10" max="10" width="6.42578125" customWidth="1"/>
    <col min="11" max="11" width="5.85546875" customWidth="1"/>
    <col min="12" max="12" width="5.7109375" customWidth="1"/>
    <col min="13" max="13" width="7.140625" customWidth="1"/>
    <col min="14" max="16" width="5.28515625" customWidth="1"/>
    <col min="17" max="17" width="9" customWidth="1"/>
    <col min="18" max="18" width="9.42578125" customWidth="1"/>
    <col min="19" max="19" width="8.85546875" customWidth="1"/>
    <col min="20" max="20" width="8.42578125" customWidth="1"/>
    <col min="21" max="21" width="9.5703125" customWidth="1"/>
    <col min="22" max="23" width="7.7109375" customWidth="1"/>
    <col min="24" max="24" width="7.85546875" customWidth="1"/>
    <col min="25" max="25" width="8" customWidth="1"/>
    <col min="26" max="26" width="13.7109375" customWidth="1"/>
  </cols>
  <sheetData>
    <row r="1" spans="1:25" ht="13.5">
      <c r="A1" s="261" t="s">
        <v>12</v>
      </c>
      <c r="B1" s="3"/>
      <c r="C1" s="3"/>
      <c r="N1" s="5"/>
    </row>
    <row r="2" spans="1:25" ht="13.5">
      <c r="A2" s="261" t="s">
        <v>13</v>
      </c>
      <c r="B2" s="3"/>
      <c r="C2" s="3"/>
      <c r="D2" s="2"/>
      <c r="N2" s="5"/>
      <c r="P2" s="4"/>
      <c r="Q2" s="4"/>
      <c r="R2" s="4"/>
      <c r="S2" s="4"/>
    </row>
    <row r="3" spans="1:25" ht="12.75" customHeight="1">
      <c r="A3" s="261" t="s">
        <v>14</v>
      </c>
      <c r="B3" s="3"/>
      <c r="C3" s="3"/>
      <c r="D3" s="2"/>
      <c r="E3" s="260"/>
      <c r="F3" s="260"/>
      <c r="G3" s="369" t="s">
        <v>146</v>
      </c>
      <c r="H3" s="369"/>
      <c r="I3" s="369"/>
      <c r="J3" s="369"/>
      <c r="K3" s="369"/>
      <c r="L3" s="260"/>
      <c r="M3" s="260"/>
      <c r="N3" s="5"/>
      <c r="P3" s="4"/>
      <c r="Q3" s="4"/>
      <c r="R3" s="4"/>
      <c r="S3" s="4"/>
    </row>
    <row r="4" spans="1:25" ht="12.75" customHeight="1">
      <c r="A4" s="261" t="s">
        <v>34</v>
      </c>
      <c r="B4" s="3"/>
      <c r="C4" s="3"/>
      <c r="D4" s="2" t="s">
        <v>16</v>
      </c>
      <c r="E4" s="260"/>
      <c r="F4" s="260"/>
      <c r="G4" s="369"/>
      <c r="H4" s="369"/>
      <c r="I4" s="369"/>
      <c r="J4" s="369"/>
      <c r="K4" s="369"/>
      <c r="L4" s="260"/>
      <c r="M4" s="260"/>
      <c r="N4" s="5"/>
      <c r="P4" s="4"/>
      <c r="Q4" s="4"/>
      <c r="R4" s="4"/>
      <c r="S4" s="4"/>
    </row>
    <row r="5" spans="1:25" ht="12.75" customHeight="1">
      <c r="A5" s="261" t="s">
        <v>15</v>
      </c>
      <c r="B5" s="3"/>
      <c r="C5" s="3"/>
      <c r="D5" s="2"/>
      <c r="E5" s="6"/>
      <c r="F5" s="6"/>
      <c r="G5" s="6"/>
      <c r="H5" s="6"/>
      <c r="I5" s="6"/>
      <c r="N5" s="5"/>
      <c r="P5" s="4"/>
      <c r="Q5" s="4"/>
      <c r="R5" s="4"/>
      <c r="S5" s="4"/>
    </row>
    <row r="6" spans="1:25" ht="21" customHeight="1" thickBot="1">
      <c r="A6" s="255" t="s">
        <v>1744</v>
      </c>
      <c r="D6" s="1"/>
      <c r="N6" s="5"/>
    </row>
    <row r="7" spans="1:25" s="13" customFormat="1" ht="26.25" customHeight="1" thickBot="1">
      <c r="A7" s="9" t="s">
        <v>0</v>
      </c>
      <c r="B7" s="10" t="s">
        <v>1</v>
      </c>
      <c r="C7" s="9" t="s">
        <v>19</v>
      </c>
      <c r="D7" s="33" t="s">
        <v>18</v>
      </c>
      <c r="E7" s="12" t="s">
        <v>9</v>
      </c>
      <c r="F7" s="9" t="s">
        <v>2</v>
      </c>
      <c r="G7" s="8" t="s">
        <v>20</v>
      </c>
      <c r="H7" s="8" t="s">
        <v>405</v>
      </c>
      <c r="I7" s="305" t="s">
        <v>3</v>
      </c>
      <c r="J7" s="31" t="s">
        <v>10</v>
      </c>
      <c r="K7" s="61" t="s">
        <v>11</v>
      </c>
      <c r="L7" s="62" t="s">
        <v>29</v>
      </c>
      <c r="M7" s="16" t="s">
        <v>6</v>
      </c>
      <c r="N7" s="63" t="s">
        <v>147</v>
      </c>
      <c r="O7" s="64" t="s">
        <v>148</v>
      </c>
      <c r="P7" s="65" t="s">
        <v>149</v>
      </c>
      <c r="Q7" s="311" t="s">
        <v>8</v>
      </c>
      <c r="R7" s="31" t="s">
        <v>4</v>
      </c>
      <c r="S7" s="61" t="s">
        <v>5</v>
      </c>
      <c r="T7" s="62" t="s">
        <v>31</v>
      </c>
      <c r="U7" s="9" t="s">
        <v>7</v>
      </c>
      <c r="V7" s="63" t="s">
        <v>150</v>
      </c>
      <c r="W7" s="64" t="s">
        <v>151</v>
      </c>
      <c r="X7" s="65" t="s">
        <v>152</v>
      </c>
      <c r="Y7" s="9" t="s">
        <v>22</v>
      </c>
    </row>
    <row r="8" spans="1:25" s="7" customFormat="1" ht="12" customHeight="1">
      <c r="A8" s="67">
        <v>40330</v>
      </c>
      <c r="B8" s="28">
        <v>501</v>
      </c>
      <c r="C8" s="20" t="s">
        <v>1389</v>
      </c>
      <c r="D8" s="20" t="s">
        <v>1373</v>
      </c>
      <c r="E8" s="26">
        <v>2</v>
      </c>
      <c r="F8" s="28" t="s">
        <v>1390</v>
      </c>
      <c r="G8" s="37">
        <v>5</v>
      </c>
      <c r="H8" s="194">
        <f>E8*G8</f>
        <v>10</v>
      </c>
      <c r="I8" s="306">
        <v>0.75</v>
      </c>
      <c r="J8" s="155">
        <v>0.6</v>
      </c>
      <c r="K8" s="177">
        <v>2.48</v>
      </c>
      <c r="L8" s="157">
        <v>0.37</v>
      </c>
      <c r="M8" s="158">
        <f>J8+K8</f>
        <v>3.08</v>
      </c>
      <c r="N8" s="159">
        <v>0</v>
      </c>
      <c r="O8" s="160">
        <v>0.1</v>
      </c>
      <c r="P8" s="161">
        <v>0.25</v>
      </c>
      <c r="Q8" s="308">
        <f t="shared" ref="Q8:Q74" si="0">E8*I8</f>
        <v>1.5</v>
      </c>
      <c r="R8" s="162">
        <f t="shared" ref="R8:R74" si="1">E8*J8</f>
        <v>1.2</v>
      </c>
      <c r="S8" s="163">
        <f t="shared" ref="S8:S74" si="2">E8*K8</f>
        <v>4.96</v>
      </c>
      <c r="T8" s="164">
        <f t="shared" ref="T8:T74" si="3">E8*L8</f>
        <v>0.74</v>
      </c>
      <c r="U8" s="158">
        <f t="shared" ref="U8:U74" si="4">E8*M8</f>
        <v>6.16</v>
      </c>
      <c r="V8" s="159">
        <f t="shared" ref="V8:V74" si="5">N8*E8</f>
        <v>0</v>
      </c>
      <c r="W8" s="160">
        <f t="shared" ref="W8:W74" si="6">O8*E8</f>
        <v>0.2</v>
      </c>
      <c r="X8" s="161">
        <f t="shared" ref="X8:X74" si="7">P8*E8</f>
        <v>0.5</v>
      </c>
      <c r="Y8" s="14"/>
    </row>
    <row r="9" spans="1:25" s="7" customFormat="1" ht="12" customHeight="1">
      <c r="A9" s="67">
        <v>40330</v>
      </c>
      <c r="B9" s="28">
        <v>502</v>
      </c>
      <c r="C9" s="20" t="s">
        <v>212</v>
      </c>
      <c r="D9" s="20" t="s">
        <v>213</v>
      </c>
      <c r="E9" s="26">
        <v>12</v>
      </c>
      <c r="F9" s="28" t="s">
        <v>1391</v>
      </c>
      <c r="G9" s="37">
        <v>80</v>
      </c>
      <c r="H9" s="150">
        <f t="shared" ref="H9:H70" si="8">E9*G9</f>
        <v>960</v>
      </c>
      <c r="I9" s="306">
        <v>8.5</v>
      </c>
      <c r="J9" s="155">
        <v>14.75</v>
      </c>
      <c r="K9" s="177">
        <v>3.5</v>
      </c>
      <c r="L9" s="157">
        <v>0.53</v>
      </c>
      <c r="M9" s="165">
        <f>J9+K9</f>
        <v>18.25</v>
      </c>
      <c r="N9" s="166">
        <v>1.1299999999999999</v>
      </c>
      <c r="O9" s="167">
        <v>1</v>
      </c>
      <c r="P9" s="168">
        <v>0</v>
      </c>
      <c r="Q9" s="309">
        <f t="shared" si="0"/>
        <v>102</v>
      </c>
      <c r="R9" s="152">
        <f t="shared" si="1"/>
        <v>177</v>
      </c>
      <c r="S9" s="154">
        <f t="shared" si="2"/>
        <v>42</v>
      </c>
      <c r="T9" s="169">
        <f t="shared" si="3"/>
        <v>6.36</v>
      </c>
      <c r="U9" s="165">
        <f t="shared" si="4"/>
        <v>219</v>
      </c>
      <c r="V9" s="166">
        <f t="shared" si="5"/>
        <v>13.559999999999999</v>
      </c>
      <c r="W9" s="167">
        <f t="shared" si="6"/>
        <v>12</v>
      </c>
      <c r="X9" s="168">
        <f t="shared" si="7"/>
        <v>0</v>
      </c>
      <c r="Y9" s="14"/>
    </row>
    <row r="10" spans="1:25" s="7" customFormat="1" ht="12" customHeight="1">
      <c r="A10" s="67"/>
      <c r="B10" s="28"/>
      <c r="C10" s="20" t="s">
        <v>212</v>
      </c>
      <c r="D10" s="20" t="s">
        <v>213</v>
      </c>
      <c r="E10" s="26">
        <v>12</v>
      </c>
      <c r="F10" s="28" t="s">
        <v>1392</v>
      </c>
      <c r="G10" s="37">
        <v>85</v>
      </c>
      <c r="H10" s="150">
        <f t="shared" si="8"/>
        <v>1020</v>
      </c>
      <c r="I10" s="306">
        <v>8.5</v>
      </c>
      <c r="J10" s="155">
        <v>16.45</v>
      </c>
      <c r="K10" s="177">
        <v>3.5</v>
      </c>
      <c r="L10" s="157">
        <v>0.53</v>
      </c>
      <c r="M10" s="165">
        <f t="shared" ref="M10:M71" si="9">J10+K10</f>
        <v>19.95</v>
      </c>
      <c r="N10" s="166">
        <v>1.1299999999999999</v>
      </c>
      <c r="O10" s="167">
        <v>1</v>
      </c>
      <c r="P10" s="168">
        <v>0</v>
      </c>
      <c r="Q10" s="309">
        <f t="shared" si="0"/>
        <v>102</v>
      </c>
      <c r="R10" s="152">
        <f t="shared" si="1"/>
        <v>197.39999999999998</v>
      </c>
      <c r="S10" s="154">
        <f t="shared" si="2"/>
        <v>42</v>
      </c>
      <c r="T10" s="169">
        <f t="shared" si="3"/>
        <v>6.36</v>
      </c>
      <c r="U10" s="153">
        <f t="shared" si="4"/>
        <v>239.39999999999998</v>
      </c>
      <c r="V10" s="166">
        <f t="shared" si="5"/>
        <v>13.559999999999999</v>
      </c>
      <c r="W10" s="167">
        <f t="shared" si="6"/>
        <v>12</v>
      </c>
      <c r="X10" s="168">
        <f t="shared" si="7"/>
        <v>0</v>
      </c>
      <c r="Y10" s="14"/>
    </row>
    <row r="11" spans="1:25" s="7" customFormat="1" ht="12" customHeight="1">
      <c r="A11" s="67">
        <v>40330</v>
      </c>
      <c r="B11" s="28">
        <v>503</v>
      </c>
      <c r="C11" s="20" t="s">
        <v>1393</v>
      </c>
      <c r="D11" s="20" t="s">
        <v>1394</v>
      </c>
      <c r="E11" s="26">
        <v>24</v>
      </c>
      <c r="F11" s="28" t="s">
        <v>1395</v>
      </c>
      <c r="G11" s="37">
        <v>69</v>
      </c>
      <c r="H11" s="150">
        <f t="shared" si="8"/>
        <v>1656</v>
      </c>
      <c r="I11" s="306">
        <v>1.5</v>
      </c>
      <c r="J11" s="155">
        <v>22.71</v>
      </c>
      <c r="K11" s="177">
        <v>0.7</v>
      </c>
      <c r="L11" s="157">
        <v>0.11</v>
      </c>
      <c r="M11" s="165">
        <f t="shared" si="9"/>
        <v>23.41</v>
      </c>
      <c r="N11" s="166">
        <v>0.21</v>
      </c>
      <c r="O11" s="167">
        <v>0.1</v>
      </c>
      <c r="P11" s="168">
        <v>0.1</v>
      </c>
      <c r="Q11" s="309">
        <f t="shared" si="0"/>
        <v>36</v>
      </c>
      <c r="R11" s="152">
        <f t="shared" si="1"/>
        <v>545.04</v>
      </c>
      <c r="S11" s="154">
        <f t="shared" si="2"/>
        <v>16.799999999999997</v>
      </c>
      <c r="T11" s="169">
        <f t="shared" si="3"/>
        <v>2.64</v>
      </c>
      <c r="U11" s="153">
        <f t="shared" si="4"/>
        <v>561.84</v>
      </c>
      <c r="V11" s="166">
        <f t="shared" si="5"/>
        <v>5.04</v>
      </c>
      <c r="W11" s="167">
        <f t="shared" si="6"/>
        <v>2.4000000000000004</v>
      </c>
      <c r="X11" s="168">
        <f t="shared" si="7"/>
        <v>2.4000000000000004</v>
      </c>
      <c r="Y11" s="14"/>
    </row>
    <row r="12" spans="1:25" s="7" customFormat="1" ht="12" customHeight="1">
      <c r="A12" s="67"/>
      <c r="B12" s="28"/>
      <c r="C12" s="20" t="s">
        <v>1393</v>
      </c>
      <c r="D12" s="20" t="s">
        <v>1394</v>
      </c>
      <c r="E12" s="26">
        <v>6</v>
      </c>
      <c r="F12" s="28" t="s">
        <v>1396</v>
      </c>
      <c r="G12" s="37">
        <v>142.5</v>
      </c>
      <c r="H12" s="150">
        <f t="shared" si="8"/>
        <v>855</v>
      </c>
      <c r="I12" s="306">
        <v>8</v>
      </c>
      <c r="J12" s="155">
        <v>39.6</v>
      </c>
      <c r="K12" s="177">
        <v>0.7</v>
      </c>
      <c r="L12" s="157">
        <v>0.11</v>
      </c>
      <c r="M12" s="165">
        <f t="shared" si="9"/>
        <v>40.300000000000004</v>
      </c>
      <c r="N12" s="166">
        <v>1.25</v>
      </c>
      <c r="O12" s="167">
        <v>0.1</v>
      </c>
      <c r="P12" s="168">
        <v>0.1</v>
      </c>
      <c r="Q12" s="309">
        <f t="shared" si="0"/>
        <v>48</v>
      </c>
      <c r="R12" s="152">
        <f t="shared" si="1"/>
        <v>237.60000000000002</v>
      </c>
      <c r="S12" s="154">
        <f t="shared" si="2"/>
        <v>4.1999999999999993</v>
      </c>
      <c r="T12" s="169">
        <f t="shared" si="3"/>
        <v>0.66</v>
      </c>
      <c r="U12" s="153">
        <f t="shared" si="4"/>
        <v>241.8</v>
      </c>
      <c r="V12" s="166">
        <f t="shared" si="5"/>
        <v>7.5</v>
      </c>
      <c r="W12" s="167">
        <f t="shared" si="6"/>
        <v>0.60000000000000009</v>
      </c>
      <c r="X12" s="168">
        <f t="shared" si="7"/>
        <v>0.60000000000000009</v>
      </c>
      <c r="Y12" s="14"/>
    </row>
    <row r="13" spans="1:25" s="7" customFormat="1" ht="12" customHeight="1">
      <c r="A13" s="67"/>
      <c r="B13" s="28"/>
      <c r="C13" s="20" t="s">
        <v>1393</v>
      </c>
      <c r="D13" s="20" t="s">
        <v>1394</v>
      </c>
      <c r="E13" s="26">
        <v>6</v>
      </c>
      <c r="F13" s="28" t="s">
        <v>1397</v>
      </c>
      <c r="G13" s="37">
        <v>206.5</v>
      </c>
      <c r="H13" s="150">
        <f t="shared" si="8"/>
        <v>1239</v>
      </c>
      <c r="I13" s="306">
        <v>8</v>
      </c>
      <c r="J13" s="155">
        <v>59.36</v>
      </c>
      <c r="K13" s="177">
        <v>0.7</v>
      </c>
      <c r="L13" s="157">
        <v>0.11</v>
      </c>
      <c r="M13" s="165">
        <f t="shared" si="9"/>
        <v>60.06</v>
      </c>
      <c r="N13" s="166">
        <v>1.67</v>
      </c>
      <c r="O13" s="167">
        <v>0.1</v>
      </c>
      <c r="P13" s="168">
        <v>0.1</v>
      </c>
      <c r="Q13" s="309">
        <f t="shared" si="0"/>
        <v>48</v>
      </c>
      <c r="R13" s="152">
        <f t="shared" si="1"/>
        <v>356.15999999999997</v>
      </c>
      <c r="S13" s="154">
        <f t="shared" si="2"/>
        <v>4.1999999999999993</v>
      </c>
      <c r="T13" s="169">
        <f t="shared" si="3"/>
        <v>0.66</v>
      </c>
      <c r="U13" s="153">
        <f t="shared" si="4"/>
        <v>360.36</v>
      </c>
      <c r="V13" s="166">
        <f t="shared" si="5"/>
        <v>10.02</v>
      </c>
      <c r="W13" s="167">
        <f t="shared" si="6"/>
        <v>0.60000000000000009</v>
      </c>
      <c r="X13" s="168">
        <f t="shared" si="7"/>
        <v>0.60000000000000009</v>
      </c>
      <c r="Y13" s="14"/>
    </row>
    <row r="14" spans="1:25" s="7" customFormat="1" ht="12" customHeight="1">
      <c r="A14" s="67"/>
      <c r="B14" s="28"/>
      <c r="C14" s="20" t="s">
        <v>1393</v>
      </c>
      <c r="D14" s="20" t="s">
        <v>1394</v>
      </c>
      <c r="E14" s="26">
        <v>6</v>
      </c>
      <c r="F14" s="28" t="s">
        <v>1398</v>
      </c>
      <c r="G14" s="37">
        <v>88.8</v>
      </c>
      <c r="H14" s="150">
        <f t="shared" si="8"/>
        <v>532.79999999999995</v>
      </c>
      <c r="I14" s="306">
        <v>8.5</v>
      </c>
      <c r="J14" s="155">
        <v>24.9</v>
      </c>
      <c r="K14" s="156">
        <v>0.7</v>
      </c>
      <c r="L14" s="157">
        <v>0.11</v>
      </c>
      <c r="M14" s="165">
        <f t="shared" si="9"/>
        <v>25.599999999999998</v>
      </c>
      <c r="N14" s="166">
        <v>0.67</v>
      </c>
      <c r="O14" s="167">
        <v>0.1</v>
      </c>
      <c r="P14" s="168">
        <v>0.1</v>
      </c>
      <c r="Q14" s="309">
        <f>E14*I14</f>
        <v>51</v>
      </c>
      <c r="R14" s="152">
        <f t="shared" si="1"/>
        <v>149.39999999999998</v>
      </c>
      <c r="S14" s="154">
        <f t="shared" si="2"/>
        <v>4.1999999999999993</v>
      </c>
      <c r="T14" s="169">
        <f t="shared" si="3"/>
        <v>0.66</v>
      </c>
      <c r="U14" s="153">
        <f t="shared" si="4"/>
        <v>153.6</v>
      </c>
      <c r="V14" s="166">
        <f t="shared" si="5"/>
        <v>4.0200000000000005</v>
      </c>
      <c r="W14" s="167">
        <f t="shared" si="6"/>
        <v>0.60000000000000009</v>
      </c>
      <c r="X14" s="168">
        <f t="shared" si="7"/>
        <v>0.60000000000000009</v>
      </c>
      <c r="Y14" s="14"/>
    </row>
    <row r="15" spans="1:25" s="7" customFormat="1" ht="12" customHeight="1">
      <c r="A15" s="67">
        <v>40330</v>
      </c>
      <c r="B15" s="28">
        <v>504</v>
      </c>
      <c r="C15" s="20" t="s">
        <v>167</v>
      </c>
      <c r="D15" s="20" t="s">
        <v>168</v>
      </c>
      <c r="E15" s="26">
        <f>300+10+50</f>
        <v>360</v>
      </c>
      <c r="F15" s="28" t="s">
        <v>1399</v>
      </c>
      <c r="G15" s="37">
        <v>13.5</v>
      </c>
      <c r="H15" s="150">
        <f t="shared" si="8"/>
        <v>4860</v>
      </c>
      <c r="I15" s="306">
        <v>1</v>
      </c>
      <c r="J15" s="155">
        <v>2.5</v>
      </c>
      <c r="K15" s="156">
        <v>2.5</v>
      </c>
      <c r="L15" s="157">
        <v>0.38</v>
      </c>
      <c r="M15" s="165">
        <f t="shared" si="9"/>
        <v>5</v>
      </c>
      <c r="N15" s="166">
        <v>0.33</v>
      </c>
      <c r="O15" s="167">
        <v>0.1</v>
      </c>
      <c r="P15" s="168">
        <v>0.1</v>
      </c>
      <c r="Q15" s="309">
        <f t="shared" si="0"/>
        <v>360</v>
      </c>
      <c r="R15" s="152">
        <f t="shared" si="1"/>
        <v>900</v>
      </c>
      <c r="S15" s="154">
        <f t="shared" si="2"/>
        <v>900</v>
      </c>
      <c r="T15" s="169">
        <f t="shared" si="3"/>
        <v>136.80000000000001</v>
      </c>
      <c r="U15" s="153">
        <f t="shared" si="4"/>
        <v>1800</v>
      </c>
      <c r="V15" s="166">
        <f t="shared" si="5"/>
        <v>118.80000000000001</v>
      </c>
      <c r="W15" s="167">
        <f t="shared" si="6"/>
        <v>36</v>
      </c>
      <c r="X15" s="168">
        <f t="shared" si="7"/>
        <v>36</v>
      </c>
      <c r="Y15" s="14"/>
    </row>
    <row r="16" spans="1:25" s="7" customFormat="1" ht="12" customHeight="1">
      <c r="A16" s="67"/>
      <c r="B16" s="28"/>
      <c r="C16" s="20" t="s">
        <v>167</v>
      </c>
      <c r="D16" s="20" t="s">
        <v>168</v>
      </c>
      <c r="E16" s="26">
        <f>300+10+50</f>
        <v>360</v>
      </c>
      <c r="F16" s="28" t="s">
        <v>1400</v>
      </c>
      <c r="G16" s="37">
        <v>5.5</v>
      </c>
      <c r="H16" s="150">
        <f t="shared" si="8"/>
        <v>1980</v>
      </c>
      <c r="I16" s="306">
        <v>0.5</v>
      </c>
      <c r="J16" s="155">
        <v>0.49</v>
      </c>
      <c r="K16" s="156">
        <v>1.8</v>
      </c>
      <c r="L16" s="182">
        <v>0.27</v>
      </c>
      <c r="M16" s="165">
        <f t="shared" si="9"/>
        <v>2.29</v>
      </c>
      <c r="N16" s="166">
        <v>0</v>
      </c>
      <c r="O16" s="167">
        <v>0.05</v>
      </c>
      <c r="P16" s="168">
        <v>0.05</v>
      </c>
      <c r="Q16" s="309">
        <f t="shared" si="0"/>
        <v>180</v>
      </c>
      <c r="R16" s="152">
        <f t="shared" si="1"/>
        <v>176.4</v>
      </c>
      <c r="S16" s="154">
        <f t="shared" si="2"/>
        <v>648</v>
      </c>
      <c r="T16" s="183">
        <f t="shared" si="3"/>
        <v>97.2</v>
      </c>
      <c r="U16" s="153">
        <f t="shared" si="4"/>
        <v>824.4</v>
      </c>
      <c r="V16" s="166">
        <f t="shared" si="5"/>
        <v>0</v>
      </c>
      <c r="W16" s="167">
        <f t="shared" si="6"/>
        <v>18</v>
      </c>
      <c r="X16" s="168">
        <f t="shared" si="7"/>
        <v>18</v>
      </c>
      <c r="Y16" s="14"/>
    </row>
    <row r="17" spans="1:25" s="7" customFormat="1" ht="12" customHeight="1">
      <c r="A17" s="67">
        <v>40331</v>
      </c>
      <c r="B17" s="28">
        <v>505</v>
      </c>
      <c r="C17" s="20" t="s">
        <v>1167</v>
      </c>
      <c r="D17" s="20" t="s">
        <v>1167</v>
      </c>
      <c r="E17" s="26">
        <v>5</v>
      </c>
      <c r="F17" s="28" t="s">
        <v>1401</v>
      </c>
      <c r="G17" s="37">
        <v>50</v>
      </c>
      <c r="H17" s="150">
        <f t="shared" si="8"/>
        <v>250</v>
      </c>
      <c r="I17" s="306">
        <v>6</v>
      </c>
      <c r="J17" s="155">
        <v>11.68</v>
      </c>
      <c r="K17" s="156">
        <v>2</v>
      </c>
      <c r="L17" s="157">
        <v>0.3</v>
      </c>
      <c r="M17" s="165">
        <f t="shared" si="9"/>
        <v>13.68</v>
      </c>
      <c r="N17" s="166">
        <v>0.42</v>
      </c>
      <c r="O17" s="167">
        <v>0.1</v>
      </c>
      <c r="P17" s="168">
        <v>0.1</v>
      </c>
      <c r="Q17" s="309">
        <f t="shared" si="0"/>
        <v>30</v>
      </c>
      <c r="R17" s="152">
        <f t="shared" si="1"/>
        <v>58.4</v>
      </c>
      <c r="S17" s="154">
        <f t="shared" si="2"/>
        <v>10</v>
      </c>
      <c r="T17" s="169">
        <f t="shared" si="3"/>
        <v>1.5</v>
      </c>
      <c r="U17" s="153">
        <f t="shared" si="4"/>
        <v>68.400000000000006</v>
      </c>
      <c r="V17" s="166">
        <f t="shared" si="5"/>
        <v>2.1</v>
      </c>
      <c r="W17" s="167">
        <f t="shared" si="6"/>
        <v>0.5</v>
      </c>
      <c r="X17" s="168">
        <f t="shared" si="7"/>
        <v>0.5</v>
      </c>
      <c r="Y17" s="14"/>
    </row>
    <row r="18" spans="1:25" s="7" customFormat="1" ht="12" customHeight="1">
      <c r="A18" s="67"/>
      <c r="B18" s="28"/>
      <c r="C18" s="20" t="s">
        <v>1167</v>
      </c>
      <c r="D18" s="20" t="s">
        <v>1167</v>
      </c>
      <c r="E18" s="26">
        <v>5</v>
      </c>
      <c r="F18" s="28" t="s">
        <v>1402</v>
      </c>
      <c r="G18" s="37">
        <v>50</v>
      </c>
      <c r="H18" s="150">
        <f t="shared" si="8"/>
        <v>250</v>
      </c>
      <c r="I18" s="306">
        <v>6</v>
      </c>
      <c r="J18" s="155">
        <v>11.68</v>
      </c>
      <c r="K18" s="156">
        <v>2</v>
      </c>
      <c r="L18" s="157">
        <v>0.3</v>
      </c>
      <c r="M18" s="165">
        <f>J18+K18</f>
        <v>13.68</v>
      </c>
      <c r="N18" s="166">
        <v>0.42</v>
      </c>
      <c r="O18" s="167">
        <v>0.1</v>
      </c>
      <c r="P18" s="168">
        <v>0.1</v>
      </c>
      <c r="Q18" s="309">
        <f t="shared" si="0"/>
        <v>30</v>
      </c>
      <c r="R18" s="152">
        <f t="shared" si="1"/>
        <v>58.4</v>
      </c>
      <c r="S18" s="154">
        <f t="shared" si="2"/>
        <v>10</v>
      </c>
      <c r="T18" s="169">
        <f t="shared" si="3"/>
        <v>1.5</v>
      </c>
      <c r="U18" s="153">
        <f t="shared" si="4"/>
        <v>68.400000000000006</v>
      </c>
      <c r="V18" s="166">
        <f t="shared" si="5"/>
        <v>2.1</v>
      </c>
      <c r="W18" s="167">
        <f t="shared" si="6"/>
        <v>0.5</v>
      </c>
      <c r="X18" s="168">
        <f t="shared" si="7"/>
        <v>0.5</v>
      </c>
      <c r="Y18" s="14"/>
    </row>
    <row r="19" spans="1:25" s="7" customFormat="1" ht="12" customHeight="1">
      <c r="A19" s="67">
        <v>40333</v>
      </c>
      <c r="B19" s="28">
        <v>506</v>
      </c>
      <c r="C19" s="20" t="s">
        <v>514</v>
      </c>
      <c r="D19" s="20" t="s">
        <v>42</v>
      </c>
      <c r="E19" s="26">
        <v>22</v>
      </c>
      <c r="F19" s="28" t="s">
        <v>1403</v>
      </c>
      <c r="G19" s="37">
        <v>72.599999999999994</v>
      </c>
      <c r="H19" s="150">
        <f t="shared" si="8"/>
        <v>1597.1999999999998</v>
      </c>
      <c r="I19" s="306">
        <v>6.5</v>
      </c>
      <c r="J19" s="155">
        <v>30.36</v>
      </c>
      <c r="K19" s="156">
        <v>2</v>
      </c>
      <c r="L19" s="157">
        <v>0.3</v>
      </c>
      <c r="M19" s="165">
        <f t="shared" si="9"/>
        <v>32.36</v>
      </c>
      <c r="N19" s="166">
        <v>0.57999999999999996</v>
      </c>
      <c r="O19" s="167">
        <v>0.1</v>
      </c>
      <c r="P19" s="168">
        <v>0.1</v>
      </c>
      <c r="Q19" s="309">
        <f t="shared" si="0"/>
        <v>143</v>
      </c>
      <c r="R19" s="152">
        <f t="shared" si="1"/>
        <v>667.92</v>
      </c>
      <c r="S19" s="154">
        <f t="shared" si="2"/>
        <v>44</v>
      </c>
      <c r="T19" s="169">
        <f t="shared" si="3"/>
        <v>6.6</v>
      </c>
      <c r="U19" s="153">
        <f t="shared" si="4"/>
        <v>711.92</v>
      </c>
      <c r="V19" s="166">
        <f t="shared" si="5"/>
        <v>12.76</v>
      </c>
      <c r="W19" s="167">
        <f t="shared" si="6"/>
        <v>2.2000000000000002</v>
      </c>
      <c r="X19" s="168">
        <f t="shared" si="7"/>
        <v>2.2000000000000002</v>
      </c>
      <c r="Y19" s="14"/>
    </row>
    <row r="20" spans="1:25" s="7" customFormat="1" ht="12" customHeight="1">
      <c r="A20" s="67"/>
      <c r="B20" s="28"/>
      <c r="C20" s="20" t="s">
        <v>514</v>
      </c>
      <c r="D20" s="20" t="s">
        <v>42</v>
      </c>
      <c r="E20" s="26">
        <v>28</v>
      </c>
      <c r="F20" s="28" t="s">
        <v>1404</v>
      </c>
      <c r="G20" s="37">
        <v>72.599999999999994</v>
      </c>
      <c r="H20" s="150">
        <f t="shared" si="8"/>
        <v>2032.7999999999997</v>
      </c>
      <c r="I20" s="306">
        <v>6.5</v>
      </c>
      <c r="J20" s="155">
        <v>29.06</v>
      </c>
      <c r="K20" s="156">
        <v>2</v>
      </c>
      <c r="L20" s="157">
        <v>0.3</v>
      </c>
      <c r="M20" s="165">
        <f t="shared" si="9"/>
        <v>31.06</v>
      </c>
      <c r="N20" s="166">
        <v>0.57999999999999996</v>
      </c>
      <c r="O20" s="167">
        <v>0.1</v>
      </c>
      <c r="P20" s="168">
        <v>0.1</v>
      </c>
      <c r="Q20" s="309">
        <f t="shared" si="0"/>
        <v>182</v>
      </c>
      <c r="R20" s="152">
        <f t="shared" si="1"/>
        <v>813.68</v>
      </c>
      <c r="S20" s="154">
        <f t="shared" si="2"/>
        <v>56</v>
      </c>
      <c r="T20" s="169">
        <f t="shared" si="3"/>
        <v>8.4</v>
      </c>
      <c r="U20" s="153">
        <f t="shared" si="4"/>
        <v>869.68</v>
      </c>
      <c r="V20" s="166">
        <f t="shared" si="5"/>
        <v>16.239999999999998</v>
      </c>
      <c r="W20" s="167">
        <f t="shared" si="6"/>
        <v>2.8000000000000003</v>
      </c>
      <c r="X20" s="168">
        <f t="shared" si="7"/>
        <v>2.8000000000000003</v>
      </c>
      <c r="Y20" s="14"/>
    </row>
    <row r="21" spans="1:25" s="7" customFormat="1" ht="12" customHeight="1">
      <c r="A21" s="67">
        <v>40333</v>
      </c>
      <c r="B21" s="28">
        <v>507</v>
      </c>
      <c r="C21" s="20" t="s">
        <v>1405</v>
      </c>
      <c r="D21" s="20" t="s">
        <v>653</v>
      </c>
      <c r="E21" s="26">
        <v>35</v>
      </c>
      <c r="F21" s="28" t="s">
        <v>1406</v>
      </c>
      <c r="G21" s="37">
        <v>45</v>
      </c>
      <c r="H21" s="150">
        <f t="shared" si="8"/>
        <v>1575</v>
      </c>
      <c r="I21" s="307">
        <v>5.5</v>
      </c>
      <c r="J21" s="155">
        <v>7.25</v>
      </c>
      <c r="K21" s="177">
        <v>4.0999999999999996</v>
      </c>
      <c r="L21" s="157">
        <v>0.62</v>
      </c>
      <c r="M21" s="165">
        <f t="shared" si="9"/>
        <v>11.35</v>
      </c>
      <c r="N21" s="166">
        <v>0.57999999999999996</v>
      </c>
      <c r="O21" s="167">
        <v>0.1</v>
      </c>
      <c r="P21" s="168">
        <v>0.1</v>
      </c>
      <c r="Q21" s="309">
        <f t="shared" si="0"/>
        <v>192.5</v>
      </c>
      <c r="R21" s="152">
        <f t="shared" si="1"/>
        <v>253.75</v>
      </c>
      <c r="S21" s="154">
        <f t="shared" si="2"/>
        <v>143.5</v>
      </c>
      <c r="T21" s="169">
        <f t="shared" si="3"/>
        <v>21.7</v>
      </c>
      <c r="U21" s="153">
        <f t="shared" si="4"/>
        <v>397.25</v>
      </c>
      <c r="V21" s="166">
        <f t="shared" si="5"/>
        <v>20.299999999999997</v>
      </c>
      <c r="W21" s="167">
        <f t="shared" si="6"/>
        <v>3.5</v>
      </c>
      <c r="X21" s="168">
        <f t="shared" si="7"/>
        <v>3.5</v>
      </c>
      <c r="Y21" s="14"/>
    </row>
    <row r="22" spans="1:25" s="7" customFormat="1" ht="12" customHeight="1">
      <c r="A22" s="67"/>
      <c r="B22" s="28"/>
      <c r="C22" s="20" t="s">
        <v>1405</v>
      </c>
      <c r="D22" s="20" t="s">
        <v>653</v>
      </c>
      <c r="E22" s="26">
        <v>15</v>
      </c>
      <c r="F22" s="28" t="s">
        <v>1407</v>
      </c>
      <c r="G22" s="37">
        <v>55</v>
      </c>
      <c r="H22" s="150">
        <f t="shared" si="8"/>
        <v>825</v>
      </c>
      <c r="I22" s="307">
        <v>5.5</v>
      </c>
      <c r="J22" s="155">
        <v>14.15</v>
      </c>
      <c r="K22" s="177">
        <v>4.0999999999999996</v>
      </c>
      <c r="L22" s="157">
        <v>0.62</v>
      </c>
      <c r="M22" s="165">
        <f t="shared" si="9"/>
        <v>18.25</v>
      </c>
      <c r="N22" s="166">
        <v>0.57999999999999996</v>
      </c>
      <c r="O22" s="167">
        <v>0.1</v>
      </c>
      <c r="P22" s="168">
        <v>0.1</v>
      </c>
      <c r="Q22" s="309">
        <f t="shared" si="0"/>
        <v>82.5</v>
      </c>
      <c r="R22" s="152">
        <f t="shared" si="1"/>
        <v>212.25</v>
      </c>
      <c r="S22" s="154">
        <f t="shared" si="2"/>
        <v>61.499999999999993</v>
      </c>
      <c r="T22" s="169">
        <f t="shared" si="3"/>
        <v>9.3000000000000007</v>
      </c>
      <c r="U22" s="153">
        <f t="shared" si="4"/>
        <v>273.75</v>
      </c>
      <c r="V22" s="166">
        <f t="shared" si="5"/>
        <v>8.6999999999999993</v>
      </c>
      <c r="W22" s="167">
        <f t="shared" si="6"/>
        <v>1.5</v>
      </c>
      <c r="X22" s="168">
        <f t="shared" si="7"/>
        <v>1.5</v>
      </c>
      <c r="Y22" s="14"/>
    </row>
    <row r="23" spans="1:25" s="7" customFormat="1" ht="12" customHeight="1">
      <c r="A23" s="67">
        <v>40333</v>
      </c>
      <c r="B23" s="28">
        <v>508</v>
      </c>
      <c r="C23" s="20" t="s">
        <v>23</v>
      </c>
      <c r="D23" s="20" t="s">
        <v>24</v>
      </c>
      <c r="E23" s="26">
        <v>2</v>
      </c>
      <c r="F23" s="28" t="s">
        <v>1408</v>
      </c>
      <c r="G23" s="37">
        <v>34</v>
      </c>
      <c r="H23" s="150">
        <f t="shared" si="8"/>
        <v>68</v>
      </c>
      <c r="I23" s="307">
        <v>3.5</v>
      </c>
      <c r="J23" s="155">
        <v>5.28</v>
      </c>
      <c r="K23" s="177">
        <v>1</v>
      </c>
      <c r="L23" s="157">
        <v>0.15</v>
      </c>
      <c r="M23" s="165">
        <f t="shared" si="9"/>
        <v>6.28</v>
      </c>
      <c r="N23" s="166">
        <v>0.33</v>
      </c>
      <c r="O23" s="167">
        <v>0.1</v>
      </c>
      <c r="P23" s="168">
        <v>0.1</v>
      </c>
      <c r="Q23" s="309">
        <f t="shared" si="0"/>
        <v>7</v>
      </c>
      <c r="R23" s="152">
        <f t="shared" si="1"/>
        <v>10.56</v>
      </c>
      <c r="S23" s="154">
        <f t="shared" si="2"/>
        <v>2</v>
      </c>
      <c r="T23" s="169">
        <f t="shared" si="3"/>
        <v>0.3</v>
      </c>
      <c r="U23" s="153">
        <f t="shared" si="4"/>
        <v>12.56</v>
      </c>
      <c r="V23" s="166">
        <f t="shared" si="5"/>
        <v>0.66</v>
      </c>
      <c r="W23" s="167">
        <f t="shared" si="6"/>
        <v>0.2</v>
      </c>
      <c r="X23" s="168">
        <f t="shared" si="7"/>
        <v>0.2</v>
      </c>
      <c r="Y23" s="14"/>
    </row>
    <row r="24" spans="1:25" s="7" customFormat="1" ht="12" customHeight="1">
      <c r="A24" s="67"/>
      <c r="B24" s="28"/>
      <c r="C24" s="20" t="s">
        <v>23</v>
      </c>
      <c r="D24" s="20" t="s">
        <v>24</v>
      </c>
      <c r="E24" s="26">
        <v>1</v>
      </c>
      <c r="F24" s="28" t="s">
        <v>1409</v>
      </c>
      <c r="G24" s="37">
        <v>34</v>
      </c>
      <c r="H24" s="150">
        <f t="shared" si="8"/>
        <v>34</v>
      </c>
      <c r="I24" s="307">
        <v>3.5</v>
      </c>
      <c r="J24" s="155">
        <v>7.38</v>
      </c>
      <c r="K24" s="177">
        <v>1</v>
      </c>
      <c r="L24" s="157">
        <v>0.15</v>
      </c>
      <c r="M24" s="165">
        <f t="shared" si="9"/>
        <v>8.379999999999999</v>
      </c>
      <c r="N24" s="166">
        <v>0.33</v>
      </c>
      <c r="O24" s="167">
        <v>0.1</v>
      </c>
      <c r="P24" s="168">
        <v>0.1</v>
      </c>
      <c r="Q24" s="309">
        <f t="shared" si="0"/>
        <v>3.5</v>
      </c>
      <c r="R24" s="152">
        <f t="shared" si="1"/>
        <v>7.38</v>
      </c>
      <c r="S24" s="154">
        <f t="shared" si="2"/>
        <v>1</v>
      </c>
      <c r="T24" s="169">
        <f t="shared" si="3"/>
        <v>0.15</v>
      </c>
      <c r="U24" s="153">
        <f t="shared" si="4"/>
        <v>8.379999999999999</v>
      </c>
      <c r="V24" s="166">
        <f t="shared" si="5"/>
        <v>0.33</v>
      </c>
      <c r="W24" s="167">
        <f t="shared" si="6"/>
        <v>0.1</v>
      </c>
      <c r="X24" s="168">
        <f t="shared" si="7"/>
        <v>0.1</v>
      </c>
      <c r="Y24" s="14"/>
    </row>
    <row r="25" spans="1:25" s="7" customFormat="1" ht="12" customHeight="1">
      <c r="A25" s="67">
        <v>40336</v>
      </c>
      <c r="B25" s="28">
        <v>509</v>
      </c>
      <c r="C25" s="20" t="s">
        <v>473</v>
      </c>
      <c r="D25" s="20" t="s">
        <v>1410</v>
      </c>
      <c r="E25" s="26">
        <v>60</v>
      </c>
      <c r="F25" s="28" t="s">
        <v>1411</v>
      </c>
      <c r="G25" s="37">
        <v>12.5</v>
      </c>
      <c r="H25" s="150">
        <f t="shared" si="8"/>
        <v>750</v>
      </c>
      <c r="I25" s="306">
        <v>1.5</v>
      </c>
      <c r="J25" s="155">
        <v>2.95</v>
      </c>
      <c r="K25" s="156">
        <v>1.1000000000000001</v>
      </c>
      <c r="L25" s="157">
        <v>0.17</v>
      </c>
      <c r="M25" s="165">
        <f t="shared" si="9"/>
        <v>4.0500000000000007</v>
      </c>
      <c r="N25" s="166">
        <v>0.21</v>
      </c>
      <c r="O25" s="167">
        <v>0.1</v>
      </c>
      <c r="P25" s="168">
        <v>0.1</v>
      </c>
      <c r="Q25" s="309">
        <f t="shared" si="0"/>
        <v>90</v>
      </c>
      <c r="R25" s="152">
        <f t="shared" si="1"/>
        <v>177</v>
      </c>
      <c r="S25" s="154">
        <f t="shared" si="2"/>
        <v>66</v>
      </c>
      <c r="T25" s="169">
        <f t="shared" si="3"/>
        <v>10.200000000000001</v>
      </c>
      <c r="U25" s="153">
        <f t="shared" si="4"/>
        <v>243.00000000000006</v>
      </c>
      <c r="V25" s="166">
        <f t="shared" si="5"/>
        <v>12.6</v>
      </c>
      <c r="W25" s="167">
        <f t="shared" si="6"/>
        <v>6</v>
      </c>
      <c r="X25" s="168">
        <f t="shared" si="7"/>
        <v>6</v>
      </c>
      <c r="Y25" s="14"/>
    </row>
    <row r="26" spans="1:25" s="7" customFormat="1" ht="12" customHeight="1">
      <c r="A26" s="67">
        <v>40336</v>
      </c>
      <c r="B26" s="28">
        <v>510</v>
      </c>
      <c r="C26" s="20" t="s">
        <v>1050</v>
      </c>
      <c r="D26" s="20" t="s">
        <v>245</v>
      </c>
      <c r="E26" s="26">
        <v>35</v>
      </c>
      <c r="F26" s="28" t="s">
        <v>1412</v>
      </c>
      <c r="G26" s="37">
        <v>4</v>
      </c>
      <c r="H26" s="150">
        <f t="shared" si="8"/>
        <v>140</v>
      </c>
      <c r="I26" s="306">
        <v>0.35</v>
      </c>
      <c r="J26" s="155">
        <v>0.69</v>
      </c>
      <c r="K26" s="177">
        <v>0</v>
      </c>
      <c r="L26" s="157">
        <v>0</v>
      </c>
      <c r="M26" s="165">
        <f t="shared" si="9"/>
        <v>0.69</v>
      </c>
      <c r="N26" s="166">
        <v>0.12</v>
      </c>
      <c r="O26" s="167">
        <v>0.1</v>
      </c>
      <c r="P26" s="168">
        <v>0.1</v>
      </c>
      <c r="Q26" s="309">
        <f t="shared" si="0"/>
        <v>12.25</v>
      </c>
      <c r="R26" s="152">
        <f t="shared" si="1"/>
        <v>24.15</v>
      </c>
      <c r="S26" s="154">
        <f t="shared" si="2"/>
        <v>0</v>
      </c>
      <c r="T26" s="169">
        <f t="shared" si="3"/>
        <v>0</v>
      </c>
      <c r="U26" s="153">
        <f t="shared" si="4"/>
        <v>24.15</v>
      </c>
      <c r="V26" s="166">
        <f t="shared" si="5"/>
        <v>4.2</v>
      </c>
      <c r="W26" s="167">
        <f t="shared" si="6"/>
        <v>3.5</v>
      </c>
      <c r="X26" s="168">
        <f t="shared" si="7"/>
        <v>3.5</v>
      </c>
      <c r="Y26" s="14"/>
    </row>
    <row r="27" spans="1:25" s="7" customFormat="1" ht="12" customHeight="1">
      <c r="A27" s="67">
        <v>40336</v>
      </c>
      <c r="B27" s="28">
        <v>511</v>
      </c>
      <c r="C27" s="20" t="s">
        <v>183</v>
      </c>
      <c r="D27" s="20" t="s">
        <v>42</v>
      </c>
      <c r="E27" s="26">
        <v>35</v>
      </c>
      <c r="F27" s="28" t="s">
        <v>1413</v>
      </c>
      <c r="G27" s="37">
        <v>40</v>
      </c>
      <c r="H27" s="150">
        <f t="shared" si="8"/>
        <v>1400</v>
      </c>
      <c r="I27" s="306">
        <v>3.5</v>
      </c>
      <c r="J27" s="155">
        <v>7.77</v>
      </c>
      <c r="K27" s="177">
        <v>2</v>
      </c>
      <c r="L27" s="157">
        <v>0.3</v>
      </c>
      <c r="M27" s="165">
        <f t="shared" si="9"/>
        <v>9.77</v>
      </c>
      <c r="N27" s="166">
        <v>0.33</v>
      </c>
      <c r="O27" s="167">
        <v>0.1</v>
      </c>
      <c r="P27" s="168">
        <v>0.1</v>
      </c>
      <c r="Q27" s="309">
        <f t="shared" si="0"/>
        <v>122.5</v>
      </c>
      <c r="R27" s="152">
        <f t="shared" si="1"/>
        <v>271.95</v>
      </c>
      <c r="S27" s="154">
        <f t="shared" si="2"/>
        <v>70</v>
      </c>
      <c r="T27" s="169">
        <f t="shared" si="3"/>
        <v>10.5</v>
      </c>
      <c r="U27" s="153">
        <f t="shared" si="4"/>
        <v>341.95</v>
      </c>
      <c r="V27" s="166">
        <f t="shared" si="5"/>
        <v>11.55</v>
      </c>
      <c r="W27" s="167">
        <f t="shared" si="6"/>
        <v>3.5</v>
      </c>
      <c r="X27" s="168">
        <f t="shared" si="7"/>
        <v>3.5</v>
      </c>
      <c r="Y27" s="14"/>
    </row>
    <row r="28" spans="1:25" s="7" customFormat="1" ht="12" customHeight="1">
      <c r="A28" s="67">
        <v>40337</v>
      </c>
      <c r="B28" s="28">
        <v>512</v>
      </c>
      <c r="C28" s="20" t="s">
        <v>1414</v>
      </c>
      <c r="D28" s="20" t="s">
        <v>37</v>
      </c>
      <c r="E28" s="26">
        <v>250</v>
      </c>
      <c r="F28" s="28" t="s">
        <v>1415</v>
      </c>
      <c r="G28" s="37">
        <v>12</v>
      </c>
      <c r="H28" s="150">
        <f t="shared" si="8"/>
        <v>3000</v>
      </c>
      <c r="I28" s="306">
        <v>1</v>
      </c>
      <c r="J28" s="155">
        <v>1.7</v>
      </c>
      <c r="K28" s="156">
        <v>1.8</v>
      </c>
      <c r="L28" s="157">
        <v>0.27</v>
      </c>
      <c r="M28" s="165">
        <f t="shared" si="9"/>
        <v>3.5</v>
      </c>
      <c r="N28" s="166">
        <v>0.28999999999999998</v>
      </c>
      <c r="O28" s="167">
        <v>0.1</v>
      </c>
      <c r="P28" s="168">
        <v>0.1</v>
      </c>
      <c r="Q28" s="309">
        <f t="shared" si="0"/>
        <v>250</v>
      </c>
      <c r="R28" s="152">
        <f t="shared" si="1"/>
        <v>425</v>
      </c>
      <c r="S28" s="154">
        <f t="shared" si="2"/>
        <v>450</v>
      </c>
      <c r="T28" s="169">
        <f t="shared" si="3"/>
        <v>67.5</v>
      </c>
      <c r="U28" s="153">
        <f t="shared" si="4"/>
        <v>875</v>
      </c>
      <c r="V28" s="166">
        <f t="shared" si="5"/>
        <v>72.5</v>
      </c>
      <c r="W28" s="167">
        <f t="shared" si="6"/>
        <v>25</v>
      </c>
      <c r="X28" s="168">
        <f t="shared" si="7"/>
        <v>25</v>
      </c>
      <c r="Y28" s="14"/>
    </row>
    <row r="29" spans="1:25" s="7" customFormat="1" ht="12" customHeight="1">
      <c r="A29" s="67"/>
      <c r="B29" s="28"/>
      <c r="C29" s="20" t="s">
        <v>1414</v>
      </c>
      <c r="D29" s="20" t="s">
        <v>37</v>
      </c>
      <c r="E29" s="26">
        <v>250</v>
      </c>
      <c r="F29" s="28" t="s">
        <v>1416</v>
      </c>
      <c r="G29" s="37">
        <v>12</v>
      </c>
      <c r="H29" s="150">
        <f t="shared" si="8"/>
        <v>3000</v>
      </c>
      <c r="I29" s="306">
        <v>1</v>
      </c>
      <c r="J29" s="155">
        <v>1.7</v>
      </c>
      <c r="K29" s="156">
        <v>1.8</v>
      </c>
      <c r="L29" s="157">
        <v>0.27</v>
      </c>
      <c r="M29" s="153">
        <f t="shared" si="9"/>
        <v>3.5</v>
      </c>
      <c r="N29" s="166">
        <v>0.28999999999999998</v>
      </c>
      <c r="O29" s="167">
        <v>0.1</v>
      </c>
      <c r="P29" s="168">
        <v>0.1</v>
      </c>
      <c r="Q29" s="309">
        <f t="shared" si="0"/>
        <v>250</v>
      </c>
      <c r="R29" s="152">
        <f t="shared" si="1"/>
        <v>425</v>
      </c>
      <c r="S29" s="154">
        <f t="shared" si="2"/>
        <v>450</v>
      </c>
      <c r="T29" s="169">
        <f t="shared" si="3"/>
        <v>67.5</v>
      </c>
      <c r="U29" s="153">
        <f t="shared" si="4"/>
        <v>875</v>
      </c>
      <c r="V29" s="166">
        <f t="shared" si="5"/>
        <v>72.5</v>
      </c>
      <c r="W29" s="167">
        <f t="shared" si="6"/>
        <v>25</v>
      </c>
      <c r="X29" s="168">
        <f t="shared" si="7"/>
        <v>25</v>
      </c>
      <c r="Y29" s="14"/>
    </row>
    <row r="30" spans="1:25" s="7" customFormat="1" ht="12" customHeight="1">
      <c r="A30" s="67">
        <v>40337</v>
      </c>
      <c r="B30" s="28">
        <v>513</v>
      </c>
      <c r="C30" s="20" t="s">
        <v>239</v>
      </c>
      <c r="D30" s="20" t="s">
        <v>240</v>
      </c>
      <c r="E30" s="26">
        <v>10</v>
      </c>
      <c r="F30" s="28" t="s">
        <v>1417</v>
      </c>
      <c r="G30" s="37">
        <v>60</v>
      </c>
      <c r="H30" s="150">
        <f t="shared" si="8"/>
        <v>600</v>
      </c>
      <c r="I30" s="306">
        <v>6.5</v>
      </c>
      <c r="J30" s="155">
        <v>14.45</v>
      </c>
      <c r="K30" s="156">
        <v>4</v>
      </c>
      <c r="L30" s="157">
        <v>0.6</v>
      </c>
      <c r="M30" s="165">
        <f t="shared" si="9"/>
        <v>18.45</v>
      </c>
      <c r="N30" s="166">
        <v>0.83</v>
      </c>
      <c r="O30" s="167">
        <v>0.1</v>
      </c>
      <c r="P30" s="168">
        <v>2</v>
      </c>
      <c r="Q30" s="309">
        <f t="shared" si="0"/>
        <v>65</v>
      </c>
      <c r="R30" s="152">
        <f t="shared" si="1"/>
        <v>144.5</v>
      </c>
      <c r="S30" s="154">
        <f t="shared" si="2"/>
        <v>40</v>
      </c>
      <c r="T30" s="169">
        <f t="shared" si="3"/>
        <v>6</v>
      </c>
      <c r="U30" s="153">
        <f t="shared" si="4"/>
        <v>184.5</v>
      </c>
      <c r="V30" s="166">
        <f t="shared" si="5"/>
        <v>8.2999999999999989</v>
      </c>
      <c r="W30" s="167">
        <f t="shared" si="6"/>
        <v>1</v>
      </c>
      <c r="X30" s="168">
        <f t="shared" si="7"/>
        <v>20</v>
      </c>
      <c r="Y30" s="14"/>
    </row>
    <row r="31" spans="1:25" s="7" customFormat="1" ht="12" customHeight="1">
      <c r="A31" s="67"/>
      <c r="B31" s="28"/>
      <c r="C31" s="20" t="s">
        <v>239</v>
      </c>
      <c r="D31" s="20" t="s">
        <v>240</v>
      </c>
      <c r="E31" s="26">
        <v>7</v>
      </c>
      <c r="F31" s="28" t="s">
        <v>1418</v>
      </c>
      <c r="G31" s="37">
        <v>60</v>
      </c>
      <c r="H31" s="150">
        <f t="shared" si="8"/>
        <v>420</v>
      </c>
      <c r="I31" s="306">
        <v>6.5</v>
      </c>
      <c r="J31" s="155">
        <v>20.149999999999999</v>
      </c>
      <c r="K31" s="156">
        <v>4</v>
      </c>
      <c r="L31" s="157">
        <v>0.6</v>
      </c>
      <c r="M31" s="165">
        <f t="shared" si="9"/>
        <v>24.15</v>
      </c>
      <c r="N31" s="166">
        <v>0.83</v>
      </c>
      <c r="O31" s="167">
        <v>0.1</v>
      </c>
      <c r="P31" s="168">
        <v>2</v>
      </c>
      <c r="Q31" s="309">
        <f t="shared" si="0"/>
        <v>45.5</v>
      </c>
      <c r="R31" s="152">
        <f t="shared" si="1"/>
        <v>141.04999999999998</v>
      </c>
      <c r="S31" s="154">
        <f t="shared" si="2"/>
        <v>28</v>
      </c>
      <c r="T31" s="169">
        <f t="shared" si="3"/>
        <v>4.2</v>
      </c>
      <c r="U31" s="153">
        <f t="shared" si="4"/>
        <v>169.04999999999998</v>
      </c>
      <c r="V31" s="166">
        <f t="shared" si="5"/>
        <v>5.81</v>
      </c>
      <c r="W31" s="167">
        <f t="shared" si="6"/>
        <v>0.70000000000000007</v>
      </c>
      <c r="X31" s="168">
        <f t="shared" si="7"/>
        <v>14</v>
      </c>
      <c r="Y31" s="14"/>
    </row>
    <row r="32" spans="1:25" s="7" customFormat="1" ht="12" customHeight="1">
      <c r="A32" s="67">
        <v>40337</v>
      </c>
      <c r="B32" s="28">
        <v>514</v>
      </c>
      <c r="C32" s="20"/>
      <c r="D32" s="20" t="s">
        <v>210</v>
      </c>
      <c r="E32" s="26">
        <v>1</v>
      </c>
      <c r="F32" s="28" t="s">
        <v>1419</v>
      </c>
      <c r="G32" s="37">
        <v>35</v>
      </c>
      <c r="H32" s="150">
        <f t="shared" si="8"/>
        <v>35</v>
      </c>
      <c r="I32" s="306">
        <v>0</v>
      </c>
      <c r="J32" s="155">
        <v>0</v>
      </c>
      <c r="K32" s="156">
        <v>0</v>
      </c>
      <c r="L32" s="157">
        <v>0</v>
      </c>
      <c r="M32" s="165">
        <f t="shared" si="9"/>
        <v>0</v>
      </c>
      <c r="N32" s="166">
        <v>0</v>
      </c>
      <c r="O32" s="167">
        <v>0</v>
      </c>
      <c r="P32" s="168">
        <v>0</v>
      </c>
      <c r="Q32" s="309">
        <f t="shared" si="0"/>
        <v>0</v>
      </c>
      <c r="R32" s="152">
        <f t="shared" si="1"/>
        <v>0</v>
      </c>
      <c r="S32" s="154">
        <f t="shared" si="2"/>
        <v>0</v>
      </c>
      <c r="T32" s="169">
        <f t="shared" si="3"/>
        <v>0</v>
      </c>
      <c r="U32" s="153">
        <f t="shared" si="4"/>
        <v>0</v>
      </c>
      <c r="V32" s="166">
        <f t="shared" si="5"/>
        <v>0</v>
      </c>
      <c r="W32" s="167">
        <f t="shared" si="6"/>
        <v>0</v>
      </c>
      <c r="X32" s="168">
        <f t="shared" si="7"/>
        <v>0</v>
      </c>
      <c r="Y32" s="14"/>
    </row>
    <row r="33" spans="1:25" s="7" customFormat="1" ht="12" customHeight="1">
      <c r="A33" s="67"/>
      <c r="B33" s="28"/>
      <c r="C33" s="20"/>
      <c r="D33" s="20" t="s">
        <v>210</v>
      </c>
      <c r="E33" s="26">
        <v>4</v>
      </c>
      <c r="F33" s="28" t="s">
        <v>1420</v>
      </c>
      <c r="G33" s="37">
        <v>35</v>
      </c>
      <c r="H33" s="150">
        <f t="shared" si="8"/>
        <v>140</v>
      </c>
      <c r="I33" s="306">
        <v>0</v>
      </c>
      <c r="J33" s="155">
        <v>0</v>
      </c>
      <c r="K33" s="156">
        <v>0</v>
      </c>
      <c r="L33" s="157">
        <v>0</v>
      </c>
      <c r="M33" s="165">
        <f t="shared" si="9"/>
        <v>0</v>
      </c>
      <c r="N33" s="166">
        <v>0</v>
      </c>
      <c r="O33" s="167">
        <v>0</v>
      </c>
      <c r="P33" s="168">
        <v>0</v>
      </c>
      <c r="Q33" s="309">
        <f t="shared" si="0"/>
        <v>0</v>
      </c>
      <c r="R33" s="152">
        <f t="shared" si="1"/>
        <v>0</v>
      </c>
      <c r="S33" s="154">
        <f t="shared" si="2"/>
        <v>0</v>
      </c>
      <c r="T33" s="169">
        <f t="shared" si="3"/>
        <v>0</v>
      </c>
      <c r="U33" s="153">
        <f t="shared" si="4"/>
        <v>0</v>
      </c>
      <c r="V33" s="166">
        <f t="shared" si="5"/>
        <v>0</v>
      </c>
      <c r="W33" s="167">
        <f t="shared" si="6"/>
        <v>0</v>
      </c>
      <c r="X33" s="168">
        <f t="shared" si="7"/>
        <v>0</v>
      </c>
      <c r="Y33" s="14"/>
    </row>
    <row r="34" spans="1:25" s="7" customFormat="1" ht="12" customHeight="1">
      <c r="A34" s="67">
        <v>40337</v>
      </c>
      <c r="B34" s="28">
        <v>515</v>
      </c>
      <c r="C34" s="20" t="s">
        <v>259</v>
      </c>
      <c r="D34" s="20" t="s">
        <v>113</v>
      </c>
      <c r="E34" s="26">
        <v>55</v>
      </c>
      <c r="F34" s="28" t="s">
        <v>1421</v>
      </c>
      <c r="G34" s="37">
        <v>65.5</v>
      </c>
      <c r="H34" s="150">
        <f t="shared" si="8"/>
        <v>3602.5</v>
      </c>
      <c r="I34" s="306">
        <v>8.5</v>
      </c>
      <c r="J34" s="155">
        <v>17.079999999999998</v>
      </c>
      <c r="K34" s="156">
        <v>4.5</v>
      </c>
      <c r="L34" s="157">
        <v>0.68</v>
      </c>
      <c r="M34" s="165">
        <f t="shared" si="9"/>
        <v>21.58</v>
      </c>
      <c r="N34" s="166">
        <v>0.67</v>
      </c>
      <c r="O34" s="167">
        <v>0.1</v>
      </c>
      <c r="P34" s="168">
        <v>0.25</v>
      </c>
      <c r="Q34" s="309">
        <f t="shared" si="0"/>
        <v>467.5</v>
      </c>
      <c r="R34" s="152">
        <f t="shared" si="1"/>
        <v>939.39999999999986</v>
      </c>
      <c r="S34" s="154">
        <f t="shared" si="2"/>
        <v>247.5</v>
      </c>
      <c r="T34" s="169">
        <f t="shared" si="3"/>
        <v>37.400000000000006</v>
      </c>
      <c r="U34" s="153">
        <f t="shared" si="4"/>
        <v>1186.8999999999999</v>
      </c>
      <c r="V34" s="166">
        <f t="shared" si="5"/>
        <v>36.85</v>
      </c>
      <c r="W34" s="167">
        <f t="shared" si="6"/>
        <v>5.5</v>
      </c>
      <c r="X34" s="168">
        <f t="shared" si="7"/>
        <v>13.75</v>
      </c>
      <c r="Y34" s="14"/>
    </row>
    <row r="35" spans="1:25" s="7" customFormat="1" ht="12" customHeight="1">
      <c r="A35" s="67"/>
      <c r="B35" s="28"/>
      <c r="C35" s="20" t="s">
        <v>259</v>
      </c>
      <c r="D35" s="20" t="s">
        <v>113</v>
      </c>
      <c r="E35" s="26">
        <v>40</v>
      </c>
      <c r="F35" s="28" t="s">
        <v>1422</v>
      </c>
      <c r="G35" s="37">
        <v>59.5</v>
      </c>
      <c r="H35" s="150">
        <f t="shared" si="8"/>
        <v>2380</v>
      </c>
      <c r="I35" s="307">
        <v>6.5</v>
      </c>
      <c r="J35" s="155">
        <v>11.2</v>
      </c>
      <c r="K35" s="156">
        <v>4.5</v>
      </c>
      <c r="L35" s="157">
        <v>0.68</v>
      </c>
      <c r="M35" s="165">
        <f t="shared" si="9"/>
        <v>15.7</v>
      </c>
      <c r="N35" s="166">
        <v>0.83</v>
      </c>
      <c r="O35" s="167">
        <v>0.1</v>
      </c>
      <c r="P35" s="168">
        <v>0.2</v>
      </c>
      <c r="Q35" s="309">
        <f t="shared" si="0"/>
        <v>260</v>
      </c>
      <c r="R35" s="152">
        <f t="shared" si="1"/>
        <v>448</v>
      </c>
      <c r="S35" s="154">
        <f t="shared" si="2"/>
        <v>180</v>
      </c>
      <c r="T35" s="169">
        <f t="shared" si="3"/>
        <v>27.200000000000003</v>
      </c>
      <c r="U35" s="153">
        <f t="shared" si="4"/>
        <v>628</v>
      </c>
      <c r="V35" s="166">
        <f t="shared" si="5"/>
        <v>33.199999999999996</v>
      </c>
      <c r="W35" s="167">
        <f t="shared" si="6"/>
        <v>4</v>
      </c>
      <c r="X35" s="168">
        <f t="shared" si="7"/>
        <v>8</v>
      </c>
      <c r="Y35" s="14"/>
    </row>
    <row r="36" spans="1:25" s="7" customFormat="1" ht="12" customHeight="1">
      <c r="A36" s="67"/>
      <c r="B36" s="28"/>
      <c r="C36" s="20" t="s">
        <v>259</v>
      </c>
      <c r="D36" s="20" t="s">
        <v>113</v>
      </c>
      <c r="E36" s="26">
        <v>20</v>
      </c>
      <c r="F36" s="28" t="s">
        <v>1423</v>
      </c>
      <c r="G36" s="37">
        <v>55</v>
      </c>
      <c r="H36" s="150">
        <f t="shared" si="8"/>
        <v>1100</v>
      </c>
      <c r="I36" s="306">
        <v>6.5</v>
      </c>
      <c r="J36" s="155">
        <v>11.07</v>
      </c>
      <c r="K36" s="156">
        <v>4.5</v>
      </c>
      <c r="L36" s="157">
        <v>0.68</v>
      </c>
      <c r="M36" s="153">
        <f t="shared" si="9"/>
        <v>15.57</v>
      </c>
      <c r="N36" s="166">
        <v>0.83</v>
      </c>
      <c r="O36" s="167">
        <v>0.1</v>
      </c>
      <c r="P36" s="168">
        <v>0.2</v>
      </c>
      <c r="Q36" s="309">
        <f t="shared" si="0"/>
        <v>130</v>
      </c>
      <c r="R36" s="152">
        <f t="shared" si="1"/>
        <v>221.4</v>
      </c>
      <c r="S36" s="154">
        <f t="shared" si="2"/>
        <v>90</v>
      </c>
      <c r="T36" s="169">
        <f t="shared" si="3"/>
        <v>13.600000000000001</v>
      </c>
      <c r="U36" s="153">
        <f t="shared" si="4"/>
        <v>311.39999999999998</v>
      </c>
      <c r="V36" s="166">
        <f t="shared" si="5"/>
        <v>16.599999999999998</v>
      </c>
      <c r="W36" s="167">
        <f t="shared" si="6"/>
        <v>2</v>
      </c>
      <c r="X36" s="168">
        <f t="shared" si="7"/>
        <v>4</v>
      </c>
      <c r="Y36" s="14"/>
    </row>
    <row r="37" spans="1:25" s="7" customFormat="1" ht="12" customHeight="1">
      <c r="A37" s="67"/>
      <c r="B37" s="28"/>
      <c r="C37" s="20" t="s">
        <v>259</v>
      </c>
      <c r="D37" s="20" t="s">
        <v>113</v>
      </c>
      <c r="E37" s="26">
        <v>2</v>
      </c>
      <c r="F37" s="28" t="s">
        <v>1423</v>
      </c>
      <c r="G37" s="37">
        <v>55</v>
      </c>
      <c r="H37" s="150">
        <f t="shared" si="8"/>
        <v>110</v>
      </c>
      <c r="I37" s="306">
        <v>6.5</v>
      </c>
      <c r="J37" s="155">
        <v>11.07</v>
      </c>
      <c r="K37" s="156">
        <v>4.5</v>
      </c>
      <c r="L37" s="157">
        <v>0.68</v>
      </c>
      <c r="M37" s="153">
        <f t="shared" si="9"/>
        <v>15.57</v>
      </c>
      <c r="N37" s="166">
        <v>0.83</v>
      </c>
      <c r="O37" s="167">
        <v>0.1</v>
      </c>
      <c r="P37" s="168">
        <v>0.2</v>
      </c>
      <c r="Q37" s="309">
        <f t="shared" si="0"/>
        <v>13</v>
      </c>
      <c r="R37" s="152">
        <f t="shared" si="1"/>
        <v>22.14</v>
      </c>
      <c r="S37" s="154">
        <f t="shared" si="2"/>
        <v>9</v>
      </c>
      <c r="T37" s="169">
        <f t="shared" si="3"/>
        <v>1.36</v>
      </c>
      <c r="U37" s="153">
        <f t="shared" si="4"/>
        <v>31.14</v>
      </c>
      <c r="V37" s="166">
        <f t="shared" si="5"/>
        <v>1.66</v>
      </c>
      <c r="W37" s="167">
        <f t="shared" si="6"/>
        <v>0.2</v>
      </c>
      <c r="X37" s="168">
        <f t="shared" si="7"/>
        <v>0.4</v>
      </c>
      <c r="Y37" s="14"/>
    </row>
    <row r="38" spans="1:25" s="7" customFormat="1" ht="12" customHeight="1">
      <c r="A38" s="67"/>
      <c r="B38" s="28"/>
      <c r="C38" s="20" t="s">
        <v>259</v>
      </c>
      <c r="D38" s="20" t="s">
        <v>113</v>
      </c>
      <c r="E38" s="26">
        <v>70</v>
      </c>
      <c r="F38" s="28" t="s">
        <v>1424</v>
      </c>
      <c r="G38" s="37">
        <v>35</v>
      </c>
      <c r="H38" s="150">
        <f t="shared" si="8"/>
        <v>2450</v>
      </c>
      <c r="I38" s="306">
        <v>4</v>
      </c>
      <c r="J38" s="155">
        <v>13.99</v>
      </c>
      <c r="K38" s="156">
        <v>1.5</v>
      </c>
      <c r="L38" s="157">
        <v>0.23</v>
      </c>
      <c r="M38" s="153">
        <f t="shared" si="9"/>
        <v>15.49</v>
      </c>
      <c r="N38" s="166">
        <v>0.28999999999999998</v>
      </c>
      <c r="O38" s="167">
        <v>0.35</v>
      </c>
      <c r="P38" s="168">
        <v>0.2</v>
      </c>
      <c r="Q38" s="309">
        <f t="shared" si="0"/>
        <v>280</v>
      </c>
      <c r="R38" s="152">
        <f t="shared" si="1"/>
        <v>979.30000000000007</v>
      </c>
      <c r="S38" s="154">
        <f t="shared" si="2"/>
        <v>105</v>
      </c>
      <c r="T38" s="169">
        <f t="shared" si="3"/>
        <v>16.100000000000001</v>
      </c>
      <c r="U38" s="153">
        <f t="shared" si="4"/>
        <v>1084.3</v>
      </c>
      <c r="V38" s="166">
        <f t="shared" si="5"/>
        <v>20.299999999999997</v>
      </c>
      <c r="W38" s="167">
        <f t="shared" si="6"/>
        <v>24.5</v>
      </c>
      <c r="X38" s="168">
        <f t="shared" si="7"/>
        <v>14</v>
      </c>
      <c r="Y38" s="14"/>
    </row>
    <row r="39" spans="1:25" s="7" customFormat="1" ht="12" customHeight="1">
      <c r="A39" s="67"/>
      <c r="B39" s="28"/>
      <c r="C39" s="20" t="s">
        <v>259</v>
      </c>
      <c r="D39" s="20" t="s">
        <v>113</v>
      </c>
      <c r="E39" s="26">
        <v>20</v>
      </c>
      <c r="F39" s="28" t="s">
        <v>1425</v>
      </c>
      <c r="G39" s="37">
        <v>79</v>
      </c>
      <c r="H39" s="150">
        <f t="shared" si="8"/>
        <v>1580</v>
      </c>
      <c r="I39" s="306">
        <v>8.5</v>
      </c>
      <c r="J39" s="155">
        <v>24.76</v>
      </c>
      <c r="K39" s="156">
        <v>4.5</v>
      </c>
      <c r="L39" s="157">
        <v>0.68</v>
      </c>
      <c r="M39" s="153">
        <f t="shared" si="9"/>
        <v>29.26</v>
      </c>
      <c r="N39" s="166">
        <v>1.25</v>
      </c>
      <c r="O39" s="167">
        <v>0.1</v>
      </c>
      <c r="P39" s="168">
        <v>0.1</v>
      </c>
      <c r="Q39" s="309">
        <f t="shared" si="0"/>
        <v>170</v>
      </c>
      <c r="R39" s="152">
        <f t="shared" si="1"/>
        <v>495.20000000000005</v>
      </c>
      <c r="S39" s="154">
        <f t="shared" si="2"/>
        <v>90</v>
      </c>
      <c r="T39" s="169">
        <f t="shared" si="3"/>
        <v>13.600000000000001</v>
      </c>
      <c r="U39" s="153">
        <f t="shared" si="4"/>
        <v>585.20000000000005</v>
      </c>
      <c r="V39" s="166">
        <f t="shared" si="5"/>
        <v>25</v>
      </c>
      <c r="W39" s="167">
        <f t="shared" si="6"/>
        <v>2</v>
      </c>
      <c r="X39" s="168">
        <f t="shared" si="7"/>
        <v>2</v>
      </c>
      <c r="Y39" s="14"/>
    </row>
    <row r="40" spans="1:25" s="7" customFormat="1" ht="12" customHeight="1">
      <c r="A40" s="67"/>
      <c r="B40" s="28"/>
      <c r="C40" s="20" t="s">
        <v>259</v>
      </c>
      <c r="D40" s="20" t="s">
        <v>113</v>
      </c>
      <c r="E40" s="26">
        <v>10</v>
      </c>
      <c r="F40" s="28" t="s">
        <v>1426</v>
      </c>
      <c r="G40" s="37">
        <v>92.5</v>
      </c>
      <c r="H40" s="150">
        <f t="shared" si="8"/>
        <v>925</v>
      </c>
      <c r="I40" s="306">
        <v>6.5</v>
      </c>
      <c r="J40" s="155">
        <v>8.7799999999999994</v>
      </c>
      <c r="K40" s="156">
        <v>4.5</v>
      </c>
      <c r="L40" s="157">
        <v>0.68</v>
      </c>
      <c r="M40" s="153">
        <f t="shared" si="9"/>
        <v>13.28</v>
      </c>
      <c r="N40" s="166">
        <v>1.25</v>
      </c>
      <c r="O40" s="167">
        <v>0.1</v>
      </c>
      <c r="P40" s="168">
        <v>0.1</v>
      </c>
      <c r="Q40" s="309">
        <f t="shared" si="0"/>
        <v>65</v>
      </c>
      <c r="R40" s="152">
        <f t="shared" si="1"/>
        <v>87.8</v>
      </c>
      <c r="S40" s="154">
        <f t="shared" si="2"/>
        <v>45</v>
      </c>
      <c r="T40" s="169">
        <f t="shared" si="3"/>
        <v>6.8000000000000007</v>
      </c>
      <c r="U40" s="153">
        <f t="shared" si="4"/>
        <v>132.79999999999998</v>
      </c>
      <c r="V40" s="166">
        <f t="shared" si="5"/>
        <v>12.5</v>
      </c>
      <c r="W40" s="167">
        <f t="shared" si="6"/>
        <v>1</v>
      </c>
      <c r="X40" s="168">
        <f t="shared" si="7"/>
        <v>1</v>
      </c>
      <c r="Y40" s="14"/>
    </row>
    <row r="41" spans="1:25" s="7" customFormat="1" ht="12" customHeight="1">
      <c r="A41" s="67">
        <v>40338</v>
      </c>
      <c r="B41" s="28">
        <v>516</v>
      </c>
      <c r="C41" s="20" t="s">
        <v>30</v>
      </c>
      <c r="D41" s="20" t="s">
        <v>42</v>
      </c>
      <c r="E41" s="26">
        <v>6</v>
      </c>
      <c r="F41" s="28" t="s">
        <v>1427</v>
      </c>
      <c r="G41" s="37">
        <v>55</v>
      </c>
      <c r="H41" s="150">
        <f t="shared" si="8"/>
        <v>330</v>
      </c>
      <c r="I41" s="306">
        <v>6.5</v>
      </c>
      <c r="J41" s="155">
        <v>16.420000000000002</v>
      </c>
      <c r="K41" s="156">
        <v>2</v>
      </c>
      <c r="L41" s="157">
        <v>0.3</v>
      </c>
      <c r="M41" s="153">
        <f t="shared" si="9"/>
        <v>18.420000000000002</v>
      </c>
      <c r="N41" s="166">
        <v>0.57999999999999996</v>
      </c>
      <c r="O41" s="167">
        <v>0.1</v>
      </c>
      <c r="P41" s="168">
        <v>0.25</v>
      </c>
      <c r="Q41" s="309">
        <f t="shared" si="0"/>
        <v>39</v>
      </c>
      <c r="R41" s="152">
        <f t="shared" si="1"/>
        <v>98.52000000000001</v>
      </c>
      <c r="S41" s="154">
        <f t="shared" si="2"/>
        <v>12</v>
      </c>
      <c r="T41" s="169">
        <f t="shared" si="3"/>
        <v>1.7999999999999998</v>
      </c>
      <c r="U41" s="153">
        <f t="shared" si="4"/>
        <v>110.52000000000001</v>
      </c>
      <c r="V41" s="166">
        <f t="shared" si="5"/>
        <v>3.4799999999999995</v>
      </c>
      <c r="W41" s="167">
        <f t="shared" si="6"/>
        <v>0.60000000000000009</v>
      </c>
      <c r="X41" s="168">
        <f t="shared" si="7"/>
        <v>1.5</v>
      </c>
      <c r="Y41" s="14"/>
    </row>
    <row r="42" spans="1:25" s="7" customFormat="1" ht="12" customHeight="1">
      <c r="A42" s="67">
        <v>40338</v>
      </c>
      <c r="B42" s="28">
        <v>517</v>
      </c>
      <c r="C42" s="20" t="s">
        <v>259</v>
      </c>
      <c r="D42" s="20" t="s">
        <v>113</v>
      </c>
      <c r="E42" s="26">
        <v>29</v>
      </c>
      <c r="F42" s="28" t="s">
        <v>1428</v>
      </c>
      <c r="G42" s="37">
        <v>55</v>
      </c>
      <c r="H42" s="150">
        <f t="shared" si="8"/>
        <v>1595</v>
      </c>
      <c r="I42" s="306">
        <v>6.5</v>
      </c>
      <c r="J42" s="155">
        <v>10.97</v>
      </c>
      <c r="K42" s="156">
        <v>4.5</v>
      </c>
      <c r="L42" s="157">
        <v>0.68</v>
      </c>
      <c r="M42" s="153">
        <f t="shared" si="9"/>
        <v>15.47</v>
      </c>
      <c r="N42" s="166">
        <v>0.83</v>
      </c>
      <c r="O42" s="167">
        <v>0.1</v>
      </c>
      <c r="P42" s="168">
        <v>0.2</v>
      </c>
      <c r="Q42" s="309">
        <f t="shared" si="0"/>
        <v>188.5</v>
      </c>
      <c r="R42" s="152">
        <f t="shared" si="1"/>
        <v>318.13</v>
      </c>
      <c r="S42" s="154">
        <f t="shared" si="2"/>
        <v>130.5</v>
      </c>
      <c r="T42" s="169">
        <f t="shared" si="3"/>
        <v>19.720000000000002</v>
      </c>
      <c r="U42" s="153">
        <f t="shared" si="4"/>
        <v>448.63</v>
      </c>
      <c r="V42" s="166">
        <f t="shared" si="5"/>
        <v>24.07</v>
      </c>
      <c r="W42" s="167">
        <f t="shared" si="6"/>
        <v>2.9000000000000004</v>
      </c>
      <c r="X42" s="168">
        <f t="shared" si="7"/>
        <v>5.8000000000000007</v>
      </c>
      <c r="Y42" s="14"/>
    </row>
    <row r="43" spans="1:25" s="7" customFormat="1" ht="12" customHeight="1">
      <c r="A43" s="67"/>
      <c r="B43" s="28"/>
      <c r="C43" s="20" t="s">
        <v>259</v>
      </c>
      <c r="D43" s="20" t="s">
        <v>113</v>
      </c>
      <c r="E43" s="26">
        <v>26</v>
      </c>
      <c r="F43" s="28" t="s">
        <v>1429</v>
      </c>
      <c r="G43" s="37">
        <v>52</v>
      </c>
      <c r="H43" s="150">
        <f t="shared" si="8"/>
        <v>1352</v>
      </c>
      <c r="I43" s="306">
        <v>6.5</v>
      </c>
      <c r="J43" s="155">
        <v>10.65</v>
      </c>
      <c r="K43" s="156">
        <v>4.5</v>
      </c>
      <c r="L43" s="157">
        <v>0.68</v>
      </c>
      <c r="M43" s="153">
        <f t="shared" si="9"/>
        <v>15.15</v>
      </c>
      <c r="N43" s="166">
        <v>0.83</v>
      </c>
      <c r="O43" s="167">
        <v>0.1</v>
      </c>
      <c r="P43" s="168">
        <v>0.2</v>
      </c>
      <c r="Q43" s="309">
        <f t="shared" si="0"/>
        <v>169</v>
      </c>
      <c r="R43" s="152">
        <f t="shared" si="1"/>
        <v>276.90000000000003</v>
      </c>
      <c r="S43" s="154">
        <f t="shared" si="2"/>
        <v>117</v>
      </c>
      <c r="T43" s="169">
        <f t="shared" si="3"/>
        <v>17.68</v>
      </c>
      <c r="U43" s="153">
        <f t="shared" si="4"/>
        <v>393.90000000000003</v>
      </c>
      <c r="V43" s="166">
        <f t="shared" si="5"/>
        <v>21.58</v>
      </c>
      <c r="W43" s="167">
        <f t="shared" si="6"/>
        <v>2.6</v>
      </c>
      <c r="X43" s="168">
        <f t="shared" si="7"/>
        <v>5.2</v>
      </c>
      <c r="Y43" s="14"/>
    </row>
    <row r="44" spans="1:25" s="7" customFormat="1" ht="12" customHeight="1">
      <c r="A44" s="67">
        <v>40339</v>
      </c>
      <c r="B44" s="28">
        <v>518</v>
      </c>
      <c r="C44" s="20" t="s">
        <v>259</v>
      </c>
      <c r="D44" s="20" t="s">
        <v>113</v>
      </c>
      <c r="E44" s="26">
        <v>10000</v>
      </c>
      <c r="F44" s="28" t="s">
        <v>1430</v>
      </c>
      <c r="G44" s="37">
        <v>3.45</v>
      </c>
      <c r="H44" s="150">
        <f t="shared" si="8"/>
        <v>34500</v>
      </c>
      <c r="I44" s="306">
        <v>0.25</v>
      </c>
      <c r="J44" s="155">
        <v>0.13</v>
      </c>
      <c r="K44" s="156">
        <v>0.9</v>
      </c>
      <c r="L44" s="157">
        <v>0.14000000000000001</v>
      </c>
      <c r="M44" s="153">
        <f t="shared" si="9"/>
        <v>1.03</v>
      </c>
      <c r="N44" s="166">
        <v>0</v>
      </c>
      <c r="O44" s="167">
        <v>0.03</v>
      </c>
      <c r="P44" s="168">
        <v>0.03</v>
      </c>
      <c r="Q44" s="309">
        <f t="shared" si="0"/>
        <v>2500</v>
      </c>
      <c r="R44" s="152">
        <f t="shared" si="1"/>
        <v>1300</v>
      </c>
      <c r="S44" s="154">
        <f t="shared" si="2"/>
        <v>9000</v>
      </c>
      <c r="T44" s="169">
        <f t="shared" si="3"/>
        <v>1400.0000000000002</v>
      </c>
      <c r="U44" s="153">
        <f t="shared" si="4"/>
        <v>10300</v>
      </c>
      <c r="V44" s="166">
        <f t="shared" si="5"/>
        <v>0</v>
      </c>
      <c r="W44" s="167">
        <f t="shared" si="6"/>
        <v>300</v>
      </c>
      <c r="X44" s="168">
        <f t="shared" si="7"/>
        <v>300</v>
      </c>
      <c r="Y44" s="14"/>
    </row>
    <row r="45" spans="1:25" s="7" customFormat="1" ht="12" customHeight="1">
      <c r="A45" s="67">
        <v>40339</v>
      </c>
      <c r="B45" s="28">
        <v>519</v>
      </c>
      <c r="C45" s="20" t="s">
        <v>21</v>
      </c>
      <c r="D45" s="20" t="s">
        <v>42</v>
      </c>
      <c r="E45" s="26">
        <f>3000+380</f>
        <v>3380</v>
      </c>
      <c r="F45" s="28" t="s">
        <v>1431</v>
      </c>
      <c r="G45" s="37">
        <v>9.49</v>
      </c>
      <c r="H45" s="150">
        <f t="shared" si="8"/>
        <v>32076.2</v>
      </c>
      <c r="I45" s="306">
        <v>1</v>
      </c>
      <c r="J45" s="155">
        <v>1.1299999999999999</v>
      </c>
      <c r="K45" s="156">
        <v>0</v>
      </c>
      <c r="L45" s="157">
        <v>0</v>
      </c>
      <c r="M45" s="153">
        <f t="shared" si="9"/>
        <v>1.1299999999999999</v>
      </c>
      <c r="N45" s="166">
        <v>0.21</v>
      </c>
      <c r="O45" s="167">
        <v>0.1</v>
      </c>
      <c r="P45" s="168">
        <v>0.3</v>
      </c>
      <c r="Q45" s="309">
        <f t="shared" si="0"/>
        <v>3380</v>
      </c>
      <c r="R45" s="152">
        <f t="shared" si="1"/>
        <v>3819.3999999999996</v>
      </c>
      <c r="S45" s="154">
        <f t="shared" si="2"/>
        <v>0</v>
      </c>
      <c r="T45" s="169">
        <f t="shared" si="3"/>
        <v>0</v>
      </c>
      <c r="U45" s="153">
        <f t="shared" si="4"/>
        <v>3819.3999999999996</v>
      </c>
      <c r="V45" s="166">
        <f t="shared" si="5"/>
        <v>709.8</v>
      </c>
      <c r="W45" s="167">
        <f t="shared" si="6"/>
        <v>338</v>
      </c>
      <c r="X45" s="168">
        <f t="shared" si="7"/>
        <v>1014</v>
      </c>
      <c r="Y45" s="14"/>
    </row>
    <row r="46" spans="1:25" s="7" customFormat="1" ht="12" customHeight="1">
      <c r="A46" s="67">
        <v>40339</v>
      </c>
      <c r="B46" s="28">
        <v>520</v>
      </c>
      <c r="C46" s="20" t="s">
        <v>511</v>
      </c>
      <c r="D46" s="20" t="s">
        <v>512</v>
      </c>
      <c r="E46" s="26">
        <v>2</v>
      </c>
      <c r="F46" s="28" t="s">
        <v>1432</v>
      </c>
      <c r="G46" s="37">
        <v>98.5</v>
      </c>
      <c r="H46" s="150">
        <f t="shared" si="8"/>
        <v>197</v>
      </c>
      <c r="I46" s="306">
        <v>3.5</v>
      </c>
      <c r="J46" s="155">
        <v>11.91</v>
      </c>
      <c r="K46" s="156">
        <v>0</v>
      </c>
      <c r="L46" s="157">
        <v>0</v>
      </c>
      <c r="M46" s="153">
        <f t="shared" si="9"/>
        <v>11.91</v>
      </c>
      <c r="N46" s="166">
        <v>0.33</v>
      </c>
      <c r="O46" s="167">
        <v>0.25</v>
      </c>
      <c r="P46" s="168">
        <v>0.1</v>
      </c>
      <c r="Q46" s="309">
        <f t="shared" si="0"/>
        <v>7</v>
      </c>
      <c r="R46" s="152">
        <f t="shared" si="1"/>
        <v>23.82</v>
      </c>
      <c r="S46" s="154">
        <f t="shared" si="2"/>
        <v>0</v>
      </c>
      <c r="T46" s="169">
        <f t="shared" si="3"/>
        <v>0</v>
      </c>
      <c r="U46" s="153">
        <f t="shared" si="4"/>
        <v>23.82</v>
      </c>
      <c r="V46" s="166">
        <f>N46*E46</f>
        <v>0.66</v>
      </c>
      <c r="W46" s="167">
        <f>O46*E46</f>
        <v>0.5</v>
      </c>
      <c r="X46" s="168">
        <f>P46*E46</f>
        <v>0.2</v>
      </c>
      <c r="Y46" s="14"/>
    </row>
    <row r="47" spans="1:25" s="7" customFormat="1" ht="12" customHeight="1">
      <c r="A47" s="67"/>
      <c r="B47" s="28"/>
      <c r="C47" s="20" t="s">
        <v>511</v>
      </c>
      <c r="D47" s="20" t="s">
        <v>512</v>
      </c>
      <c r="E47" s="26">
        <v>2</v>
      </c>
      <c r="F47" s="28" t="s">
        <v>1433</v>
      </c>
      <c r="G47" s="37">
        <v>98.5</v>
      </c>
      <c r="H47" s="150">
        <f t="shared" si="8"/>
        <v>197</v>
      </c>
      <c r="I47" s="306">
        <v>3.5</v>
      </c>
      <c r="J47" s="155">
        <v>11.91</v>
      </c>
      <c r="K47" s="156">
        <v>0</v>
      </c>
      <c r="L47" s="157">
        <v>0</v>
      </c>
      <c r="M47" s="153">
        <f t="shared" si="9"/>
        <v>11.91</v>
      </c>
      <c r="N47" s="166">
        <v>0.33</v>
      </c>
      <c r="O47" s="167">
        <v>0.25</v>
      </c>
      <c r="P47" s="168">
        <v>0.1</v>
      </c>
      <c r="Q47" s="309">
        <f t="shared" si="0"/>
        <v>7</v>
      </c>
      <c r="R47" s="152">
        <f t="shared" si="1"/>
        <v>23.82</v>
      </c>
      <c r="S47" s="154">
        <f t="shared" si="2"/>
        <v>0</v>
      </c>
      <c r="T47" s="169">
        <f t="shared" si="3"/>
        <v>0</v>
      </c>
      <c r="U47" s="153">
        <f t="shared" si="4"/>
        <v>23.82</v>
      </c>
      <c r="V47" s="166">
        <f t="shared" si="5"/>
        <v>0.66</v>
      </c>
      <c r="W47" s="167">
        <f t="shared" si="6"/>
        <v>0.5</v>
      </c>
      <c r="X47" s="168">
        <f t="shared" si="7"/>
        <v>0.2</v>
      </c>
      <c r="Y47" s="14"/>
    </row>
    <row r="48" spans="1:25" s="7" customFormat="1" ht="12" customHeight="1">
      <c r="A48" s="67"/>
      <c r="B48" s="26"/>
      <c r="C48" s="20" t="s">
        <v>511</v>
      </c>
      <c r="D48" s="20" t="s">
        <v>512</v>
      </c>
      <c r="E48" s="26">
        <v>1</v>
      </c>
      <c r="F48" s="28" t="s">
        <v>1434</v>
      </c>
      <c r="G48" s="37">
        <v>98.5</v>
      </c>
      <c r="H48" s="150">
        <f t="shared" si="8"/>
        <v>98.5</v>
      </c>
      <c r="I48" s="306">
        <v>3.5</v>
      </c>
      <c r="J48" s="155">
        <v>11.91</v>
      </c>
      <c r="K48" s="156">
        <v>0</v>
      </c>
      <c r="L48" s="157">
        <v>0</v>
      </c>
      <c r="M48" s="153">
        <f t="shared" si="9"/>
        <v>11.91</v>
      </c>
      <c r="N48" s="166">
        <v>0.33</v>
      </c>
      <c r="O48" s="167">
        <v>0.25</v>
      </c>
      <c r="P48" s="168">
        <v>0.1</v>
      </c>
      <c r="Q48" s="309">
        <f t="shared" si="0"/>
        <v>3.5</v>
      </c>
      <c r="R48" s="152">
        <f t="shared" si="1"/>
        <v>11.91</v>
      </c>
      <c r="S48" s="154">
        <f t="shared" si="2"/>
        <v>0</v>
      </c>
      <c r="T48" s="169">
        <f t="shared" si="3"/>
        <v>0</v>
      </c>
      <c r="U48" s="153">
        <f t="shared" si="4"/>
        <v>11.91</v>
      </c>
      <c r="V48" s="166">
        <f>N48*E48</f>
        <v>0.33</v>
      </c>
      <c r="W48" s="167">
        <f>O48*E48</f>
        <v>0.25</v>
      </c>
      <c r="X48" s="168">
        <f>P48*E48</f>
        <v>0.1</v>
      </c>
      <c r="Y48" s="14"/>
    </row>
    <row r="49" spans="1:25" s="7" customFormat="1" ht="12" customHeight="1">
      <c r="A49" s="67"/>
      <c r="B49" s="26"/>
      <c r="C49" s="20" t="s">
        <v>511</v>
      </c>
      <c r="D49" s="20" t="s">
        <v>512</v>
      </c>
      <c r="E49" s="26">
        <v>1</v>
      </c>
      <c r="F49" s="28" t="s">
        <v>1435</v>
      </c>
      <c r="G49" s="37">
        <v>98.5</v>
      </c>
      <c r="H49" s="150">
        <f t="shared" si="8"/>
        <v>98.5</v>
      </c>
      <c r="I49" s="306">
        <v>3.5</v>
      </c>
      <c r="J49" s="155">
        <v>11.91</v>
      </c>
      <c r="K49" s="156">
        <v>0</v>
      </c>
      <c r="L49" s="157">
        <v>0</v>
      </c>
      <c r="M49" s="153">
        <f t="shared" si="9"/>
        <v>11.91</v>
      </c>
      <c r="N49" s="166">
        <v>0.33</v>
      </c>
      <c r="O49" s="167">
        <v>0.25</v>
      </c>
      <c r="P49" s="168">
        <v>0.1</v>
      </c>
      <c r="Q49" s="309">
        <f t="shared" si="0"/>
        <v>3.5</v>
      </c>
      <c r="R49" s="152">
        <f t="shared" si="1"/>
        <v>11.91</v>
      </c>
      <c r="S49" s="154">
        <f t="shared" si="2"/>
        <v>0</v>
      </c>
      <c r="T49" s="169">
        <f t="shared" si="3"/>
        <v>0</v>
      </c>
      <c r="U49" s="153">
        <f t="shared" si="4"/>
        <v>11.91</v>
      </c>
      <c r="V49" s="166">
        <f t="shared" si="5"/>
        <v>0.33</v>
      </c>
      <c r="W49" s="167">
        <f t="shared" si="6"/>
        <v>0.25</v>
      </c>
      <c r="X49" s="168">
        <f t="shared" si="7"/>
        <v>0.1</v>
      </c>
      <c r="Y49" s="14"/>
    </row>
    <row r="50" spans="1:25" s="7" customFormat="1" ht="12" customHeight="1">
      <c r="A50" s="67">
        <v>40343</v>
      </c>
      <c r="B50" s="28">
        <v>521</v>
      </c>
      <c r="C50" s="20" t="s">
        <v>1167</v>
      </c>
      <c r="D50" s="20" t="s">
        <v>1167</v>
      </c>
      <c r="E50" s="26">
        <v>5</v>
      </c>
      <c r="F50" s="28" t="s">
        <v>1436</v>
      </c>
      <c r="G50" s="37">
        <v>50</v>
      </c>
      <c r="H50" s="150">
        <f t="shared" si="8"/>
        <v>250</v>
      </c>
      <c r="I50" s="306">
        <v>6</v>
      </c>
      <c r="J50" s="155">
        <v>11.68</v>
      </c>
      <c r="K50" s="156">
        <v>2</v>
      </c>
      <c r="L50" s="157">
        <v>0.3</v>
      </c>
      <c r="M50" s="153">
        <f t="shared" si="9"/>
        <v>13.68</v>
      </c>
      <c r="N50" s="166">
        <v>0.42</v>
      </c>
      <c r="O50" s="167">
        <v>0.1</v>
      </c>
      <c r="P50" s="168">
        <v>0.1</v>
      </c>
      <c r="Q50" s="309">
        <f t="shared" si="0"/>
        <v>30</v>
      </c>
      <c r="R50" s="152">
        <f t="shared" si="1"/>
        <v>58.4</v>
      </c>
      <c r="S50" s="154">
        <f t="shared" si="2"/>
        <v>10</v>
      </c>
      <c r="T50" s="169">
        <f t="shared" si="3"/>
        <v>1.5</v>
      </c>
      <c r="U50" s="153">
        <f t="shared" si="4"/>
        <v>68.400000000000006</v>
      </c>
      <c r="V50" s="166">
        <f t="shared" si="5"/>
        <v>2.1</v>
      </c>
      <c r="W50" s="167">
        <f t="shared" si="6"/>
        <v>0.5</v>
      </c>
      <c r="X50" s="168">
        <f t="shared" si="7"/>
        <v>0.5</v>
      </c>
      <c r="Y50" s="14"/>
    </row>
    <row r="51" spans="1:25" s="7" customFormat="1" ht="12" customHeight="1">
      <c r="A51" s="67">
        <v>40343</v>
      </c>
      <c r="B51" s="28">
        <v>522</v>
      </c>
      <c r="C51" s="20" t="s">
        <v>1050</v>
      </c>
      <c r="D51" s="20" t="s">
        <v>245</v>
      </c>
      <c r="E51" s="26">
        <v>2</v>
      </c>
      <c r="F51" s="28" t="s">
        <v>1437</v>
      </c>
      <c r="G51" s="37">
        <v>45</v>
      </c>
      <c r="H51" s="150">
        <f t="shared" si="8"/>
        <v>90</v>
      </c>
      <c r="I51" s="306">
        <v>7</v>
      </c>
      <c r="J51" s="155">
        <v>14.64</v>
      </c>
      <c r="K51" s="156">
        <v>0</v>
      </c>
      <c r="L51" s="157">
        <v>0</v>
      </c>
      <c r="M51" s="153">
        <f t="shared" si="9"/>
        <v>14.64</v>
      </c>
      <c r="N51" s="166">
        <v>0.57999999999999996</v>
      </c>
      <c r="O51" s="167">
        <v>0.25</v>
      </c>
      <c r="P51" s="168">
        <v>0.2</v>
      </c>
      <c r="Q51" s="309">
        <f t="shared" si="0"/>
        <v>14</v>
      </c>
      <c r="R51" s="152">
        <f t="shared" si="1"/>
        <v>29.28</v>
      </c>
      <c r="S51" s="154">
        <f t="shared" si="2"/>
        <v>0</v>
      </c>
      <c r="T51" s="169">
        <f t="shared" si="3"/>
        <v>0</v>
      </c>
      <c r="U51" s="153">
        <f t="shared" si="4"/>
        <v>29.28</v>
      </c>
      <c r="V51" s="166">
        <f t="shared" si="5"/>
        <v>1.1599999999999999</v>
      </c>
      <c r="W51" s="167">
        <f t="shared" si="6"/>
        <v>0.5</v>
      </c>
      <c r="X51" s="168">
        <f t="shared" si="7"/>
        <v>0.4</v>
      </c>
      <c r="Y51" s="14"/>
    </row>
    <row r="52" spans="1:25" s="7" customFormat="1" ht="12" customHeight="1">
      <c r="A52" s="67">
        <v>40343</v>
      </c>
      <c r="B52" s="28">
        <v>523</v>
      </c>
      <c r="C52" s="20" t="s">
        <v>1438</v>
      </c>
      <c r="D52" s="20" t="s">
        <v>42</v>
      </c>
      <c r="E52" s="26">
        <f>54</f>
        <v>54</v>
      </c>
      <c r="F52" s="28" t="s">
        <v>1439</v>
      </c>
      <c r="G52" s="37">
        <v>35</v>
      </c>
      <c r="H52" s="150">
        <f t="shared" si="8"/>
        <v>1890</v>
      </c>
      <c r="I52" s="306">
        <v>3.5</v>
      </c>
      <c r="J52" s="155">
        <v>5.27</v>
      </c>
      <c r="K52" s="156">
        <v>2.4</v>
      </c>
      <c r="L52" s="157">
        <v>0.36</v>
      </c>
      <c r="M52" s="153">
        <f t="shared" si="9"/>
        <v>7.67</v>
      </c>
      <c r="N52" s="166">
        <v>0.5</v>
      </c>
      <c r="O52" s="167">
        <v>0.1</v>
      </c>
      <c r="P52" s="168">
        <v>0.1</v>
      </c>
      <c r="Q52" s="309">
        <f t="shared" si="0"/>
        <v>189</v>
      </c>
      <c r="R52" s="152">
        <f t="shared" si="1"/>
        <v>284.58</v>
      </c>
      <c r="S52" s="154">
        <f t="shared" si="2"/>
        <v>129.6</v>
      </c>
      <c r="T52" s="169">
        <f t="shared" si="3"/>
        <v>19.439999999999998</v>
      </c>
      <c r="U52" s="153">
        <f t="shared" si="4"/>
        <v>414.18</v>
      </c>
      <c r="V52" s="166">
        <f t="shared" si="5"/>
        <v>27</v>
      </c>
      <c r="W52" s="167">
        <f t="shared" si="6"/>
        <v>5.4</v>
      </c>
      <c r="X52" s="168">
        <f t="shared" si="7"/>
        <v>5.4</v>
      </c>
      <c r="Y52" s="14"/>
    </row>
    <row r="53" spans="1:25" s="7" customFormat="1" ht="12" customHeight="1">
      <c r="A53" s="67">
        <v>40343</v>
      </c>
      <c r="B53" s="28">
        <v>524</v>
      </c>
      <c r="C53" s="20" t="s">
        <v>1440</v>
      </c>
      <c r="D53" s="20" t="s">
        <v>198</v>
      </c>
      <c r="E53" s="26">
        <v>20</v>
      </c>
      <c r="F53" s="28" t="s">
        <v>1441</v>
      </c>
      <c r="G53" s="37">
        <v>54.5</v>
      </c>
      <c r="H53" s="150">
        <f t="shared" si="8"/>
        <v>1090</v>
      </c>
      <c r="I53" s="306">
        <v>8.5</v>
      </c>
      <c r="J53" s="155">
        <v>7.14</v>
      </c>
      <c r="K53" s="156">
        <v>9.8000000000000007</v>
      </c>
      <c r="L53" s="157">
        <v>1.47</v>
      </c>
      <c r="M53" s="153">
        <f t="shared" si="9"/>
        <v>16.940000000000001</v>
      </c>
      <c r="N53" s="166">
        <v>0.67</v>
      </c>
      <c r="O53" s="167">
        <v>0.1</v>
      </c>
      <c r="P53" s="168">
        <v>0.1</v>
      </c>
      <c r="Q53" s="309">
        <f t="shared" si="0"/>
        <v>170</v>
      </c>
      <c r="R53" s="152">
        <f t="shared" si="1"/>
        <v>142.79999999999998</v>
      </c>
      <c r="S53" s="154">
        <f t="shared" si="2"/>
        <v>196</v>
      </c>
      <c r="T53" s="169">
        <f t="shared" si="3"/>
        <v>29.4</v>
      </c>
      <c r="U53" s="153">
        <f t="shared" si="4"/>
        <v>338.8</v>
      </c>
      <c r="V53" s="166">
        <f t="shared" si="5"/>
        <v>13.4</v>
      </c>
      <c r="W53" s="167">
        <f t="shared" si="6"/>
        <v>2</v>
      </c>
      <c r="X53" s="168">
        <f t="shared" si="7"/>
        <v>2</v>
      </c>
      <c r="Y53" s="14"/>
    </row>
    <row r="54" spans="1:25" s="7" customFormat="1" ht="12" customHeight="1">
      <c r="A54" s="67"/>
      <c r="B54" s="28"/>
      <c r="C54" s="20" t="s">
        <v>1440</v>
      </c>
      <c r="D54" s="20" t="s">
        <v>198</v>
      </c>
      <c r="E54" s="26">
        <v>20</v>
      </c>
      <c r="F54" s="28" t="s">
        <v>1442</v>
      </c>
      <c r="G54" s="37">
        <v>12.5</v>
      </c>
      <c r="H54" s="150">
        <f t="shared" si="8"/>
        <v>250</v>
      </c>
      <c r="I54" s="306">
        <v>1</v>
      </c>
      <c r="J54" s="155">
        <v>1.63</v>
      </c>
      <c r="K54" s="156">
        <v>2.35</v>
      </c>
      <c r="L54" s="157">
        <v>0.35</v>
      </c>
      <c r="M54" s="153">
        <f t="shared" si="9"/>
        <v>3.98</v>
      </c>
      <c r="N54" s="166">
        <v>0.28999999999999998</v>
      </c>
      <c r="O54" s="167">
        <v>0.1</v>
      </c>
      <c r="P54" s="168">
        <v>0.1</v>
      </c>
      <c r="Q54" s="309">
        <f t="shared" si="0"/>
        <v>20</v>
      </c>
      <c r="R54" s="178">
        <f t="shared" si="1"/>
        <v>32.599999999999994</v>
      </c>
      <c r="S54" s="154">
        <f t="shared" si="2"/>
        <v>47</v>
      </c>
      <c r="T54" s="169">
        <f t="shared" si="3"/>
        <v>7</v>
      </c>
      <c r="U54" s="179">
        <f t="shared" si="4"/>
        <v>79.599999999999994</v>
      </c>
      <c r="V54" s="166">
        <f t="shared" si="5"/>
        <v>5.8</v>
      </c>
      <c r="W54" s="167">
        <f t="shared" si="6"/>
        <v>2</v>
      </c>
      <c r="X54" s="168">
        <f t="shared" si="7"/>
        <v>2</v>
      </c>
      <c r="Y54" s="14"/>
    </row>
    <row r="55" spans="1:25" s="7" customFormat="1" ht="12" customHeight="1">
      <c r="A55" s="67">
        <v>40344</v>
      </c>
      <c r="B55" s="28">
        <v>525</v>
      </c>
      <c r="C55" s="20" t="s">
        <v>23</v>
      </c>
      <c r="D55" s="20" t="s">
        <v>24</v>
      </c>
      <c r="E55" s="26">
        <v>5</v>
      </c>
      <c r="F55" s="28" t="s">
        <v>1443</v>
      </c>
      <c r="G55" s="37">
        <v>55</v>
      </c>
      <c r="H55" s="150">
        <f t="shared" si="8"/>
        <v>275</v>
      </c>
      <c r="I55" s="306">
        <v>2</v>
      </c>
      <c r="J55" s="155">
        <v>17.5</v>
      </c>
      <c r="K55" s="156">
        <v>0</v>
      </c>
      <c r="L55" s="157">
        <v>0</v>
      </c>
      <c r="M55" s="153">
        <f t="shared" si="9"/>
        <v>17.5</v>
      </c>
      <c r="N55" s="166">
        <v>0.25</v>
      </c>
      <c r="O55" s="167">
        <v>0.25</v>
      </c>
      <c r="P55" s="168">
        <v>0.5</v>
      </c>
      <c r="Q55" s="309">
        <f t="shared" si="0"/>
        <v>10</v>
      </c>
      <c r="R55" s="152">
        <f t="shared" si="1"/>
        <v>87.5</v>
      </c>
      <c r="S55" s="154">
        <f t="shared" si="2"/>
        <v>0</v>
      </c>
      <c r="T55" s="169">
        <f t="shared" si="3"/>
        <v>0</v>
      </c>
      <c r="U55" s="153">
        <f t="shared" si="4"/>
        <v>87.5</v>
      </c>
      <c r="V55" s="166">
        <f t="shared" si="5"/>
        <v>1.25</v>
      </c>
      <c r="W55" s="167">
        <f t="shared" si="6"/>
        <v>1.25</v>
      </c>
      <c r="X55" s="168">
        <f t="shared" si="7"/>
        <v>2.5</v>
      </c>
      <c r="Y55" s="14"/>
    </row>
    <row r="56" spans="1:25" s="7" customFormat="1" ht="12" customHeight="1">
      <c r="A56" s="67"/>
      <c r="B56" s="28"/>
      <c r="C56" s="20" t="s">
        <v>23</v>
      </c>
      <c r="D56" s="20" t="s">
        <v>24</v>
      </c>
      <c r="E56" s="26">
        <v>5</v>
      </c>
      <c r="F56" s="28" t="s">
        <v>1444</v>
      </c>
      <c r="G56" s="37">
        <v>37.5</v>
      </c>
      <c r="H56" s="150">
        <f t="shared" si="8"/>
        <v>187.5</v>
      </c>
      <c r="I56" s="306">
        <v>2</v>
      </c>
      <c r="J56" s="155">
        <v>6.55</v>
      </c>
      <c r="K56" s="156">
        <v>0</v>
      </c>
      <c r="L56" s="157">
        <v>0</v>
      </c>
      <c r="M56" s="153">
        <f t="shared" si="9"/>
        <v>6.55</v>
      </c>
      <c r="N56" s="166">
        <v>0.25</v>
      </c>
      <c r="O56" s="167">
        <v>0.25</v>
      </c>
      <c r="P56" s="168">
        <v>0.5</v>
      </c>
      <c r="Q56" s="309">
        <f t="shared" si="0"/>
        <v>10</v>
      </c>
      <c r="R56" s="152">
        <f t="shared" si="1"/>
        <v>32.75</v>
      </c>
      <c r="S56" s="154">
        <f t="shared" si="2"/>
        <v>0</v>
      </c>
      <c r="T56" s="169">
        <f t="shared" si="3"/>
        <v>0</v>
      </c>
      <c r="U56" s="153">
        <f t="shared" si="4"/>
        <v>32.75</v>
      </c>
      <c r="V56" s="166">
        <f t="shared" si="5"/>
        <v>1.25</v>
      </c>
      <c r="W56" s="167">
        <f t="shared" si="6"/>
        <v>1.25</v>
      </c>
      <c r="X56" s="168">
        <f t="shared" si="7"/>
        <v>2.5</v>
      </c>
      <c r="Y56" s="14"/>
    </row>
    <row r="57" spans="1:25" s="7" customFormat="1" ht="12" customHeight="1">
      <c r="A57" s="67"/>
      <c r="B57" s="28"/>
      <c r="C57" s="20" t="s">
        <v>23</v>
      </c>
      <c r="D57" s="20" t="s">
        <v>24</v>
      </c>
      <c r="E57" s="26">
        <v>80</v>
      </c>
      <c r="F57" s="28" t="s">
        <v>1445</v>
      </c>
      <c r="G57" s="37">
        <v>12</v>
      </c>
      <c r="H57" s="150">
        <f t="shared" si="8"/>
        <v>960</v>
      </c>
      <c r="I57" s="306">
        <v>1.5</v>
      </c>
      <c r="J57" s="155">
        <v>5.01</v>
      </c>
      <c r="K57" s="156">
        <v>1.5</v>
      </c>
      <c r="L57" s="157">
        <v>0.23</v>
      </c>
      <c r="M57" s="153">
        <f t="shared" si="9"/>
        <v>6.51</v>
      </c>
      <c r="N57" s="166">
        <v>0.13</v>
      </c>
      <c r="O57" s="167">
        <v>0.1</v>
      </c>
      <c r="P57" s="168">
        <v>0.15</v>
      </c>
      <c r="Q57" s="309">
        <f t="shared" si="0"/>
        <v>120</v>
      </c>
      <c r="R57" s="152">
        <f t="shared" si="1"/>
        <v>400.79999999999995</v>
      </c>
      <c r="S57" s="154">
        <f t="shared" si="2"/>
        <v>120</v>
      </c>
      <c r="T57" s="169">
        <f t="shared" si="3"/>
        <v>18.400000000000002</v>
      </c>
      <c r="U57" s="153">
        <f t="shared" si="4"/>
        <v>520.79999999999995</v>
      </c>
      <c r="V57" s="166">
        <f t="shared" si="5"/>
        <v>10.4</v>
      </c>
      <c r="W57" s="167">
        <f t="shared" si="6"/>
        <v>8</v>
      </c>
      <c r="X57" s="168">
        <f t="shared" si="7"/>
        <v>12</v>
      </c>
      <c r="Y57" s="14"/>
    </row>
    <row r="58" spans="1:25" s="7" customFormat="1" ht="12" customHeight="1">
      <c r="A58" s="67"/>
      <c r="B58" s="28"/>
      <c r="C58" s="20" t="s">
        <v>23</v>
      </c>
      <c r="D58" s="20" t="s">
        <v>24</v>
      </c>
      <c r="E58" s="26">
        <v>195</v>
      </c>
      <c r="F58" s="28" t="s">
        <v>1446</v>
      </c>
      <c r="G58" s="37">
        <v>12</v>
      </c>
      <c r="H58" s="150">
        <f t="shared" si="8"/>
        <v>2340</v>
      </c>
      <c r="I58" s="306">
        <v>1.5</v>
      </c>
      <c r="J58" s="155">
        <v>5.16</v>
      </c>
      <c r="K58" s="156">
        <v>1.5</v>
      </c>
      <c r="L58" s="157">
        <v>0.23</v>
      </c>
      <c r="M58" s="153">
        <f t="shared" si="9"/>
        <v>6.66</v>
      </c>
      <c r="N58" s="166">
        <v>0.13</v>
      </c>
      <c r="O58" s="167">
        <v>0.1</v>
      </c>
      <c r="P58" s="168">
        <v>0.15</v>
      </c>
      <c r="Q58" s="309">
        <f t="shared" si="0"/>
        <v>292.5</v>
      </c>
      <c r="R58" s="152">
        <f t="shared" si="1"/>
        <v>1006.2</v>
      </c>
      <c r="S58" s="154">
        <f t="shared" si="2"/>
        <v>292.5</v>
      </c>
      <c r="T58" s="169">
        <f t="shared" si="3"/>
        <v>44.85</v>
      </c>
      <c r="U58" s="153">
        <f t="shared" si="4"/>
        <v>1298.7</v>
      </c>
      <c r="V58" s="166">
        <f t="shared" si="5"/>
        <v>25.35</v>
      </c>
      <c r="W58" s="167">
        <f t="shared" si="6"/>
        <v>19.5</v>
      </c>
      <c r="X58" s="168">
        <f t="shared" si="7"/>
        <v>29.25</v>
      </c>
      <c r="Y58" s="14"/>
    </row>
    <row r="59" spans="1:25" ht="12" customHeight="1">
      <c r="A59" s="67"/>
      <c r="B59" s="28"/>
      <c r="C59" s="20" t="s">
        <v>23</v>
      </c>
      <c r="D59" s="20" t="s">
        <v>24</v>
      </c>
      <c r="E59" s="26">
        <v>6</v>
      </c>
      <c r="F59" s="28" t="s">
        <v>1447</v>
      </c>
      <c r="G59" s="37">
        <v>90</v>
      </c>
      <c r="H59" s="150">
        <f t="shared" si="8"/>
        <v>540</v>
      </c>
      <c r="I59" s="307">
        <v>10</v>
      </c>
      <c r="J59" s="155">
        <v>13.19</v>
      </c>
      <c r="K59" s="156">
        <v>1.5</v>
      </c>
      <c r="L59" s="157">
        <v>0.23</v>
      </c>
      <c r="M59" s="153">
        <f t="shared" si="9"/>
        <v>14.69</v>
      </c>
      <c r="N59" s="166">
        <v>2.08</v>
      </c>
      <c r="O59" s="167">
        <v>0.1</v>
      </c>
      <c r="P59" s="168">
        <v>0.1</v>
      </c>
      <c r="Q59" s="309">
        <f t="shared" si="0"/>
        <v>60</v>
      </c>
      <c r="R59" s="152">
        <f t="shared" si="1"/>
        <v>79.14</v>
      </c>
      <c r="S59" s="154">
        <f t="shared" si="2"/>
        <v>9</v>
      </c>
      <c r="T59" s="169">
        <f t="shared" si="3"/>
        <v>1.3800000000000001</v>
      </c>
      <c r="U59" s="153">
        <f t="shared" si="4"/>
        <v>88.14</v>
      </c>
      <c r="V59" s="166">
        <f t="shared" si="5"/>
        <v>12.48</v>
      </c>
      <c r="W59" s="167">
        <f t="shared" si="6"/>
        <v>0.60000000000000009</v>
      </c>
      <c r="X59" s="168">
        <f t="shared" si="7"/>
        <v>0.60000000000000009</v>
      </c>
      <c r="Y59" s="14"/>
    </row>
    <row r="60" spans="1:25" ht="12" customHeight="1">
      <c r="A60" s="67">
        <v>40345</v>
      </c>
      <c r="B60" s="28">
        <v>526</v>
      </c>
      <c r="C60" s="20" t="s">
        <v>259</v>
      </c>
      <c r="D60" s="20" t="s">
        <v>113</v>
      </c>
      <c r="E60" s="26">
        <f>300-200</f>
        <v>100</v>
      </c>
      <c r="F60" s="28" t="s">
        <v>1448</v>
      </c>
      <c r="G60" s="37">
        <v>12.5</v>
      </c>
      <c r="H60" s="150">
        <f t="shared" si="8"/>
        <v>1250</v>
      </c>
      <c r="I60" s="306">
        <v>1</v>
      </c>
      <c r="J60" s="155">
        <v>2.0099999999999998</v>
      </c>
      <c r="K60" s="156">
        <v>1.1000000000000001</v>
      </c>
      <c r="L60" s="157">
        <v>0.17</v>
      </c>
      <c r="M60" s="153">
        <f t="shared" si="9"/>
        <v>3.11</v>
      </c>
      <c r="N60" s="166">
        <v>0.28999999999999998</v>
      </c>
      <c r="O60" s="167">
        <v>0.1</v>
      </c>
      <c r="P60" s="168">
        <v>0.1</v>
      </c>
      <c r="Q60" s="309">
        <f t="shared" si="0"/>
        <v>100</v>
      </c>
      <c r="R60" s="152">
        <f t="shared" si="1"/>
        <v>200.99999999999997</v>
      </c>
      <c r="S60" s="154">
        <f t="shared" si="2"/>
        <v>110.00000000000001</v>
      </c>
      <c r="T60" s="169">
        <f t="shared" si="3"/>
        <v>17</v>
      </c>
      <c r="U60" s="153">
        <f t="shared" si="4"/>
        <v>311</v>
      </c>
      <c r="V60" s="166">
        <f t="shared" si="5"/>
        <v>28.999999999999996</v>
      </c>
      <c r="W60" s="167">
        <f t="shared" si="6"/>
        <v>10</v>
      </c>
      <c r="X60" s="168">
        <f t="shared" si="7"/>
        <v>10</v>
      </c>
      <c r="Y60" s="14"/>
    </row>
    <row r="61" spans="1:25" ht="12" customHeight="1">
      <c r="A61" s="67"/>
      <c r="B61" s="28"/>
      <c r="C61" s="20" t="s">
        <v>259</v>
      </c>
      <c r="D61" s="20" t="s">
        <v>113</v>
      </c>
      <c r="E61" s="26">
        <v>55</v>
      </c>
      <c r="F61" s="28" t="s">
        <v>1449</v>
      </c>
      <c r="G61" s="37">
        <v>45.5</v>
      </c>
      <c r="H61" s="150">
        <f t="shared" si="8"/>
        <v>2502.5</v>
      </c>
      <c r="I61" s="306">
        <v>8.5</v>
      </c>
      <c r="J61" s="155">
        <v>7.08</v>
      </c>
      <c r="K61" s="177">
        <v>4.5</v>
      </c>
      <c r="L61" s="157">
        <v>0.68</v>
      </c>
      <c r="M61" s="179">
        <f t="shared" si="9"/>
        <v>11.58</v>
      </c>
      <c r="N61" s="166">
        <v>0.67</v>
      </c>
      <c r="O61" s="167">
        <v>0.1</v>
      </c>
      <c r="P61" s="168">
        <v>0.25</v>
      </c>
      <c r="Q61" s="309">
        <f t="shared" si="0"/>
        <v>467.5</v>
      </c>
      <c r="R61" s="152">
        <f t="shared" si="1"/>
        <v>389.4</v>
      </c>
      <c r="S61" s="154">
        <f t="shared" si="2"/>
        <v>247.5</v>
      </c>
      <c r="T61" s="169">
        <f t="shared" si="3"/>
        <v>37.400000000000006</v>
      </c>
      <c r="U61" s="153">
        <f t="shared" si="4"/>
        <v>636.9</v>
      </c>
      <c r="V61" s="166">
        <f t="shared" si="5"/>
        <v>36.85</v>
      </c>
      <c r="W61" s="167">
        <f t="shared" si="6"/>
        <v>5.5</v>
      </c>
      <c r="X61" s="168">
        <f t="shared" si="7"/>
        <v>13.75</v>
      </c>
      <c r="Y61" s="14"/>
    </row>
    <row r="62" spans="1:25" ht="12" customHeight="1">
      <c r="A62" s="67"/>
      <c r="B62" s="28"/>
      <c r="C62" s="20" t="s">
        <v>259</v>
      </c>
      <c r="D62" s="20" t="s">
        <v>113</v>
      </c>
      <c r="E62" s="26">
        <v>322</v>
      </c>
      <c r="F62" s="28" t="s">
        <v>1450</v>
      </c>
      <c r="G62" s="37">
        <v>12.5</v>
      </c>
      <c r="H62" s="150">
        <f t="shared" si="8"/>
        <v>4025</v>
      </c>
      <c r="I62" s="306">
        <v>1.5</v>
      </c>
      <c r="J62" s="155">
        <v>2.78</v>
      </c>
      <c r="K62" s="156">
        <v>1.1000000000000001</v>
      </c>
      <c r="L62" s="157">
        <v>0.17</v>
      </c>
      <c r="M62" s="153">
        <f t="shared" si="9"/>
        <v>3.88</v>
      </c>
      <c r="N62" s="166">
        <v>0.35</v>
      </c>
      <c r="O62" s="167">
        <v>0.1</v>
      </c>
      <c r="P62" s="168">
        <v>0.1</v>
      </c>
      <c r="Q62" s="309">
        <f t="shared" si="0"/>
        <v>483</v>
      </c>
      <c r="R62" s="152">
        <f t="shared" si="1"/>
        <v>895.16</v>
      </c>
      <c r="S62" s="154">
        <f t="shared" si="2"/>
        <v>354.20000000000005</v>
      </c>
      <c r="T62" s="169">
        <f t="shared" si="3"/>
        <v>54.74</v>
      </c>
      <c r="U62" s="153">
        <f t="shared" si="4"/>
        <v>1249.3599999999999</v>
      </c>
      <c r="V62" s="166">
        <f t="shared" si="5"/>
        <v>112.69999999999999</v>
      </c>
      <c r="W62" s="167">
        <f t="shared" si="6"/>
        <v>32.200000000000003</v>
      </c>
      <c r="X62" s="168">
        <f t="shared" si="7"/>
        <v>32.200000000000003</v>
      </c>
      <c r="Y62" s="14"/>
    </row>
    <row r="63" spans="1:25" ht="12" customHeight="1">
      <c r="A63" s="236">
        <v>40347</v>
      </c>
      <c r="B63" s="38">
        <v>527</v>
      </c>
      <c r="C63" s="110" t="s">
        <v>1451</v>
      </c>
      <c r="D63" s="110" t="s">
        <v>988</v>
      </c>
      <c r="E63" s="39">
        <f>60+7</f>
        <v>67</v>
      </c>
      <c r="F63" s="38" t="s">
        <v>1452</v>
      </c>
      <c r="G63" s="200">
        <v>35</v>
      </c>
      <c r="H63" s="150">
        <f t="shared" si="8"/>
        <v>2345</v>
      </c>
      <c r="I63" s="306">
        <v>4</v>
      </c>
      <c r="J63" s="155">
        <v>9.31</v>
      </c>
      <c r="K63" s="156">
        <v>5</v>
      </c>
      <c r="L63" s="157">
        <v>0.75</v>
      </c>
      <c r="M63" s="153">
        <f t="shared" si="9"/>
        <v>14.31</v>
      </c>
      <c r="N63" s="166">
        <v>0.28999999999999998</v>
      </c>
      <c r="O63" s="167">
        <v>1</v>
      </c>
      <c r="P63" s="168">
        <v>0.2</v>
      </c>
      <c r="Q63" s="309">
        <f t="shared" si="0"/>
        <v>268</v>
      </c>
      <c r="R63" s="152">
        <f t="shared" si="1"/>
        <v>623.77</v>
      </c>
      <c r="S63" s="154">
        <f t="shared" si="2"/>
        <v>335</v>
      </c>
      <c r="T63" s="169">
        <f t="shared" si="3"/>
        <v>50.25</v>
      </c>
      <c r="U63" s="153">
        <f t="shared" si="4"/>
        <v>958.77</v>
      </c>
      <c r="V63" s="166">
        <f t="shared" si="5"/>
        <v>19.43</v>
      </c>
      <c r="W63" s="167">
        <f t="shared" si="6"/>
        <v>67</v>
      </c>
      <c r="X63" s="168">
        <f t="shared" si="7"/>
        <v>13.4</v>
      </c>
      <c r="Y63" s="14"/>
    </row>
    <row r="64" spans="1:25" ht="12" customHeight="1">
      <c r="A64" s="67">
        <v>40347</v>
      </c>
      <c r="B64" s="28">
        <v>528</v>
      </c>
      <c r="C64" s="20" t="s">
        <v>1453</v>
      </c>
      <c r="D64" s="20" t="s">
        <v>42</v>
      </c>
      <c r="E64" s="26">
        <v>5</v>
      </c>
      <c r="F64" s="28" t="s">
        <v>1454</v>
      </c>
      <c r="G64" s="37">
        <v>45</v>
      </c>
      <c r="H64" s="150">
        <f t="shared" si="8"/>
        <v>225</v>
      </c>
      <c r="I64" s="306">
        <v>3.5</v>
      </c>
      <c r="J64" s="155">
        <v>11.52</v>
      </c>
      <c r="K64" s="156">
        <v>1</v>
      </c>
      <c r="L64" s="157">
        <v>0.15</v>
      </c>
      <c r="M64" s="153">
        <f t="shared" si="9"/>
        <v>12.52</v>
      </c>
      <c r="N64" s="166">
        <v>0.33</v>
      </c>
      <c r="O64" s="167">
        <v>0.1</v>
      </c>
      <c r="P64" s="168">
        <v>0.1</v>
      </c>
      <c r="Q64" s="309">
        <f t="shared" si="0"/>
        <v>17.5</v>
      </c>
      <c r="R64" s="152">
        <f t="shared" si="1"/>
        <v>57.599999999999994</v>
      </c>
      <c r="S64" s="154">
        <f t="shared" si="2"/>
        <v>5</v>
      </c>
      <c r="T64" s="169">
        <f t="shared" si="3"/>
        <v>0.75</v>
      </c>
      <c r="U64" s="153">
        <f t="shared" si="4"/>
        <v>62.599999999999994</v>
      </c>
      <c r="V64" s="166">
        <f t="shared" si="5"/>
        <v>1.6500000000000001</v>
      </c>
      <c r="W64" s="167">
        <f t="shared" si="6"/>
        <v>0.5</v>
      </c>
      <c r="X64" s="168">
        <f t="shared" si="7"/>
        <v>0.5</v>
      </c>
      <c r="Y64" s="14"/>
    </row>
    <row r="65" spans="1:25" ht="12" customHeight="1">
      <c r="A65" s="67"/>
      <c r="B65" s="28"/>
      <c r="C65" s="20" t="s">
        <v>1453</v>
      </c>
      <c r="D65" s="20" t="s">
        <v>42</v>
      </c>
      <c r="E65" s="26">
        <v>5</v>
      </c>
      <c r="F65" s="28" t="s">
        <v>1455</v>
      </c>
      <c r="G65" s="37">
        <v>50</v>
      </c>
      <c r="H65" s="150">
        <f t="shared" si="8"/>
        <v>250</v>
      </c>
      <c r="I65" s="306">
        <v>0</v>
      </c>
      <c r="J65" s="155">
        <v>0</v>
      </c>
      <c r="K65" s="156">
        <v>0</v>
      </c>
      <c r="L65" s="157">
        <v>0</v>
      </c>
      <c r="M65" s="153">
        <f t="shared" si="9"/>
        <v>0</v>
      </c>
      <c r="N65" s="166">
        <v>0</v>
      </c>
      <c r="O65" s="167">
        <v>0</v>
      </c>
      <c r="P65" s="168">
        <v>0</v>
      </c>
      <c r="Q65" s="309">
        <f t="shared" si="0"/>
        <v>0</v>
      </c>
      <c r="R65" s="152">
        <f t="shared" si="1"/>
        <v>0</v>
      </c>
      <c r="S65" s="154">
        <f t="shared" si="2"/>
        <v>0</v>
      </c>
      <c r="T65" s="169">
        <f t="shared" si="3"/>
        <v>0</v>
      </c>
      <c r="U65" s="153">
        <f t="shared" si="4"/>
        <v>0</v>
      </c>
      <c r="V65" s="166">
        <f t="shared" si="5"/>
        <v>0</v>
      </c>
      <c r="W65" s="167">
        <f t="shared" si="6"/>
        <v>0</v>
      </c>
      <c r="X65" s="168">
        <f t="shared" si="7"/>
        <v>0</v>
      </c>
      <c r="Y65" s="14"/>
    </row>
    <row r="66" spans="1:25" ht="12" customHeight="1">
      <c r="A66" s="67"/>
      <c r="B66" s="28"/>
      <c r="C66" s="20" t="s">
        <v>1453</v>
      </c>
      <c r="D66" s="20" t="s">
        <v>42</v>
      </c>
      <c r="E66" s="26">
        <v>5</v>
      </c>
      <c r="F66" s="28" t="s">
        <v>1456</v>
      </c>
      <c r="G66" s="37">
        <v>45</v>
      </c>
      <c r="H66" s="150">
        <f t="shared" si="8"/>
        <v>225</v>
      </c>
      <c r="I66" s="306">
        <v>6.5</v>
      </c>
      <c r="J66" s="155">
        <v>24.03</v>
      </c>
      <c r="K66" s="156">
        <v>1</v>
      </c>
      <c r="L66" s="157">
        <v>0.15</v>
      </c>
      <c r="M66" s="153">
        <f t="shared" si="9"/>
        <v>25.03</v>
      </c>
      <c r="N66" s="166">
        <v>0.5</v>
      </c>
      <c r="O66" s="167">
        <v>0.1</v>
      </c>
      <c r="P66" s="168">
        <v>0</v>
      </c>
      <c r="Q66" s="309">
        <f t="shared" si="0"/>
        <v>32.5</v>
      </c>
      <c r="R66" s="152">
        <f t="shared" si="1"/>
        <v>120.15</v>
      </c>
      <c r="S66" s="154">
        <f t="shared" si="2"/>
        <v>5</v>
      </c>
      <c r="T66" s="169">
        <f t="shared" si="3"/>
        <v>0.75</v>
      </c>
      <c r="U66" s="153">
        <f t="shared" si="4"/>
        <v>125.15</v>
      </c>
      <c r="V66" s="166">
        <f t="shared" si="5"/>
        <v>2.5</v>
      </c>
      <c r="W66" s="167">
        <f t="shared" si="6"/>
        <v>0.5</v>
      </c>
      <c r="X66" s="168">
        <f t="shared" si="7"/>
        <v>0</v>
      </c>
      <c r="Y66" s="14"/>
    </row>
    <row r="67" spans="1:25" ht="12" customHeight="1">
      <c r="A67" s="67">
        <v>40351</v>
      </c>
      <c r="B67" s="28">
        <v>529</v>
      </c>
      <c r="C67" s="20" t="s">
        <v>660</v>
      </c>
      <c r="D67" s="20" t="s">
        <v>660</v>
      </c>
      <c r="E67" s="26">
        <v>20</v>
      </c>
      <c r="F67" s="28" t="s">
        <v>1457</v>
      </c>
      <c r="G67" s="37">
        <v>34</v>
      </c>
      <c r="H67" s="150">
        <f t="shared" si="8"/>
        <v>680</v>
      </c>
      <c r="I67" s="306">
        <v>3.5</v>
      </c>
      <c r="J67" s="155">
        <v>3.31</v>
      </c>
      <c r="K67" s="156">
        <v>1</v>
      </c>
      <c r="L67" s="157">
        <v>0.15</v>
      </c>
      <c r="M67" s="153">
        <f t="shared" si="9"/>
        <v>4.3100000000000005</v>
      </c>
      <c r="N67" s="166">
        <v>0.33</v>
      </c>
      <c r="O67" s="167">
        <v>0.25</v>
      </c>
      <c r="P67" s="168">
        <v>0.1</v>
      </c>
      <c r="Q67" s="309">
        <f t="shared" si="0"/>
        <v>70</v>
      </c>
      <c r="R67" s="152">
        <f t="shared" si="1"/>
        <v>66.2</v>
      </c>
      <c r="S67" s="154">
        <f t="shared" si="2"/>
        <v>20</v>
      </c>
      <c r="T67" s="169">
        <f t="shared" si="3"/>
        <v>3</v>
      </c>
      <c r="U67" s="153">
        <f t="shared" si="4"/>
        <v>86.200000000000017</v>
      </c>
      <c r="V67" s="166">
        <f t="shared" si="5"/>
        <v>6.6000000000000005</v>
      </c>
      <c r="W67" s="167">
        <f t="shared" si="6"/>
        <v>5</v>
      </c>
      <c r="X67" s="168">
        <f t="shared" si="7"/>
        <v>2</v>
      </c>
      <c r="Y67" s="14"/>
    </row>
    <row r="68" spans="1:25" ht="12" customHeight="1">
      <c r="A68" s="67"/>
      <c r="B68" s="28"/>
      <c r="C68" s="20" t="s">
        <v>660</v>
      </c>
      <c r="D68" s="20" t="s">
        <v>660</v>
      </c>
      <c r="E68" s="26">
        <v>20</v>
      </c>
      <c r="F68" s="28" t="s">
        <v>1458</v>
      </c>
      <c r="G68" s="37">
        <v>34</v>
      </c>
      <c r="H68" s="150">
        <f t="shared" si="8"/>
        <v>680</v>
      </c>
      <c r="I68" s="306">
        <v>3.5</v>
      </c>
      <c r="J68" s="155">
        <v>3.31</v>
      </c>
      <c r="K68" s="156">
        <v>1</v>
      </c>
      <c r="L68" s="157">
        <v>0.15</v>
      </c>
      <c r="M68" s="153">
        <f t="shared" si="9"/>
        <v>4.3100000000000005</v>
      </c>
      <c r="N68" s="166">
        <v>0.33</v>
      </c>
      <c r="O68" s="167">
        <v>0.25</v>
      </c>
      <c r="P68" s="168">
        <v>0.1</v>
      </c>
      <c r="Q68" s="309">
        <f t="shared" si="0"/>
        <v>70</v>
      </c>
      <c r="R68" s="152">
        <f t="shared" si="1"/>
        <v>66.2</v>
      </c>
      <c r="S68" s="154">
        <f t="shared" si="2"/>
        <v>20</v>
      </c>
      <c r="T68" s="169">
        <f t="shared" si="3"/>
        <v>3</v>
      </c>
      <c r="U68" s="153">
        <f t="shared" si="4"/>
        <v>86.200000000000017</v>
      </c>
      <c r="V68" s="166">
        <f t="shared" si="5"/>
        <v>6.6000000000000005</v>
      </c>
      <c r="W68" s="167">
        <f t="shared" si="6"/>
        <v>5</v>
      </c>
      <c r="X68" s="168">
        <f t="shared" si="7"/>
        <v>2</v>
      </c>
      <c r="Y68" s="14"/>
    </row>
    <row r="69" spans="1:25" ht="12" customHeight="1">
      <c r="A69" s="67"/>
      <c r="B69" s="28"/>
      <c r="C69" s="20" t="s">
        <v>660</v>
      </c>
      <c r="D69" s="20" t="s">
        <v>660</v>
      </c>
      <c r="E69" s="26">
        <v>5</v>
      </c>
      <c r="F69" s="28" t="s">
        <v>1459</v>
      </c>
      <c r="G69" s="37">
        <v>30</v>
      </c>
      <c r="H69" s="150">
        <f t="shared" si="8"/>
        <v>150</v>
      </c>
      <c r="I69" s="306">
        <v>3.5</v>
      </c>
      <c r="J69" s="155">
        <v>4.7699999999999996</v>
      </c>
      <c r="K69" s="156">
        <v>1</v>
      </c>
      <c r="L69" s="157">
        <v>0.15</v>
      </c>
      <c r="M69" s="153">
        <f t="shared" si="9"/>
        <v>5.77</v>
      </c>
      <c r="N69" s="166">
        <v>0.33</v>
      </c>
      <c r="O69" s="167">
        <v>0.25</v>
      </c>
      <c r="P69" s="168">
        <v>0.1</v>
      </c>
      <c r="Q69" s="309">
        <f t="shared" si="0"/>
        <v>17.5</v>
      </c>
      <c r="R69" s="152">
        <f t="shared" si="1"/>
        <v>23.849999999999998</v>
      </c>
      <c r="S69" s="154">
        <f t="shared" si="2"/>
        <v>5</v>
      </c>
      <c r="T69" s="169">
        <f t="shared" si="3"/>
        <v>0.75</v>
      </c>
      <c r="U69" s="153">
        <f t="shared" si="4"/>
        <v>28.849999999999998</v>
      </c>
      <c r="V69" s="166">
        <f t="shared" si="5"/>
        <v>1.6500000000000001</v>
      </c>
      <c r="W69" s="167">
        <f t="shared" si="6"/>
        <v>1.25</v>
      </c>
      <c r="X69" s="168">
        <f t="shared" si="7"/>
        <v>0.5</v>
      </c>
      <c r="Y69" s="14"/>
    </row>
    <row r="70" spans="1:25" ht="12" customHeight="1">
      <c r="A70" s="67"/>
      <c r="B70" s="28"/>
      <c r="C70" s="20" t="s">
        <v>660</v>
      </c>
      <c r="D70" s="20" t="s">
        <v>660</v>
      </c>
      <c r="E70" s="26">
        <v>5</v>
      </c>
      <c r="F70" s="28" t="s">
        <v>1460</v>
      </c>
      <c r="G70" s="37">
        <v>30</v>
      </c>
      <c r="H70" s="150">
        <f t="shared" si="8"/>
        <v>150</v>
      </c>
      <c r="I70" s="306">
        <v>3.5</v>
      </c>
      <c r="J70" s="155">
        <v>4.7699999999999996</v>
      </c>
      <c r="K70" s="156">
        <v>1</v>
      </c>
      <c r="L70" s="157">
        <v>0.15</v>
      </c>
      <c r="M70" s="153">
        <f t="shared" si="9"/>
        <v>5.77</v>
      </c>
      <c r="N70" s="166">
        <v>0.33</v>
      </c>
      <c r="O70" s="167">
        <v>0.25</v>
      </c>
      <c r="P70" s="168">
        <v>0.1</v>
      </c>
      <c r="Q70" s="309">
        <f t="shared" si="0"/>
        <v>17.5</v>
      </c>
      <c r="R70" s="152">
        <f t="shared" si="1"/>
        <v>23.849999999999998</v>
      </c>
      <c r="S70" s="154">
        <f t="shared" si="2"/>
        <v>5</v>
      </c>
      <c r="T70" s="169">
        <f t="shared" si="3"/>
        <v>0.75</v>
      </c>
      <c r="U70" s="153">
        <f t="shared" si="4"/>
        <v>28.849999999999998</v>
      </c>
      <c r="V70" s="166">
        <f t="shared" si="5"/>
        <v>1.6500000000000001</v>
      </c>
      <c r="W70" s="167">
        <f t="shared" si="6"/>
        <v>1.25</v>
      </c>
      <c r="X70" s="168">
        <f t="shared" si="7"/>
        <v>0.5</v>
      </c>
      <c r="Y70" s="15"/>
    </row>
    <row r="71" spans="1:25" ht="12" customHeight="1">
      <c r="A71" s="67">
        <v>40351</v>
      </c>
      <c r="B71" s="26">
        <v>530</v>
      </c>
      <c r="C71" s="20" t="s">
        <v>1334</v>
      </c>
      <c r="D71" s="20" t="s">
        <v>952</v>
      </c>
      <c r="E71" s="26">
        <v>12</v>
      </c>
      <c r="F71" s="28" t="s">
        <v>1461</v>
      </c>
      <c r="G71" s="37">
        <v>43.5</v>
      </c>
      <c r="H71" s="150">
        <f t="shared" ref="H71:H117" si="10">E71*G71</f>
        <v>522</v>
      </c>
      <c r="I71" s="306">
        <v>3.5</v>
      </c>
      <c r="J71" s="155">
        <v>8.8800000000000008</v>
      </c>
      <c r="K71" s="156">
        <v>3.5</v>
      </c>
      <c r="L71" s="157">
        <v>0.53</v>
      </c>
      <c r="M71" s="153">
        <f t="shared" si="9"/>
        <v>12.38</v>
      </c>
      <c r="N71" s="166">
        <v>0.33</v>
      </c>
      <c r="O71" s="167">
        <v>0.25</v>
      </c>
      <c r="P71" s="168">
        <v>0.1</v>
      </c>
      <c r="Q71" s="309">
        <f t="shared" si="0"/>
        <v>42</v>
      </c>
      <c r="R71" s="152">
        <f t="shared" si="1"/>
        <v>106.56</v>
      </c>
      <c r="S71" s="154">
        <f t="shared" si="2"/>
        <v>42</v>
      </c>
      <c r="T71" s="169">
        <f t="shared" si="3"/>
        <v>6.36</v>
      </c>
      <c r="U71" s="153">
        <f t="shared" si="4"/>
        <v>148.56</v>
      </c>
      <c r="V71" s="166">
        <f t="shared" si="5"/>
        <v>3.96</v>
      </c>
      <c r="W71" s="167">
        <f t="shared" si="6"/>
        <v>3</v>
      </c>
      <c r="X71" s="168">
        <f t="shared" si="7"/>
        <v>1.2000000000000002</v>
      </c>
      <c r="Y71" s="14"/>
    </row>
    <row r="72" spans="1:25" ht="12" customHeight="1">
      <c r="A72" s="67"/>
      <c r="B72" s="28"/>
      <c r="C72" s="20" t="s">
        <v>1334</v>
      </c>
      <c r="D72" s="20" t="s">
        <v>952</v>
      </c>
      <c r="E72" s="26">
        <v>12</v>
      </c>
      <c r="F72" s="28" t="s">
        <v>1462</v>
      </c>
      <c r="G72" s="37">
        <v>15.5</v>
      </c>
      <c r="H72" s="150">
        <f t="shared" si="10"/>
        <v>186</v>
      </c>
      <c r="I72" s="306">
        <v>1</v>
      </c>
      <c r="J72" s="155">
        <v>0.5</v>
      </c>
      <c r="K72" s="156">
        <v>3.5</v>
      </c>
      <c r="L72" s="157">
        <v>0.53</v>
      </c>
      <c r="M72" s="153">
        <f t="shared" ref="M72:M117" si="11">J72+K72</f>
        <v>4</v>
      </c>
      <c r="N72" s="166">
        <v>0.28999999999999998</v>
      </c>
      <c r="O72" s="167">
        <v>0.1</v>
      </c>
      <c r="P72" s="168">
        <v>0.1</v>
      </c>
      <c r="Q72" s="309">
        <f t="shared" si="0"/>
        <v>12</v>
      </c>
      <c r="R72" s="152">
        <f t="shared" si="1"/>
        <v>6</v>
      </c>
      <c r="S72" s="154">
        <f t="shared" si="2"/>
        <v>42</v>
      </c>
      <c r="T72" s="169">
        <f t="shared" si="3"/>
        <v>6.36</v>
      </c>
      <c r="U72" s="153">
        <f t="shared" si="4"/>
        <v>48</v>
      </c>
      <c r="V72" s="166">
        <f t="shared" si="5"/>
        <v>3.4799999999999995</v>
      </c>
      <c r="W72" s="167">
        <f t="shared" si="6"/>
        <v>1.2000000000000002</v>
      </c>
      <c r="X72" s="168">
        <f t="shared" si="7"/>
        <v>1.2000000000000002</v>
      </c>
      <c r="Y72" s="14"/>
    </row>
    <row r="73" spans="1:25" ht="12" customHeight="1">
      <c r="A73" s="67">
        <v>40351</v>
      </c>
      <c r="B73" s="28">
        <v>531</v>
      </c>
      <c r="C73" s="20" t="s">
        <v>330</v>
      </c>
      <c r="D73" s="20" t="s">
        <v>24</v>
      </c>
      <c r="E73" s="26">
        <v>6</v>
      </c>
      <c r="F73" s="28" t="s">
        <v>1463</v>
      </c>
      <c r="G73" s="37">
        <v>45</v>
      </c>
      <c r="H73" s="150">
        <f t="shared" si="10"/>
        <v>270</v>
      </c>
      <c r="I73" s="306">
        <v>5.5</v>
      </c>
      <c r="J73" s="155">
        <v>18.82</v>
      </c>
      <c r="K73" s="156">
        <v>1</v>
      </c>
      <c r="L73" s="157">
        <v>0.15</v>
      </c>
      <c r="M73" s="153">
        <f t="shared" si="11"/>
        <v>19.82</v>
      </c>
      <c r="N73" s="166">
        <v>0.57999999999999996</v>
      </c>
      <c r="O73" s="167">
        <v>0.1</v>
      </c>
      <c r="P73" s="168">
        <v>0.1</v>
      </c>
      <c r="Q73" s="309">
        <f t="shared" si="0"/>
        <v>33</v>
      </c>
      <c r="R73" s="152">
        <f t="shared" si="1"/>
        <v>112.92</v>
      </c>
      <c r="S73" s="154">
        <f t="shared" si="2"/>
        <v>6</v>
      </c>
      <c r="T73" s="169">
        <f t="shared" si="3"/>
        <v>0.89999999999999991</v>
      </c>
      <c r="U73" s="153">
        <f t="shared" si="4"/>
        <v>118.92</v>
      </c>
      <c r="V73" s="166">
        <f t="shared" si="5"/>
        <v>3.4799999999999995</v>
      </c>
      <c r="W73" s="167">
        <f t="shared" si="6"/>
        <v>0.60000000000000009</v>
      </c>
      <c r="X73" s="168">
        <f t="shared" si="7"/>
        <v>0.60000000000000009</v>
      </c>
      <c r="Y73" s="14"/>
    </row>
    <row r="74" spans="1:25" ht="12" customHeight="1">
      <c r="A74" s="67"/>
      <c r="B74" s="28"/>
      <c r="C74" s="20" t="s">
        <v>330</v>
      </c>
      <c r="D74" s="20" t="s">
        <v>24</v>
      </c>
      <c r="E74" s="26">
        <v>6</v>
      </c>
      <c r="F74" s="28" t="s">
        <v>1464</v>
      </c>
      <c r="G74" s="37">
        <v>40</v>
      </c>
      <c r="H74" s="150">
        <f t="shared" si="10"/>
        <v>240</v>
      </c>
      <c r="I74" s="306">
        <v>5</v>
      </c>
      <c r="J74" s="155">
        <v>10.72</v>
      </c>
      <c r="K74" s="156">
        <v>0</v>
      </c>
      <c r="L74" s="157">
        <v>0</v>
      </c>
      <c r="M74" s="153">
        <f t="shared" si="11"/>
        <v>10.72</v>
      </c>
      <c r="N74" s="166">
        <v>0.57999999999999996</v>
      </c>
      <c r="O74" s="167">
        <v>0.1</v>
      </c>
      <c r="P74" s="168">
        <v>0.1</v>
      </c>
      <c r="Q74" s="309">
        <f t="shared" si="0"/>
        <v>30</v>
      </c>
      <c r="R74" s="152">
        <f t="shared" si="1"/>
        <v>64.320000000000007</v>
      </c>
      <c r="S74" s="154">
        <f t="shared" si="2"/>
        <v>0</v>
      </c>
      <c r="T74" s="169">
        <f t="shared" si="3"/>
        <v>0</v>
      </c>
      <c r="U74" s="153">
        <f t="shared" si="4"/>
        <v>64.320000000000007</v>
      </c>
      <c r="V74" s="166">
        <f t="shared" si="5"/>
        <v>3.4799999999999995</v>
      </c>
      <c r="W74" s="167">
        <f t="shared" si="6"/>
        <v>0.60000000000000009</v>
      </c>
      <c r="X74" s="168">
        <f t="shared" si="7"/>
        <v>0.60000000000000009</v>
      </c>
      <c r="Y74" s="14"/>
    </row>
    <row r="75" spans="1:25" ht="12" customHeight="1">
      <c r="A75" s="67">
        <v>40353</v>
      </c>
      <c r="B75" s="28">
        <v>532</v>
      </c>
      <c r="C75" s="20" t="s">
        <v>200</v>
      </c>
      <c r="D75" s="20" t="s">
        <v>201</v>
      </c>
      <c r="E75" s="26">
        <v>114</v>
      </c>
      <c r="F75" s="28" t="s">
        <v>1465</v>
      </c>
      <c r="G75" s="37">
        <v>30</v>
      </c>
      <c r="H75" s="150">
        <f t="shared" si="10"/>
        <v>3420</v>
      </c>
      <c r="I75" s="306">
        <v>3.5</v>
      </c>
      <c r="J75" s="155">
        <v>1.31</v>
      </c>
      <c r="K75" s="156">
        <v>1.2</v>
      </c>
      <c r="L75" s="157">
        <v>0.18</v>
      </c>
      <c r="M75" s="153">
        <f t="shared" si="11"/>
        <v>2.5099999999999998</v>
      </c>
      <c r="N75" s="166">
        <v>0.33</v>
      </c>
      <c r="O75" s="167">
        <v>0.25</v>
      </c>
      <c r="P75" s="168">
        <v>0.1</v>
      </c>
      <c r="Q75" s="309">
        <f t="shared" ref="Q75:Q117" si="12">E75*I75</f>
        <v>399</v>
      </c>
      <c r="R75" s="152">
        <f t="shared" ref="R75:R117" si="13">E75*J75</f>
        <v>149.34</v>
      </c>
      <c r="S75" s="154">
        <f t="shared" ref="S75:S117" si="14">E75*K75</f>
        <v>136.79999999999998</v>
      </c>
      <c r="T75" s="169">
        <f t="shared" ref="T75:T117" si="15">E75*L75</f>
        <v>20.52</v>
      </c>
      <c r="U75" s="153">
        <f t="shared" ref="U75:U117" si="16">E75*M75</f>
        <v>286.14</v>
      </c>
      <c r="V75" s="166">
        <f t="shared" ref="V75:V117" si="17">N75*E75</f>
        <v>37.620000000000005</v>
      </c>
      <c r="W75" s="167">
        <f t="shared" ref="W75:W117" si="18">O75*E75</f>
        <v>28.5</v>
      </c>
      <c r="X75" s="168">
        <f t="shared" ref="X75:X117" si="19">P75*E75</f>
        <v>11.4</v>
      </c>
      <c r="Y75" s="14"/>
    </row>
    <row r="76" spans="1:25" ht="12" customHeight="1">
      <c r="A76" s="67"/>
      <c r="B76" s="28"/>
      <c r="C76" s="20" t="s">
        <v>200</v>
      </c>
      <c r="D76" s="20" t="s">
        <v>201</v>
      </c>
      <c r="E76" s="26">
        <v>11</v>
      </c>
      <c r="F76" s="28" t="s">
        <v>1466</v>
      </c>
      <c r="G76" s="37">
        <v>33</v>
      </c>
      <c r="H76" s="150">
        <f t="shared" si="10"/>
        <v>363</v>
      </c>
      <c r="I76" s="306">
        <v>3.5</v>
      </c>
      <c r="J76" s="155">
        <v>1.31</v>
      </c>
      <c r="K76" s="156">
        <v>1.2</v>
      </c>
      <c r="L76" s="157">
        <v>0.18</v>
      </c>
      <c r="M76" s="153">
        <f t="shared" si="11"/>
        <v>2.5099999999999998</v>
      </c>
      <c r="N76" s="166">
        <v>0.33</v>
      </c>
      <c r="O76" s="167">
        <v>0.25</v>
      </c>
      <c r="P76" s="168">
        <v>0.1</v>
      </c>
      <c r="Q76" s="309">
        <f t="shared" si="12"/>
        <v>38.5</v>
      </c>
      <c r="R76" s="178">
        <f t="shared" si="13"/>
        <v>14.41</v>
      </c>
      <c r="S76" s="154">
        <f t="shared" si="14"/>
        <v>13.2</v>
      </c>
      <c r="T76" s="169">
        <f t="shared" si="15"/>
        <v>1.98</v>
      </c>
      <c r="U76" s="179">
        <f t="shared" si="16"/>
        <v>27.61</v>
      </c>
      <c r="V76" s="166">
        <f t="shared" si="17"/>
        <v>3.6300000000000003</v>
      </c>
      <c r="W76" s="167">
        <f t="shared" si="18"/>
        <v>2.75</v>
      </c>
      <c r="X76" s="168">
        <f t="shared" si="19"/>
        <v>1.1000000000000001</v>
      </c>
      <c r="Y76" s="14"/>
    </row>
    <row r="77" spans="1:25" ht="12" customHeight="1">
      <c r="A77" s="67"/>
      <c r="B77" s="28"/>
      <c r="C77" s="20" t="s">
        <v>200</v>
      </c>
      <c r="D77" s="20" t="s">
        <v>201</v>
      </c>
      <c r="E77" s="26">
        <v>196</v>
      </c>
      <c r="F77" s="28" t="s">
        <v>1467</v>
      </c>
      <c r="G77" s="37">
        <v>35</v>
      </c>
      <c r="H77" s="150">
        <f t="shared" si="10"/>
        <v>6860</v>
      </c>
      <c r="I77" s="306">
        <v>3.5</v>
      </c>
      <c r="J77" s="155">
        <v>1.31</v>
      </c>
      <c r="K77" s="156">
        <v>1.2</v>
      </c>
      <c r="L77" s="157">
        <v>0.18</v>
      </c>
      <c r="M77" s="153">
        <f t="shared" si="11"/>
        <v>2.5099999999999998</v>
      </c>
      <c r="N77" s="166">
        <v>0.33</v>
      </c>
      <c r="O77" s="167">
        <v>0.25</v>
      </c>
      <c r="P77" s="168">
        <v>0.1</v>
      </c>
      <c r="Q77" s="309">
        <f t="shared" si="12"/>
        <v>686</v>
      </c>
      <c r="R77" s="152">
        <f t="shared" si="13"/>
        <v>256.76</v>
      </c>
      <c r="S77" s="154">
        <f t="shared" si="14"/>
        <v>235.2</v>
      </c>
      <c r="T77" s="169">
        <f t="shared" si="15"/>
        <v>35.28</v>
      </c>
      <c r="U77" s="153">
        <f t="shared" si="16"/>
        <v>491.96</v>
      </c>
      <c r="V77" s="166">
        <f t="shared" si="17"/>
        <v>64.680000000000007</v>
      </c>
      <c r="W77" s="167">
        <f t="shared" si="18"/>
        <v>49</v>
      </c>
      <c r="X77" s="168">
        <f t="shared" si="19"/>
        <v>19.600000000000001</v>
      </c>
      <c r="Y77" s="14"/>
    </row>
    <row r="78" spans="1:25" ht="12" customHeight="1">
      <c r="A78" s="67"/>
      <c r="B78" s="28"/>
      <c r="C78" s="20" t="s">
        <v>200</v>
      </c>
      <c r="D78" s="20" t="s">
        <v>201</v>
      </c>
      <c r="E78" s="26">
        <v>99</v>
      </c>
      <c r="F78" s="28" t="s">
        <v>1468</v>
      </c>
      <c r="G78" s="37">
        <v>38</v>
      </c>
      <c r="H78" s="150">
        <f t="shared" si="10"/>
        <v>3762</v>
      </c>
      <c r="I78" s="306">
        <v>3.5</v>
      </c>
      <c r="J78" s="155">
        <v>1.31</v>
      </c>
      <c r="K78" s="156">
        <v>1.2</v>
      </c>
      <c r="L78" s="157">
        <v>0.18</v>
      </c>
      <c r="M78" s="153">
        <f t="shared" si="11"/>
        <v>2.5099999999999998</v>
      </c>
      <c r="N78" s="166">
        <v>0.33</v>
      </c>
      <c r="O78" s="167">
        <v>0.25</v>
      </c>
      <c r="P78" s="168">
        <v>0.1</v>
      </c>
      <c r="Q78" s="309">
        <f t="shared" si="12"/>
        <v>346.5</v>
      </c>
      <c r="R78" s="152">
        <f t="shared" si="13"/>
        <v>129.69</v>
      </c>
      <c r="S78" s="154">
        <f t="shared" si="14"/>
        <v>118.8</v>
      </c>
      <c r="T78" s="169">
        <f t="shared" si="15"/>
        <v>17.82</v>
      </c>
      <c r="U78" s="153">
        <f t="shared" si="16"/>
        <v>248.48999999999998</v>
      </c>
      <c r="V78" s="166">
        <f t="shared" si="17"/>
        <v>32.67</v>
      </c>
      <c r="W78" s="167">
        <f t="shared" si="18"/>
        <v>24.75</v>
      </c>
      <c r="X78" s="168">
        <f t="shared" si="19"/>
        <v>9.9</v>
      </c>
      <c r="Y78" s="14"/>
    </row>
    <row r="79" spans="1:25" ht="12" customHeight="1">
      <c r="A79" s="67">
        <v>40354</v>
      </c>
      <c r="B79" s="28">
        <v>533</v>
      </c>
      <c r="C79" s="20" t="s">
        <v>253</v>
      </c>
      <c r="D79" s="20" t="s">
        <v>42</v>
      </c>
      <c r="E79" s="26"/>
      <c r="F79" s="28"/>
      <c r="G79" s="37"/>
      <c r="H79" s="150">
        <f t="shared" si="10"/>
        <v>0</v>
      </c>
      <c r="I79" s="306">
        <v>0</v>
      </c>
      <c r="J79" s="155">
        <v>0</v>
      </c>
      <c r="K79" s="156">
        <v>0</v>
      </c>
      <c r="L79" s="182">
        <v>0</v>
      </c>
      <c r="M79" s="153">
        <f t="shared" si="11"/>
        <v>0</v>
      </c>
      <c r="N79" s="166">
        <v>0</v>
      </c>
      <c r="O79" s="167">
        <v>0</v>
      </c>
      <c r="P79" s="168">
        <v>0</v>
      </c>
      <c r="Q79" s="309">
        <f t="shared" si="12"/>
        <v>0</v>
      </c>
      <c r="R79" s="152">
        <f t="shared" si="13"/>
        <v>0</v>
      </c>
      <c r="S79" s="154">
        <f t="shared" si="14"/>
        <v>0</v>
      </c>
      <c r="T79" s="169">
        <f t="shared" si="15"/>
        <v>0</v>
      </c>
      <c r="U79" s="153">
        <f t="shared" si="16"/>
        <v>0</v>
      </c>
      <c r="V79" s="166">
        <f t="shared" si="17"/>
        <v>0</v>
      </c>
      <c r="W79" s="167">
        <f t="shared" si="18"/>
        <v>0</v>
      </c>
      <c r="X79" s="168">
        <f t="shared" si="19"/>
        <v>0</v>
      </c>
      <c r="Y79" s="14"/>
    </row>
    <row r="80" spans="1:25" ht="12" customHeight="1">
      <c r="A80" s="67">
        <v>40354</v>
      </c>
      <c r="B80" s="28">
        <v>534</v>
      </c>
      <c r="C80" s="20" t="s">
        <v>155</v>
      </c>
      <c r="D80" s="20" t="s">
        <v>42</v>
      </c>
      <c r="E80" s="26">
        <v>76</v>
      </c>
      <c r="F80" s="28" t="s">
        <v>1469</v>
      </c>
      <c r="G80" s="37">
        <v>35.5</v>
      </c>
      <c r="H80" s="150">
        <f t="shared" si="10"/>
        <v>2698</v>
      </c>
      <c r="I80" s="307">
        <v>5</v>
      </c>
      <c r="J80" s="155">
        <v>9.1</v>
      </c>
      <c r="K80" s="156">
        <v>3</v>
      </c>
      <c r="L80" s="182">
        <v>0.45</v>
      </c>
      <c r="M80" s="153">
        <f t="shared" si="11"/>
        <v>12.1</v>
      </c>
      <c r="N80" s="166">
        <v>0.57999999999999996</v>
      </c>
      <c r="O80" s="167">
        <v>0.1</v>
      </c>
      <c r="P80" s="168">
        <v>0.1</v>
      </c>
      <c r="Q80" s="309">
        <f t="shared" si="12"/>
        <v>380</v>
      </c>
      <c r="R80" s="152">
        <f t="shared" si="13"/>
        <v>691.6</v>
      </c>
      <c r="S80" s="154">
        <f t="shared" si="14"/>
        <v>228</v>
      </c>
      <c r="T80" s="169">
        <f t="shared" si="15"/>
        <v>34.200000000000003</v>
      </c>
      <c r="U80" s="153">
        <f t="shared" si="16"/>
        <v>919.6</v>
      </c>
      <c r="V80" s="166">
        <f t="shared" si="17"/>
        <v>44.08</v>
      </c>
      <c r="W80" s="167">
        <f t="shared" si="18"/>
        <v>7.6000000000000005</v>
      </c>
      <c r="X80" s="168">
        <f t="shared" si="19"/>
        <v>7.6000000000000005</v>
      </c>
      <c r="Y80" s="14"/>
    </row>
    <row r="81" spans="1:25" ht="12" customHeight="1">
      <c r="A81" s="67"/>
      <c r="B81" s="28"/>
      <c r="C81" s="20" t="s">
        <v>155</v>
      </c>
      <c r="D81" s="20" t="s">
        <v>42</v>
      </c>
      <c r="E81" s="26">
        <v>121</v>
      </c>
      <c r="F81" s="28" t="s">
        <v>1470</v>
      </c>
      <c r="G81" s="37">
        <v>40</v>
      </c>
      <c r="H81" s="150">
        <f t="shared" si="10"/>
        <v>4840</v>
      </c>
      <c r="I81" s="306">
        <v>5</v>
      </c>
      <c r="J81" s="155">
        <v>9.1</v>
      </c>
      <c r="K81" s="156">
        <v>3</v>
      </c>
      <c r="L81" s="182">
        <v>0.45</v>
      </c>
      <c r="M81" s="153">
        <f t="shared" si="11"/>
        <v>12.1</v>
      </c>
      <c r="N81" s="166">
        <v>0.57999999999999996</v>
      </c>
      <c r="O81" s="167">
        <v>0.1</v>
      </c>
      <c r="P81" s="168">
        <v>0.1</v>
      </c>
      <c r="Q81" s="309">
        <f t="shared" si="12"/>
        <v>605</v>
      </c>
      <c r="R81" s="152">
        <f t="shared" si="13"/>
        <v>1101.0999999999999</v>
      </c>
      <c r="S81" s="154">
        <f t="shared" si="14"/>
        <v>363</v>
      </c>
      <c r="T81" s="169">
        <f t="shared" si="15"/>
        <v>54.45</v>
      </c>
      <c r="U81" s="153">
        <f t="shared" si="16"/>
        <v>1464.1</v>
      </c>
      <c r="V81" s="166">
        <f t="shared" si="17"/>
        <v>70.179999999999993</v>
      </c>
      <c r="W81" s="167">
        <f t="shared" si="18"/>
        <v>12.100000000000001</v>
      </c>
      <c r="X81" s="168">
        <f t="shared" si="19"/>
        <v>12.100000000000001</v>
      </c>
      <c r="Y81" s="14"/>
    </row>
    <row r="82" spans="1:25" ht="12" customHeight="1">
      <c r="A82" s="67"/>
      <c r="B82" s="28"/>
      <c r="C82" s="20" t="s">
        <v>155</v>
      </c>
      <c r="D82" s="20" t="s">
        <v>42</v>
      </c>
      <c r="E82" s="26">
        <v>12</v>
      </c>
      <c r="F82" s="28" t="s">
        <v>1471</v>
      </c>
      <c r="G82" s="37">
        <v>35.5</v>
      </c>
      <c r="H82" s="150">
        <f t="shared" si="10"/>
        <v>426</v>
      </c>
      <c r="I82" s="306">
        <v>6</v>
      </c>
      <c r="J82" s="155">
        <v>9.1999999999999993</v>
      </c>
      <c r="K82" s="156">
        <v>3</v>
      </c>
      <c r="L82" s="182">
        <v>0.45</v>
      </c>
      <c r="M82" s="153">
        <f t="shared" si="11"/>
        <v>12.2</v>
      </c>
      <c r="N82" s="166">
        <v>0.57999999999999996</v>
      </c>
      <c r="O82" s="167">
        <v>0.1</v>
      </c>
      <c r="P82" s="168">
        <v>0.1</v>
      </c>
      <c r="Q82" s="309">
        <f t="shared" si="12"/>
        <v>72</v>
      </c>
      <c r="R82" s="152">
        <f t="shared" si="13"/>
        <v>110.39999999999999</v>
      </c>
      <c r="S82" s="154">
        <f t="shared" si="14"/>
        <v>36</v>
      </c>
      <c r="T82" s="169">
        <f t="shared" si="15"/>
        <v>5.4</v>
      </c>
      <c r="U82" s="153">
        <f t="shared" si="16"/>
        <v>146.39999999999998</v>
      </c>
      <c r="V82" s="166">
        <f t="shared" si="17"/>
        <v>6.9599999999999991</v>
      </c>
      <c r="W82" s="167">
        <f t="shared" si="18"/>
        <v>1.2000000000000002</v>
      </c>
      <c r="X82" s="168">
        <f t="shared" si="19"/>
        <v>1.2000000000000002</v>
      </c>
      <c r="Y82" s="14"/>
    </row>
    <row r="83" spans="1:25" ht="12" customHeight="1">
      <c r="A83" s="67"/>
      <c r="B83" s="28"/>
      <c r="C83" s="20" t="s">
        <v>155</v>
      </c>
      <c r="D83" s="20" t="s">
        <v>42</v>
      </c>
      <c r="E83" s="26">
        <v>9</v>
      </c>
      <c r="F83" s="28" t="s">
        <v>1472</v>
      </c>
      <c r="G83" s="37">
        <v>40</v>
      </c>
      <c r="H83" s="150">
        <f t="shared" si="10"/>
        <v>360</v>
      </c>
      <c r="I83" s="306">
        <v>6</v>
      </c>
      <c r="J83" s="155">
        <v>9.1999999999999993</v>
      </c>
      <c r="K83" s="156">
        <v>3</v>
      </c>
      <c r="L83" s="182">
        <v>0.45</v>
      </c>
      <c r="M83" s="153">
        <f t="shared" si="11"/>
        <v>12.2</v>
      </c>
      <c r="N83" s="166">
        <v>0.57999999999999996</v>
      </c>
      <c r="O83" s="167">
        <v>0.1</v>
      </c>
      <c r="P83" s="168">
        <v>0.1</v>
      </c>
      <c r="Q83" s="309">
        <f t="shared" si="12"/>
        <v>54</v>
      </c>
      <c r="R83" s="178">
        <f t="shared" si="13"/>
        <v>82.8</v>
      </c>
      <c r="S83" s="154">
        <f t="shared" si="14"/>
        <v>27</v>
      </c>
      <c r="T83" s="169">
        <f t="shared" si="15"/>
        <v>4.05</v>
      </c>
      <c r="U83" s="179">
        <f t="shared" si="16"/>
        <v>109.8</v>
      </c>
      <c r="V83" s="166">
        <f t="shared" si="17"/>
        <v>5.22</v>
      </c>
      <c r="W83" s="167">
        <f t="shared" si="18"/>
        <v>0.9</v>
      </c>
      <c r="X83" s="168">
        <f t="shared" si="19"/>
        <v>0.9</v>
      </c>
      <c r="Y83" s="14"/>
    </row>
    <row r="84" spans="1:25" ht="12" customHeight="1">
      <c r="A84" s="67"/>
      <c r="B84" s="28"/>
      <c r="C84" s="20" t="s">
        <v>155</v>
      </c>
      <c r="D84" s="20" t="s">
        <v>42</v>
      </c>
      <c r="E84" s="26">
        <v>4</v>
      </c>
      <c r="F84" s="28" t="s">
        <v>1473</v>
      </c>
      <c r="G84" s="37">
        <v>35.5</v>
      </c>
      <c r="H84" s="150">
        <f t="shared" si="10"/>
        <v>142</v>
      </c>
      <c r="I84" s="306">
        <v>5</v>
      </c>
      <c r="J84" s="155">
        <v>9.1</v>
      </c>
      <c r="K84" s="156">
        <v>3</v>
      </c>
      <c r="L84" s="182">
        <v>0.45</v>
      </c>
      <c r="M84" s="153">
        <f t="shared" si="11"/>
        <v>12.1</v>
      </c>
      <c r="N84" s="166">
        <v>0.57999999999999996</v>
      </c>
      <c r="O84" s="167">
        <v>0.1</v>
      </c>
      <c r="P84" s="168">
        <v>0.1</v>
      </c>
      <c r="Q84" s="309">
        <f t="shared" si="12"/>
        <v>20</v>
      </c>
      <c r="R84" s="152">
        <f t="shared" si="13"/>
        <v>36.4</v>
      </c>
      <c r="S84" s="154">
        <f t="shared" si="14"/>
        <v>12</v>
      </c>
      <c r="T84" s="169">
        <f t="shared" si="15"/>
        <v>1.8</v>
      </c>
      <c r="U84" s="153">
        <f t="shared" si="16"/>
        <v>48.4</v>
      </c>
      <c r="V84" s="166">
        <f t="shared" si="17"/>
        <v>2.3199999999999998</v>
      </c>
      <c r="W84" s="167">
        <f t="shared" si="18"/>
        <v>0.4</v>
      </c>
      <c r="X84" s="168">
        <f t="shared" si="19"/>
        <v>0.4</v>
      </c>
      <c r="Y84" s="14"/>
    </row>
    <row r="85" spans="1:25" ht="12" customHeight="1">
      <c r="A85" s="67"/>
      <c r="B85" s="28"/>
      <c r="C85" s="20" t="s">
        <v>155</v>
      </c>
      <c r="D85" s="20" t="s">
        <v>42</v>
      </c>
      <c r="E85" s="26">
        <v>6</v>
      </c>
      <c r="F85" s="28" t="s">
        <v>1474</v>
      </c>
      <c r="G85" s="37">
        <v>40</v>
      </c>
      <c r="H85" s="150">
        <f t="shared" si="10"/>
        <v>240</v>
      </c>
      <c r="I85" s="306">
        <v>5</v>
      </c>
      <c r="J85" s="155">
        <v>9.1</v>
      </c>
      <c r="K85" s="156">
        <v>3</v>
      </c>
      <c r="L85" s="182">
        <v>0.45</v>
      </c>
      <c r="M85" s="153">
        <f t="shared" si="11"/>
        <v>12.1</v>
      </c>
      <c r="N85" s="166">
        <v>0.57999999999999996</v>
      </c>
      <c r="O85" s="167">
        <v>0.1</v>
      </c>
      <c r="P85" s="168">
        <v>0.1</v>
      </c>
      <c r="Q85" s="309">
        <f t="shared" si="12"/>
        <v>30</v>
      </c>
      <c r="R85" s="152">
        <f t="shared" si="13"/>
        <v>54.599999999999994</v>
      </c>
      <c r="S85" s="154">
        <f t="shared" si="14"/>
        <v>18</v>
      </c>
      <c r="T85" s="169">
        <f t="shared" si="15"/>
        <v>2.7</v>
      </c>
      <c r="U85" s="153">
        <f t="shared" si="16"/>
        <v>72.599999999999994</v>
      </c>
      <c r="V85" s="166">
        <f t="shared" si="17"/>
        <v>3.4799999999999995</v>
      </c>
      <c r="W85" s="167">
        <f t="shared" si="18"/>
        <v>0.60000000000000009</v>
      </c>
      <c r="X85" s="168">
        <f t="shared" si="19"/>
        <v>0.60000000000000009</v>
      </c>
      <c r="Y85" s="14"/>
    </row>
    <row r="86" spans="1:25" ht="12" customHeight="1">
      <c r="A86" s="67"/>
      <c r="B86" s="28"/>
      <c r="C86" s="20" t="s">
        <v>155</v>
      </c>
      <c r="D86" s="20" t="s">
        <v>42</v>
      </c>
      <c r="E86" s="26">
        <v>40</v>
      </c>
      <c r="F86" s="28" t="s">
        <v>1475</v>
      </c>
      <c r="G86" s="37">
        <v>36</v>
      </c>
      <c r="H86" s="150">
        <f t="shared" si="10"/>
        <v>1440</v>
      </c>
      <c r="I86" s="306">
        <v>3.5</v>
      </c>
      <c r="J86" s="155">
        <v>5.88</v>
      </c>
      <c r="K86" s="156">
        <v>1.3</v>
      </c>
      <c r="L86" s="157">
        <v>0.2</v>
      </c>
      <c r="M86" s="153">
        <f t="shared" si="11"/>
        <v>7.18</v>
      </c>
      <c r="N86" s="166">
        <v>0.33</v>
      </c>
      <c r="O86" s="167">
        <v>0.25</v>
      </c>
      <c r="P86" s="168">
        <v>0.1</v>
      </c>
      <c r="Q86" s="309">
        <f t="shared" si="12"/>
        <v>140</v>
      </c>
      <c r="R86" s="152">
        <f t="shared" si="13"/>
        <v>235.2</v>
      </c>
      <c r="S86" s="154">
        <f t="shared" si="14"/>
        <v>52</v>
      </c>
      <c r="T86" s="169">
        <f t="shared" si="15"/>
        <v>8</v>
      </c>
      <c r="U86" s="153">
        <f t="shared" si="16"/>
        <v>287.2</v>
      </c>
      <c r="V86" s="166">
        <f t="shared" si="17"/>
        <v>13.200000000000001</v>
      </c>
      <c r="W86" s="167">
        <f t="shared" si="18"/>
        <v>10</v>
      </c>
      <c r="X86" s="168">
        <f t="shared" si="19"/>
        <v>4</v>
      </c>
      <c r="Y86" s="14"/>
    </row>
    <row r="87" spans="1:25" ht="12" customHeight="1">
      <c r="A87" s="67">
        <v>40354</v>
      </c>
      <c r="B87" s="28">
        <v>535</v>
      </c>
      <c r="C87" s="20" t="s">
        <v>155</v>
      </c>
      <c r="D87" s="20" t="s">
        <v>42</v>
      </c>
      <c r="E87" s="26">
        <v>124</v>
      </c>
      <c r="F87" s="28" t="s">
        <v>1476</v>
      </c>
      <c r="G87" s="37">
        <v>48.5</v>
      </c>
      <c r="H87" s="150">
        <f t="shared" si="10"/>
        <v>6014</v>
      </c>
      <c r="I87" s="306">
        <v>8.5</v>
      </c>
      <c r="J87" s="155">
        <v>6.25</v>
      </c>
      <c r="K87" s="156">
        <v>2.8</v>
      </c>
      <c r="L87" s="157">
        <v>0.42</v>
      </c>
      <c r="M87" s="153">
        <f t="shared" si="11"/>
        <v>9.0500000000000007</v>
      </c>
      <c r="N87" s="166">
        <v>0.67</v>
      </c>
      <c r="O87" s="167">
        <v>0.1</v>
      </c>
      <c r="P87" s="168">
        <v>0.1</v>
      </c>
      <c r="Q87" s="309">
        <f t="shared" si="12"/>
        <v>1054</v>
      </c>
      <c r="R87" s="152">
        <f t="shared" si="13"/>
        <v>775</v>
      </c>
      <c r="S87" s="154">
        <f t="shared" si="14"/>
        <v>347.2</v>
      </c>
      <c r="T87" s="169">
        <f t="shared" si="15"/>
        <v>52.08</v>
      </c>
      <c r="U87" s="153">
        <f t="shared" si="16"/>
        <v>1122.2</v>
      </c>
      <c r="V87" s="166">
        <f t="shared" si="17"/>
        <v>83.08</v>
      </c>
      <c r="W87" s="167">
        <f t="shared" si="18"/>
        <v>12.4</v>
      </c>
      <c r="X87" s="168">
        <f t="shared" si="19"/>
        <v>12.4</v>
      </c>
      <c r="Y87" s="14"/>
    </row>
    <row r="88" spans="1:25" ht="12" customHeight="1">
      <c r="A88" s="67"/>
      <c r="B88" s="28"/>
      <c r="C88" s="20" t="s">
        <v>155</v>
      </c>
      <c r="D88" s="20" t="s">
        <v>42</v>
      </c>
      <c r="E88" s="26">
        <v>62</v>
      </c>
      <c r="F88" s="28" t="s">
        <v>1477</v>
      </c>
      <c r="G88" s="37">
        <v>12.5</v>
      </c>
      <c r="H88" s="150">
        <f t="shared" si="10"/>
        <v>775</v>
      </c>
      <c r="I88" s="306">
        <v>1</v>
      </c>
      <c r="J88" s="155">
        <v>1.51</v>
      </c>
      <c r="K88" s="156">
        <v>1.8</v>
      </c>
      <c r="L88" s="157">
        <v>0.27</v>
      </c>
      <c r="M88" s="153">
        <f>J88+K88</f>
        <v>3.31</v>
      </c>
      <c r="N88" s="166">
        <v>0.28999999999999998</v>
      </c>
      <c r="O88" s="167">
        <v>0.1</v>
      </c>
      <c r="P88" s="168">
        <v>0.1</v>
      </c>
      <c r="Q88" s="309">
        <f t="shared" si="12"/>
        <v>62</v>
      </c>
      <c r="R88" s="152">
        <f t="shared" si="13"/>
        <v>93.62</v>
      </c>
      <c r="S88" s="154">
        <f t="shared" si="14"/>
        <v>111.60000000000001</v>
      </c>
      <c r="T88" s="169">
        <f t="shared" si="15"/>
        <v>16.740000000000002</v>
      </c>
      <c r="U88" s="153">
        <f t="shared" si="16"/>
        <v>205.22</v>
      </c>
      <c r="V88" s="166">
        <f t="shared" si="17"/>
        <v>17.98</v>
      </c>
      <c r="W88" s="167">
        <f t="shared" si="18"/>
        <v>6.2</v>
      </c>
      <c r="X88" s="168">
        <f t="shared" si="19"/>
        <v>6.2</v>
      </c>
      <c r="Y88" s="14"/>
    </row>
    <row r="89" spans="1:25" ht="12" customHeight="1">
      <c r="A89" s="67">
        <v>40354</v>
      </c>
      <c r="B89" s="28">
        <v>536</v>
      </c>
      <c r="C89" s="20" t="s">
        <v>1478</v>
      </c>
      <c r="D89" s="20" t="s">
        <v>724</v>
      </c>
      <c r="E89" s="26"/>
      <c r="F89" s="28" t="s">
        <v>651</v>
      </c>
      <c r="G89" s="37"/>
      <c r="H89" s="150"/>
      <c r="I89" s="306">
        <v>0</v>
      </c>
      <c r="J89" s="155">
        <v>0</v>
      </c>
      <c r="K89" s="156">
        <v>0</v>
      </c>
      <c r="L89" s="157">
        <v>0</v>
      </c>
      <c r="M89" s="153">
        <f t="shared" si="11"/>
        <v>0</v>
      </c>
      <c r="N89" s="166">
        <v>0</v>
      </c>
      <c r="O89" s="167">
        <v>0</v>
      </c>
      <c r="P89" s="168">
        <v>0</v>
      </c>
      <c r="Q89" s="309">
        <f t="shared" si="12"/>
        <v>0</v>
      </c>
      <c r="R89" s="152">
        <f t="shared" si="13"/>
        <v>0</v>
      </c>
      <c r="S89" s="154">
        <f t="shared" si="14"/>
        <v>0</v>
      </c>
      <c r="T89" s="169">
        <f t="shared" si="15"/>
        <v>0</v>
      </c>
      <c r="U89" s="153">
        <f t="shared" si="16"/>
        <v>0</v>
      </c>
      <c r="V89" s="166">
        <f t="shared" si="17"/>
        <v>0</v>
      </c>
      <c r="W89" s="167">
        <f t="shared" si="18"/>
        <v>0</v>
      </c>
      <c r="X89" s="168">
        <f t="shared" si="19"/>
        <v>0</v>
      </c>
      <c r="Y89" s="14"/>
    </row>
    <row r="90" spans="1:25" ht="12" customHeight="1">
      <c r="A90" s="67">
        <v>40354</v>
      </c>
      <c r="B90" s="28">
        <v>537</v>
      </c>
      <c r="C90" s="20" t="s">
        <v>269</v>
      </c>
      <c r="D90" s="20" t="s">
        <v>135</v>
      </c>
      <c r="E90" s="26">
        <v>2</v>
      </c>
      <c r="F90" s="28" t="s">
        <v>1479</v>
      </c>
      <c r="G90" s="37">
        <v>150</v>
      </c>
      <c r="H90" s="150">
        <f t="shared" si="10"/>
        <v>300</v>
      </c>
      <c r="I90" s="307">
        <v>15</v>
      </c>
      <c r="J90" s="155">
        <v>37.71</v>
      </c>
      <c r="K90" s="156">
        <v>2</v>
      </c>
      <c r="L90" s="157">
        <v>0.3</v>
      </c>
      <c r="M90" s="153">
        <f t="shared" si="11"/>
        <v>39.71</v>
      </c>
      <c r="N90" s="166">
        <v>1.67</v>
      </c>
      <c r="O90" s="167">
        <v>0.1</v>
      </c>
      <c r="P90" s="168">
        <v>0.1</v>
      </c>
      <c r="Q90" s="309">
        <f t="shared" si="12"/>
        <v>30</v>
      </c>
      <c r="R90" s="152">
        <f t="shared" si="13"/>
        <v>75.42</v>
      </c>
      <c r="S90" s="154">
        <f t="shared" si="14"/>
        <v>4</v>
      </c>
      <c r="T90" s="169">
        <f t="shared" si="15"/>
        <v>0.6</v>
      </c>
      <c r="U90" s="153">
        <f t="shared" si="16"/>
        <v>79.42</v>
      </c>
      <c r="V90" s="166">
        <f t="shared" si="17"/>
        <v>3.34</v>
      </c>
      <c r="W90" s="167">
        <f t="shared" si="18"/>
        <v>0.2</v>
      </c>
      <c r="X90" s="168">
        <f t="shared" si="19"/>
        <v>0.2</v>
      </c>
      <c r="Y90" s="14"/>
    </row>
    <row r="91" spans="1:25" ht="12" customHeight="1">
      <c r="A91" s="67"/>
      <c r="B91" s="28"/>
      <c r="C91" s="20" t="s">
        <v>269</v>
      </c>
      <c r="D91" s="20" t="s">
        <v>135</v>
      </c>
      <c r="E91" s="26">
        <v>6</v>
      </c>
      <c r="F91" s="28" t="s">
        <v>1480</v>
      </c>
      <c r="G91" s="37">
        <v>89</v>
      </c>
      <c r="H91" s="150">
        <f t="shared" si="10"/>
        <v>534</v>
      </c>
      <c r="I91" s="306">
        <v>0</v>
      </c>
      <c r="J91" s="155">
        <v>0</v>
      </c>
      <c r="K91" s="156">
        <v>0</v>
      </c>
      <c r="L91" s="157">
        <v>0</v>
      </c>
      <c r="M91" s="153">
        <f t="shared" si="11"/>
        <v>0</v>
      </c>
      <c r="N91" s="166">
        <v>0</v>
      </c>
      <c r="O91" s="167">
        <v>0</v>
      </c>
      <c r="P91" s="168"/>
      <c r="Q91" s="309">
        <f t="shared" si="12"/>
        <v>0</v>
      </c>
      <c r="R91" s="152">
        <f t="shared" si="13"/>
        <v>0</v>
      </c>
      <c r="S91" s="154">
        <f t="shared" si="14"/>
        <v>0</v>
      </c>
      <c r="T91" s="169">
        <f t="shared" si="15"/>
        <v>0</v>
      </c>
      <c r="U91" s="153">
        <f t="shared" si="16"/>
        <v>0</v>
      </c>
      <c r="V91" s="166">
        <f t="shared" si="17"/>
        <v>0</v>
      </c>
      <c r="W91" s="167">
        <f t="shared" si="18"/>
        <v>0</v>
      </c>
      <c r="X91" s="168">
        <f t="shared" si="19"/>
        <v>0</v>
      </c>
      <c r="Y91" s="14"/>
    </row>
    <row r="92" spans="1:25" ht="12" customHeight="1">
      <c r="A92" s="67"/>
      <c r="B92" s="28"/>
      <c r="C92" s="20" t="s">
        <v>269</v>
      </c>
      <c r="D92" s="20" t="s">
        <v>135</v>
      </c>
      <c r="E92" s="26">
        <v>2</v>
      </c>
      <c r="F92" s="28" t="s">
        <v>1481</v>
      </c>
      <c r="G92" s="37">
        <v>89</v>
      </c>
      <c r="H92" s="150">
        <f t="shared" si="10"/>
        <v>178</v>
      </c>
      <c r="I92" s="306">
        <v>0</v>
      </c>
      <c r="J92" s="155">
        <v>0</v>
      </c>
      <c r="K92" s="156">
        <v>0</v>
      </c>
      <c r="L92" s="157">
        <v>0</v>
      </c>
      <c r="M92" s="153">
        <f t="shared" si="11"/>
        <v>0</v>
      </c>
      <c r="N92" s="166">
        <v>0</v>
      </c>
      <c r="O92" s="167">
        <v>0</v>
      </c>
      <c r="P92" s="168"/>
      <c r="Q92" s="309">
        <f t="shared" si="12"/>
        <v>0</v>
      </c>
      <c r="R92" s="152">
        <f t="shared" si="13"/>
        <v>0</v>
      </c>
      <c r="S92" s="154">
        <f t="shared" si="14"/>
        <v>0</v>
      </c>
      <c r="T92" s="169">
        <f t="shared" si="15"/>
        <v>0</v>
      </c>
      <c r="U92" s="153">
        <f t="shared" si="16"/>
        <v>0</v>
      </c>
      <c r="V92" s="166">
        <f t="shared" si="17"/>
        <v>0</v>
      </c>
      <c r="W92" s="167">
        <f t="shared" si="18"/>
        <v>0</v>
      </c>
      <c r="X92" s="168">
        <f t="shared" si="19"/>
        <v>0</v>
      </c>
      <c r="Y92" s="14"/>
    </row>
    <row r="93" spans="1:25" ht="12" customHeight="1">
      <c r="A93" s="67"/>
      <c r="B93" s="28"/>
      <c r="C93" s="20" t="s">
        <v>269</v>
      </c>
      <c r="D93" s="20" t="s">
        <v>135</v>
      </c>
      <c r="E93" s="26">
        <v>5</v>
      </c>
      <c r="F93" s="28" t="s">
        <v>1482</v>
      </c>
      <c r="G93" s="37">
        <v>42.5</v>
      </c>
      <c r="H93" s="150">
        <f t="shared" si="10"/>
        <v>212.5</v>
      </c>
      <c r="I93" s="306">
        <v>0</v>
      </c>
      <c r="J93" s="155">
        <v>0</v>
      </c>
      <c r="K93" s="156">
        <v>0</v>
      </c>
      <c r="L93" s="157">
        <v>0</v>
      </c>
      <c r="M93" s="153">
        <f t="shared" si="11"/>
        <v>0</v>
      </c>
      <c r="N93" s="166">
        <v>0</v>
      </c>
      <c r="O93" s="167">
        <v>0</v>
      </c>
      <c r="P93" s="168"/>
      <c r="Q93" s="309">
        <f t="shared" si="12"/>
        <v>0</v>
      </c>
      <c r="R93" s="152">
        <f t="shared" si="13"/>
        <v>0</v>
      </c>
      <c r="S93" s="154">
        <f t="shared" si="14"/>
        <v>0</v>
      </c>
      <c r="T93" s="169">
        <f t="shared" si="15"/>
        <v>0</v>
      </c>
      <c r="U93" s="153">
        <f t="shared" si="16"/>
        <v>0</v>
      </c>
      <c r="V93" s="166">
        <f t="shared" si="17"/>
        <v>0</v>
      </c>
      <c r="W93" s="167">
        <f t="shared" si="18"/>
        <v>0</v>
      </c>
      <c r="X93" s="168">
        <f t="shared" si="19"/>
        <v>0</v>
      </c>
      <c r="Y93" s="14"/>
    </row>
    <row r="94" spans="1:25" ht="12" customHeight="1">
      <c r="A94" s="67"/>
      <c r="B94" s="28"/>
      <c r="C94" s="20" t="s">
        <v>269</v>
      </c>
      <c r="D94" s="20" t="s">
        <v>135</v>
      </c>
      <c r="E94" s="26">
        <v>5</v>
      </c>
      <c r="F94" s="28" t="s">
        <v>1483</v>
      </c>
      <c r="G94" s="37">
        <v>41</v>
      </c>
      <c r="H94" s="150">
        <f t="shared" si="10"/>
        <v>205</v>
      </c>
      <c r="I94" s="306">
        <v>0</v>
      </c>
      <c r="J94" s="155">
        <v>0</v>
      </c>
      <c r="K94" s="156">
        <v>0</v>
      </c>
      <c r="L94" s="157">
        <v>0</v>
      </c>
      <c r="M94" s="153">
        <f t="shared" si="11"/>
        <v>0</v>
      </c>
      <c r="N94" s="166">
        <v>0</v>
      </c>
      <c r="O94" s="167">
        <v>0</v>
      </c>
      <c r="P94" s="168"/>
      <c r="Q94" s="309">
        <f t="shared" si="12"/>
        <v>0</v>
      </c>
      <c r="R94" s="152">
        <f t="shared" si="13"/>
        <v>0</v>
      </c>
      <c r="S94" s="154">
        <f t="shared" si="14"/>
        <v>0</v>
      </c>
      <c r="T94" s="169">
        <f t="shared" si="15"/>
        <v>0</v>
      </c>
      <c r="U94" s="153">
        <f t="shared" si="16"/>
        <v>0</v>
      </c>
      <c r="V94" s="166">
        <f t="shared" si="17"/>
        <v>0</v>
      </c>
      <c r="W94" s="167">
        <f t="shared" si="18"/>
        <v>0</v>
      </c>
      <c r="X94" s="168">
        <f t="shared" si="19"/>
        <v>0</v>
      </c>
      <c r="Y94" s="14"/>
    </row>
    <row r="95" spans="1:25" ht="12" customHeight="1">
      <c r="A95" s="67"/>
      <c r="B95" s="28"/>
      <c r="C95" s="20" t="s">
        <v>269</v>
      </c>
      <c r="D95" s="20" t="s">
        <v>135</v>
      </c>
      <c r="E95" s="26">
        <v>5</v>
      </c>
      <c r="F95" s="28" t="s">
        <v>1484</v>
      </c>
      <c r="G95" s="37">
        <v>41</v>
      </c>
      <c r="H95" s="150">
        <f t="shared" si="10"/>
        <v>205</v>
      </c>
      <c r="I95" s="306">
        <v>0</v>
      </c>
      <c r="J95" s="155">
        <v>0</v>
      </c>
      <c r="K95" s="156">
        <v>0</v>
      </c>
      <c r="L95" s="157">
        <v>0</v>
      </c>
      <c r="M95" s="153">
        <f t="shared" si="11"/>
        <v>0</v>
      </c>
      <c r="N95" s="166">
        <v>0</v>
      </c>
      <c r="O95" s="167">
        <v>0</v>
      </c>
      <c r="P95" s="168"/>
      <c r="Q95" s="309">
        <f t="shared" si="12"/>
        <v>0</v>
      </c>
      <c r="R95" s="152">
        <f t="shared" si="13"/>
        <v>0</v>
      </c>
      <c r="S95" s="154">
        <f t="shared" si="14"/>
        <v>0</v>
      </c>
      <c r="T95" s="169">
        <f t="shared" si="15"/>
        <v>0</v>
      </c>
      <c r="U95" s="153">
        <f t="shared" si="16"/>
        <v>0</v>
      </c>
      <c r="V95" s="166">
        <f t="shared" si="17"/>
        <v>0</v>
      </c>
      <c r="W95" s="167">
        <f t="shared" si="18"/>
        <v>0</v>
      </c>
      <c r="X95" s="168">
        <f t="shared" si="19"/>
        <v>0</v>
      </c>
      <c r="Y95" s="14"/>
    </row>
    <row r="96" spans="1:25" ht="12" customHeight="1">
      <c r="A96" s="67"/>
      <c r="B96" s="28"/>
      <c r="C96" s="20" t="s">
        <v>269</v>
      </c>
      <c r="D96" s="20" t="s">
        <v>135</v>
      </c>
      <c r="E96" s="26">
        <v>5</v>
      </c>
      <c r="F96" s="28" t="s">
        <v>1485</v>
      </c>
      <c r="G96" s="37">
        <v>113.5</v>
      </c>
      <c r="H96" s="150">
        <f t="shared" si="10"/>
        <v>567.5</v>
      </c>
      <c r="I96" s="307">
        <v>15</v>
      </c>
      <c r="J96" s="155">
        <v>28.5</v>
      </c>
      <c r="K96" s="156">
        <v>2</v>
      </c>
      <c r="L96" s="157">
        <v>0.3</v>
      </c>
      <c r="M96" s="153">
        <f t="shared" si="11"/>
        <v>30.5</v>
      </c>
      <c r="N96" s="166">
        <v>1.67</v>
      </c>
      <c r="O96" s="167">
        <v>0.1</v>
      </c>
      <c r="P96" s="168">
        <v>0.1</v>
      </c>
      <c r="Q96" s="309">
        <f t="shared" si="12"/>
        <v>75</v>
      </c>
      <c r="R96" s="152">
        <f t="shared" si="13"/>
        <v>142.5</v>
      </c>
      <c r="S96" s="154">
        <f t="shared" si="14"/>
        <v>10</v>
      </c>
      <c r="T96" s="169">
        <f t="shared" si="15"/>
        <v>1.5</v>
      </c>
      <c r="U96" s="153">
        <f t="shared" si="16"/>
        <v>152.5</v>
      </c>
      <c r="V96" s="166">
        <f t="shared" si="17"/>
        <v>8.35</v>
      </c>
      <c r="W96" s="167">
        <f t="shared" si="18"/>
        <v>0.5</v>
      </c>
      <c r="X96" s="168">
        <f t="shared" si="19"/>
        <v>0.5</v>
      </c>
      <c r="Y96" s="14"/>
    </row>
    <row r="97" spans="1:25" ht="12" customHeight="1">
      <c r="A97" s="67">
        <v>40355</v>
      </c>
      <c r="B97" s="28">
        <v>538</v>
      </c>
      <c r="C97" s="20" t="s">
        <v>23</v>
      </c>
      <c r="D97" s="20" t="s">
        <v>24</v>
      </c>
      <c r="E97" s="26">
        <v>10</v>
      </c>
      <c r="F97" s="28" t="s">
        <v>1486</v>
      </c>
      <c r="G97" s="37">
        <v>12</v>
      </c>
      <c r="H97" s="150">
        <f t="shared" si="10"/>
        <v>120</v>
      </c>
      <c r="I97" s="306">
        <v>1.5</v>
      </c>
      <c r="J97" s="155">
        <v>5.16</v>
      </c>
      <c r="K97" s="156">
        <v>1.5</v>
      </c>
      <c r="L97" s="157">
        <v>0.23</v>
      </c>
      <c r="M97" s="153">
        <f t="shared" si="11"/>
        <v>6.66</v>
      </c>
      <c r="N97" s="166">
        <v>0.13</v>
      </c>
      <c r="O97" s="167">
        <v>0.1</v>
      </c>
      <c r="P97" s="168">
        <v>0.1</v>
      </c>
      <c r="Q97" s="309">
        <f t="shared" si="12"/>
        <v>15</v>
      </c>
      <c r="R97" s="152">
        <f t="shared" si="13"/>
        <v>51.6</v>
      </c>
      <c r="S97" s="154">
        <f t="shared" si="14"/>
        <v>15</v>
      </c>
      <c r="T97" s="169">
        <f t="shared" si="15"/>
        <v>2.3000000000000003</v>
      </c>
      <c r="U97" s="153">
        <f t="shared" si="16"/>
        <v>66.599999999999994</v>
      </c>
      <c r="V97" s="166">
        <f t="shared" si="17"/>
        <v>1.3</v>
      </c>
      <c r="W97" s="167">
        <f t="shared" si="18"/>
        <v>1</v>
      </c>
      <c r="X97" s="168">
        <f t="shared" si="19"/>
        <v>1</v>
      </c>
      <c r="Y97" s="14"/>
    </row>
    <row r="98" spans="1:25" ht="12" customHeight="1">
      <c r="A98" s="67">
        <v>40354</v>
      </c>
      <c r="B98" s="28">
        <v>539</v>
      </c>
      <c r="C98" s="20" t="s">
        <v>330</v>
      </c>
      <c r="D98" s="20" t="s">
        <v>24</v>
      </c>
      <c r="E98" s="26">
        <v>6</v>
      </c>
      <c r="F98" s="28" t="s">
        <v>1487</v>
      </c>
      <c r="G98" s="37">
        <v>45</v>
      </c>
      <c r="H98" s="150">
        <f t="shared" si="10"/>
        <v>270</v>
      </c>
      <c r="I98" s="306">
        <v>6.5</v>
      </c>
      <c r="J98" s="155">
        <v>22.88</v>
      </c>
      <c r="K98" s="156">
        <v>2</v>
      </c>
      <c r="L98" s="157">
        <v>0.3</v>
      </c>
      <c r="M98" s="153">
        <f t="shared" si="11"/>
        <v>24.88</v>
      </c>
      <c r="N98" s="166">
        <v>0.5</v>
      </c>
      <c r="O98" s="167">
        <v>0.1</v>
      </c>
      <c r="P98" s="168">
        <v>0</v>
      </c>
      <c r="Q98" s="309">
        <f t="shared" si="12"/>
        <v>39</v>
      </c>
      <c r="R98" s="152">
        <f t="shared" si="13"/>
        <v>137.28</v>
      </c>
      <c r="S98" s="154">
        <f t="shared" si="14"/>
        <v>12</v>
      </c>
      <c r="T98" s="169">
        <f t="shared" si="15"/>
        <v>1.7999999999999998</v>
      </c>
      <c r="U98" s="153">
        <f t="shared" si="16"/>
        <v>149.28</v>
      </c>
      <c r="V98" s="166">
        <f t="shared" si="17"/>
        <v>3</v>
      </c>
      <c r="W98" s="167">
        <f t="shared" si="18"/>
        <v>0.60000000000000009</v>
      </c>
      <c r="X98" s="168">
        <f t="shared" si="19"/>
        <v>0</v>
      </c>
      <c r="Y98" s="14"/>
    </row>
    <row r="99" spans="1:25" ht="12" customHeight="1">
      <c r="A99" s="67">
        <v>40358</v>
      </c>
      <c r="B99" s="28">
        <v>540</v>
      </c>
      <c r="C99" s="20" t="s">
        <v>1438</v>
      </c>
      <c r="D99" s="20" t="s">
        <v>42</v>
      </c>
      <c r="E99" s="26">
        <v>90</v>
      </c>
      <c r="F99" s="28" t="s">
        <v>1488</v>
      </c>
      <c r="G99" s="37">
        <v>40</v>
      </c>
      <c r="H99" s="150">
        <f t="shared" si="10"/>
        <v>3600</v>
      </c>
      <c r="I99" s="306">
        <v>3.5</v>
      </c>
      <c r="J99" s="155">
        <v>3.07</v>
      </c>
      <c r="K99" s="156">
        <v>3</v>
      </c>
      <c r="L99" s="157">
        <v>0.45</v>
      </c>
      <c r="M99" s="153">
        <f t="shared" si="11"/>
        <v>6.07</v>
      </c>
      <c r="N99" s="166">
        <v>0.33</v>
      </c>
      <c r="O99" s="167">
        <v>0.25</v>
      </c>
      <c r="P99" s="168">
        <v>0.1</v>
      </c>
      <c r="Q99" s="309">
        <f t="shared" si="12"/>
        <v>315</v>
      </c>
      <c r="R99" s="152">
        <f t="shared" si="13"/>
        <v>276.3</v>
      </c>
      <c r="S99" s="154">
        <f t="shared" si="14"/>
        <v>270</v>
      </c>
      <c r="T99" s="169">
        <f t="shared" si="15"/>
        <v>40.5</v>
      </c>
      <c r="U99" s="153">
        <f t="shared" si="16"/>
        <v>546.30000000000007</v>
      </c>
      <c r="V99" s="166">
        <f t="shared" si="17"/>
        <v>29.700000000000003</v>
      </c>
      <c r="W99" s="167">
        <f t="shared" si="18"/>
        <v>22.5</v>
      </c>
      <c r="X99" s="168">
        <f t="shared" si="19"/>
        <v>9</v>
      </c>
      <c r="Y99" s="14"/>
    </row>
    <row r="100" spans="1:25">
      <c r="A100" s="67"/>
      <c r="B100" s="28"/>
      <c r="C100" s="20" t="s">
        <v>1438</v>
      </c>
      <c r="D100" s="20" t="s">
        <v>42</v>
      </c>
      <c r="E100" s="26">
        <v>62</v>
      </c>
      <c r="F100" s="28" t="s">
        <v>1489</v>
      </c>
      <c r="G100" s="37">
        <v>40</v>
      </c>
      <c r="H100" s="150">
        <f t="shared" si="10"/>
        <v>2480</v>
      </c>
      <c r="I100" s="306">
        <v>3.5</v>
      </c>
      <c r="J100" s="155">
        <v>2.57</v>
      </c>
      <c r="K100" s="156">
        <v>3</v>
      </c>
      <c r="L100" s="157">
        <v>0.45</v>
      </c>
      <c r="M100" s="153">
        <f t="shared" si="11"/>
        <v>5.57</v>
      </c>
      <c r="N100" s="166">
        <v>0.33</v>
      </c>
      <c r="O100" s="167">
        <v>0.25</v>
      </c>
      <c r="P100" s="168">
        <v>0.1</v>
      </c>
      <c r="Q100" s="309">
        <f t="shared" si="12"/>
        <v>217</v>
      </c>
      <c r="R100" s="152">
        <f t="shared" si="13"/>
        <v>159.34</v>
      </c>
      <c r="S100" s="154">
        <f t="shared" si="14"/>
        <v>186</v>
      </c>
      <c r="T100" s="169">
        <f t="shared" si="15"/>
        <v>27.900000000000002</v>
      </c>
      <c r="U100" s="153">
        <f t="shared" si="16"/>
        <v>345.34000000000003</v>
      </c>
      <c r="V100" s="166">
        <f t="shared" si="17"/>
        <v>20.46</v>
      </c>
      <c r="W100" s="167">
        <f t="shared" si="18"/>
        <v>15.5</v>
      </c>
      <c r="X100" s="168">
        <f t="shared" si="19"/>
        <v>6.2</v>
      </c>
      <c r="Y100" s="14"/>
    </row>
    <row r="101" spans="1:25">
      <c r="A101" s="67"/>
      <c r="B101" s="28"/>
      <c r="C101" s="20" t="s">
        <v>1438</v>
      </c>
      <c r="D101" s="20" t="s">
        <v>42</v>
      </c>
      <c r="E101" s="26">
        <v>15</v>
      </c>
      <c r="F101" s="28" t="s">
        <v>1490</v>
      </c>
      <c r="G101" s="37">
        <v>40</v>
      </c>
      <c r="H101" s="150">
        <f t="shared" si="10"/>
        <v>600</v>
      </c>
      <c r="I101" s="306">
        <v>3.5</v>
      </c>
      <c r="J101" s="155">
        <v>2.0699999999999998</v>
      </c>
      <c r="K101" s="156">
        <v>3</v>
      </c>
      <c r="L101" s="157">
        <v>0.45</v>
      </c>
      <c r="M101" s="153">
        <f t="shared" si="11"/>
        <v>5.07</v>
      </c>
      <c r="N101" s="166">
        <v>0.33</v>
      </c>
      <c r="O101" s="167">
        <v>0.25</v>
      </c>
      <c r="P101" s="168">
        <v>0.1</v>
      </c>
      <c r="Q101" s="309">
        <f t="shared" si="12"/>
        <v>52.5</v>
      </c>
      <c r="R101" s="152">
        <f t="shared" si="13"/>
        <v>31.049999999999997</v>
      </c>
      <c r="S101" s="154">
        <f t="shared" si="14"/>
        <v>45</v>
      </c>
      <c r="T101" s="169">
        <f t="shared" si="15"/>
        <v>6.75</v>
      </c>
      <c r="U101" s="153">
        <f t="shared" si="16"/>
        <v>76.050000000000011</v>
      </c>
      <c r="V101" s="166">
        <f t="shared" si="17"/>
        <v>4.95</v>
      </c>
      <c r="W101" s="167">
        <f t="shared" si="18"/>
        <v>3.75</v>
      </c>
      <c r="X101" s="168">
        <f t="shared" si="19"/>
        <v>1.5</v>
      </c>
      <c r="Y101" s="14"/>
    </row>
    <row r="102" spans="1:25">
      <c r="A102" s="67"/>
      <c r="B102" s="28"/>
      <c r="C102" s="20" t="s">
        <v>1438</v>
      </c>
      <c r="D102" s="20" t="s">
        <v>42</v>
      </c>
      <c r="E102" s="26">
        <v>45</v>
      </c>
      <c r="F102" s="28" t="s">
        <v>1491</v>
      </c>
      <c r="G102" s="37">
        <v>40</v>
      </c>
      <c r="H102" s="150">
        <f t="shared" si="10"/>
        <v>1800</v>
      </c>
      <c r="I102" s="306">
        <v>3.5</v>
      </c>
      <c r="J102" s="155">
        <v>2.0699999999999998</v>
      </c>
      <c r="K102" s="156">
        <v>3</v>
      </c>
      <c r="L102" s="157">
        <v>0.45</v>
      </c>
      <c r="M102" s="153">
        <f t="shared" si="11"/>
        <v>5.07</v>
      </c>
      <c r="N102" s="166">
        <v>0.33</v>
      </c>
      <c r="O102" s="167">
        <v>0.25</v>
      </c>
      <c r="P102" s="168">
        <v>0.1</v>
      </c>
      <c r="Q102" s="309">
        <f t="shared" si="12"/>
        <v>157.5</v>
      </c>
      <c r="R102" s="152">
        <f t="shared" si="13"/>
        <v>93.149999999999991</v>
      </c>
      <c r="S102" s="154">
        <f t="shared" si="14"/>
        <v>135</v>
      </c>
      <c r="T102" s="169">
        <f t="shared" si="15"/>
        <v>20.25</v>
      </c>
      <c r="U102" s="153">
        <f t="shared" si="16"/>
        <v>228.15</v>
      </c>
      <c r="V102" s="166">
        <f t="shared" si="17"/>
        <v>14.850000000000001</v>
      </c>
      <c r="W102" s="167">
        <f t="shared" si="18"/>
        <v>11.25</v>
      </c>
      <c r="X102" s="168">
        <f t="shared" si="19"/>
        <v>4.5</v>
      </c>
      <c r="Y102" s="14"/>
    </row>
    <row r="103" spans="1:25">
      <c r="A103" s="67"/>
      <c r="B103" s="28"/>
      <c r="C103" s="20" t="s">
        <v>1438</v>
      </c>
      <c r="D103" s="20" t="s">
        <v>42</v>
      </c>
      <c r="E103" s="26">
        <v>292</v>
      </c>
      <c r="F103" s="28" t="s">
        <v>1492</v>
      </c>
      <c r="G103" s="37">
        <v>20</v>
      </c>
      <c r="H103" s="150">
        <f t="shared" si="10"/>
        <v>5840</v>
      </c>
      <c r="I103" s="306">
        <v>1.5</v>
      </c>
      <c r="J103" s="155">
        <v>2.68</v>
      </c>
      <c r="K103" s="156">
        <v>3</v>
      </c>
      <c r="L103" s="157">
        <v>0.45</v>
      </c>
      <c r="M103" s="153">
        <f t="shared" si="11"/>
        <v>5.68</v>
      </c>
      <c r="N103" s="166">
        <v>0.15</v>
      </c>
      <c r="O103" s="167">
        <v>0.1</v>
      </c>
      <c r="P103" s="168">
        <v>0.25</v>
      </c>
      <c r="Q103" s="309">
        <f t="shared" si="12"/>
        <v>438</v>
      </c>
      <c r="R103" s="152">
        <f t="shared" si="13"/>
        <v>782.56000000000006</v>
      </c>
      <c r="S103" s="154">
        <f t="shared" si="14"/>
        <v>876</v>
      </c>
      <c r="T103" s="169">
        <f t="shared" si="15"/>
        <v>131.4</v>
      </c>
      <c r="U103" s="153">
        <f t="shared" si="16"/>
        <v>1658.56</v>
      </c>
      <c r="V103" s="166">
        <f t="shared" si="17"/>
        <v>43.8</v>
      </c>
      <c r="W103" s="167">
        <f t="shared" si="18"/>
        <v>29.200000000000003</v>
      </c>
      <c r="X103" s="168">
        <f t="shared" si="19"/>
        <v>73</v>
      </c>
      <c r="Y103" s="14"/>
    </row>
    <row r="104" spans="1:25">
      <c r="A104" s="67"/>
      <c r="B104" s="28"/>
      <c r="C104" s="20" t="s">
        <v>1438</v>
      </c>
      <c r="D104" s="20" t="s">
        <v>42</v>
      </c>
      <c r="E104" s="26">
        <v>102</v>
      </c>
      <c r="F104" s="28" t="s">
        <v>1493</v>
      </c>
      <c r="G104" s="37">
        <v>20</v>
      </c>
      <c r="H104" s="150">
        <f t="shared" si="10"/>
        <v>2040</v>
      </c>
      <c r="I104" s="306">
        <v>1.5</v>
      </c>
      <c r="J104" s="155">
        <v>2.68</v>
      </c>
      <c r="K104" s="156">
        <v>3</v>
      </c>
      <c r="L104" s="157">
        <v>0.45</v>
      </c>
      <c r="M104" s="153">
        <f>J104+K104</f>
        <v>5.68</v>
      </c>
      <c r="N104" s="166">
        <v>0.15</v>
      </c>
      <c r="O104" s="167">
        <v>0.1</v>
      </c>
      <c r="P104" s="168">
        <v>0.25</v>
      </c>
      <c r="Q104" s="309">
        <f t="shared" si="12"/>
        <v>153</v>
      </c>
      <c r="R104" s="152">
        <f t="shared" si="13"/>
        <v>273.36</v>
      </c>
      <c r="S104" s="154">
        <f t="shared" si="14"/>
        <v>306</v>
      </c>
      <c r="T104" s="169">
        <f t="shared" si="15"/>
        <v>45.9</v>
      </c>
      <c r="U104" s="153">
        <f t="shared" si="16"/>
        <v>579.36</v>
      </c>
      <c r="V104" s="166">
        <f t="shared" si="17"/>
        <v>15.299999999999999</v>
      </c>
      <c r="W104" s="167">
        <f t="shared" si="18"/>
        <v>10.200000000000001</v>
      </c>
      <c r="X104" s="168">
        <f t="shared" si="19"/>
        <v>25.5</v>
      </c>
      <c r="Y104" s="14"/>
    </row>
    <row r="105" spans="1:25">
      <c r="A105" s="67"/>
      <c r="B105" s="28"/>
      <c r="C105" s="20" t="s">
        <v>1438</v>
      </c>
      <c r="D105" s="20" t="s">
        <v>42</v>
      </c>
      <c r="E105" s="26">
        <v>60</v>
      </c>
      <c r="F105" s="28" t="s">
        <v>1494</v>
      </c>
      <c r="G105" s="37">
        <v>20</v>
      </c>
      <c r="H105" s="150">
        <f t="shared" si="10"/>
        <v>1200</v>
      </c>
      <c r="I105" s="306">
        <v>1.5</v>
      </c>
      <c r="J105" s="155">
        <v>2.68</v>
      </c>
      <c r="K105" s="156">
        <v>3</v>
      </c>
      <c r="L105" s="157">
        <v>0.45</v>
      </c>
      <c r="M105" s="153">
        <f>J105+K105</f>
        <v>5.68</v>
      </c>
      <c r="N105" s="166">
        <v>0.15</v>
      </c>
      <c r="O105" s="167">
        <v>0.1</v>
      </c>
      <c r="P105" s="168">
        <v>0.25</v>
      </c>
      <c r="Q105" s="309">
        <f t="shared" si="12"/>
        <v>90</v>
      </c>
      <c r="R105" s="152">
        <f t="shared" si="13"/>
        <v>160.80000000000001</v>
      </c>
      <c r="S105" s="154">
        <f t="shared" si="14"/>
        <v>180</v>
      </c>
      <c r="T105" s="169">
        <f t="shared" si="15"/>
        <v>27</v>
      </c>
      <c r="U105" s="153">
        <f t="shared" si="16"/>
        <v>340.79999999999995</v>
      </c>
      <c r="V105" s="166">
        <f t="shared" si="17"/>
        <v>9</v>
      </c>
      <c r="W105" s="167">
        <f t="shared" si="18"/>
        <v>6</v>
      </c>
      <c r="X105" s="168">
        <f t="shared" si="19"/>
        <v>15</v>
      </c>
      <c r="Y105" s="14"/>
    </row>
    <row r="106" spans="1:25">
      <c r="A106" s="67">
        <v>40358</v>
      </c>
      <c r="B106" s="28">
        <v>541</v>
      </c>
      <c r="C106" s="20" t="s">
        <v>253</v>
      </c>
      <c r="D106" s="20" t="s">
        <v>42</v>
      </c>
      <c r="E106" s="26">
        <v>85</v>
      </c>
      <c r="F106" s="28" t="s">
        <v>1495</v>
      </c>
      <c r="G106" s="37">
        <v>20</v>
      </c>
      <c r="H106" s="150">
        <f t="shared" si="10"/>
        <v>1700</v>
      </c>
      <c r="I106" s="306">
        <v>1.5</v>
      </c>
      <c r="J106" s="155">
        <v>-0.19</v>
      </c>
      <c r="K106" s="156">
        <v>5.5</v>
      </c>
      <c r="L106" s="157">
        <v>0.83</v>
      </c>
      <c r="M106" s="153">
        <f t="shared" si="11"/>
        <v>5.31</v>
      </c>
      <c r="N106" s="166">
        <v>0.15</v>
      </c>
      <c r="O106" s="167">
        <v>0.1</v>
      </c>
      <c r="P106" s="168">
        <v>0.25</v>
      </c>
      <c r="Q106" s="309">
        <f t="shared" si="12"/>
        <v>127.5</v>
      </c>
      <c r="R106" s="152">
        <f t="shared" si="13"/>
        <v>-16.149999999999999</v>
      </c>
      <c r="S106" s="154">
        <f t="shared" si="14"/>
        <v>467.5</v>
      </c>
      <c r="T106" s="169">
        <f t="shared" si="15"/>
        <v>70.55</v>
      </c>
      <c r="U106" s="153">
        <f t="shared" si="16"/>
        <v>451.34999999999997</v>
      </c>
      <c r="V106" s="166">
        <f t="shared" si="17"/>
        <v>12.75</v>
      </c>
      <c r="W106" s="167">
        <f t="shared" si="18"/>
        <v>8.5</v>
      </c>
      <c r="X106" s="168">
        <f t="shared" si="19"/>
        <v>21.25</v>
      </c>
      <c r="Y106" s="14"/>
    </row>
    <row r="107" spans="1:25">
      <c r="A107" s="67">
        <v>40358</v>
      </c>
      <c r="B107" s="28">
        <v>542</v>
      </c>
      <c r="C107" s="20" t="s">
        <v>514</v>
      </c>
      <c r="D107" s="20" t="s">
        <v>42</v>
      </c>
      <c r="E107" s="26">
        <v>16</v>
      </c>
      <c r="F107" s="28" t="s">
        <v>1496</v>
      </c>
      <c r="G107" s="37">
        <v>33</v>
      </c>
      <c r="H107" s="150">
        <f t="shared" si="10"/>
        <v>528</v>
      </c>
      <c r="I107" s="306">
        <v>3.5</v>
      </c>
      <c r="J107" s="155">
        <v>7.84</v>
      </c>
      <c r="K107" s="156">
        <v>0</v>
      </c>
      <c r="L107" s="157">
        <v>0</v>
      </c>
      <c r="M107" s="153">
        <f t="shared" si="11"/>
        <v>7.84</v>
      </c>
      <c r="N107" s="166">
        <v>0.33</v>
      </c>
      <c r="O107" s="167">
        <v>0.25</v>
      </c>
      <c r="P107" s="168">
        <v>0.1</v>
      </c>
      <c r="Q107" s="309">
        <f t="shared" si="12"/>
        <v>56</v>
      </c>
      <c r="R107" s="152">
        <f t="shared" si="13"/>
        <v>125.44</v>
      </c>
      <c r="S107" s="154">
        <f t="shared" si="14"/>
        <v>0</v>
      </c>
      <c r="T107" s="169">
        <f t="shared" si="15"/>
        <v>0</v>
      </c>
      <c r="U107" s="153">
        <f t="shared" si="16"/>
        <v>125.44</v>
      </c>
      <c r="V107" s="166">
        <f t="shared" si="17"/>
        <v>5.28</v>
      </c>
      <c r="W107" s="167">
        <f t="shared" si="18"/>
        <v>4</v>
      </c>
      <c r="X107" s="168">
        <f t="shared" si="19"/>
        <v>1.6</v>
      </c>
      <c r="Y107" s="14"/>
    </row>
    <row r="108" spans="1:25">
      <c r="A108" s="67"/>
      <c r="B108" s="28"/>
      <c r="C108" s="20" t="s">
        <v>514</v>
      </c>
      <c r="D108" s="20" t="s">
        <v>42</v>
      </c>
      <c r="E108" s="26">
        <v>26</v>
      </c>
      <c r="F108" s="28" t="s">
        <v>1497</v>
      </c>
      <c r="G108" s="37">
        <v>59.5</v>
      </c>
      <c r="H108" s="150">
        <f t="shared" si="10"/>
        <v>1547</v>
      </c>
      <c r="I108" s="306">
        <v>6.5</v>
      </c>
      <c r="J108" s="155">
        <v>13.8</v>
      </c>
      <c r="K108" s="156">
        <v>1.5</v>
      </c>
      <c r="L108" s="157">
        <v>0.23</v>
      </c>
      <c r="M108" s="153">
        <f t="shared" si="11"/>
        <v>15.3</v>
      </c>
      <c r="N108" s="166">
        <v>0.83</v>
      </c>
      <c r="O108" s="167">
        <v>0.1</v>
      </c>
      <c r="P108" s="168">
        <v>0.2</v>
      </c>
      <c r="Q108" s="309">
        <f t="shared" si="12"/>
        <v>169</v>
      </c>
      <c r="R108" s="152">
        <f t="shared" si="13"/>
        <v>358.8</v>
      </c>
      <c r="S108" s="154">
        <f t="shared" si="14"/>
        <v>39</v>
      </c>
      <c r="T108" s="169">
        <f t="shared" si="15"/>
        <v>5.98</v>
      </c>
      <c r="U108" s="153">
        <f t="shared" si="16"/>
        <v>397.8</v>
      </c>
      <c r="V108" s="166">
        <f t="shared" si="17"/>
        <v>21.58</v>
      </c>
      <c r="W108" s="167">
        <f t="shared" si="18"/>
        <v>2.6</v>
      </c>
      <c r="X108" s="168">
        <f t="shared" si="19"/>
        <v>5.2</v>
      </c>
      <c r="Y108" s="14"/>
    </row>
    <row r="109" spans="1:25">
      <c r="A109" s="67"/>
      <c r="B109" s="28"/>
      <c r="C109" s="20" t="s">
        <v>514</v>
      </c>
      <c r="D109" s="20" t="s">
        <v>42</v>
      </c>
      <c r="E109" s="26">
        <v>23</v>
      </c>
      <c r="F109" s="28" t="s">
        <v>1498</v>
      </c>
      <c r="G109" s="37">
        <v>59.5</v>
      </c>
      <c r="H109" s="150">
        <f t="shared" si="10"/>
        <v>1368.5</v>
      </c>
      <c r="I109" s="306">
        <v>6.5</v>
      </c>
      <c r="J109" s="155">
        <v>11.72</v>
      </c>
      <c r="K109" s="156">
        <v>2</v>
      </c>
      <c r="L109" s="157">
        <v>0.3</v>
      </c>
      <c r="M109" s="153">
        <f t="shared" si="11"/>
        <v>13.72</v>
      </c>
      <c r="N109" s="166">
        <v>0.83</v>
      </c>
      <c r="O109" s="167">
        <v>0.1</v>
      </c>
      <c r="P109" s="168">
        <v>0.2</v>
      </c>
      <c r="Q109" s="309">
        <f t="shared" si="12"/>
        <v>149.5</v>
      </c>
      <c r="R109" s="152">
        <f t="shared" si="13"/>
        <v>269.56</v>
      </c>
      <c r="S109" s="154">
        <f t="shared" si="14"/>
        <v>46</v>
      </c>
      <c r="T109" s="169">
        <f t="shared" si="15"/>
        <v>6.8999999999999995</v>
      </c>
      <c r="U109" s="153">
        <f t="shared" si="16"/>
        <v>315.56</v>
      </c>
      <c r="V109" s="166">
        <f t="shared" si="17"/>
        <v>19.09</v>
      </c>
      <c r="W109" s="167">
        <f t="shared" si="18"/>
        <v>2.3000000000000003</v>
      </c>
      <c r="X109" s="168">
        <f t="shared" si="19"/>
        <v>4.6000000000000005</v>
      </c>
      <c r="Y109" s="14"/>
    </row>
    <row r="110" spans="1:25">
      <c r="A110" s="67">
        <v>40358</v>
      </c>
      <c r="B110" s="28">
        <v>543</v>
      </c>
      <c r="C110" s="20" t="s">
        <v>1499</v>
      </c>
      <c r="D110" s="20" t="s">
        <v>210</v>
      </c>
      <c r="E110" s="26">
        <v>30</v>
      </c>
      <c r="F110" s="28" t="s">
        <v>1500</v>
      </c>
      <c r="G110" s="37">
        <v>44.8</v>
      </c>
      <c r="H110" s="150">
        <f t="shared" si="10"/>
        <v>1344</v>
      </c>
      <c r="I110" s="306">
        <v>3.5</v>
      </c>
      <c r="J110" s="155">
        <v>3.93</v>
      </c>
      <c r="K110" s="156">
        <v>7</v>
      </c>
      <c r="L110" s="157">
        <v>1.05</v>
      </c>
      <c r="M110" s="153">
        <f t="shared" si="11"/>
        <v>10.93</v>
      </c>
      <c r="N110" s="166">
        <v>0.33</v>
      </c>
      <c r="O110" s="167">
        <v>0.1</v>
      </c>
      <c r="P110" s="168">
        <v>0.1</v>
      </c>
      <c r="Q110" s="309">
        <f t="shared" si="12"/>
        <v>105</v>
      </c>
      <c r="R110" s="152">
        <f t="shared" si="13"/>
        <v>117.9</v>
      </c>
      <c r="S110" s="154">
        <f t="shared" si="14"/>
        <v>210</v>
      </c>
      <c r="T110" s="169">
        <f t="shared" si="15"/>
        <v>31.5</v>
      </c>
      <c r="U110" s="153">
        <f t="shared" si="16"/>
        <v>327.9</v>
      </c>
      <c r="V110" s="166">
        <f t="shared" si="17"/>
        <v>9.9</v>
      </c>
      <c r="W110" s="167">
        <f t="shared" si="18"/>
        <v>3</v>
      </c>
      <c r="X110" s="168">
        <f t="shared" si="19"/>
        <v>3</v>
      </c>
      <c r="Y110" s="14"/>
    </row>
    <row r="111" spans="1:25">
      <c r="A111" s="67">
        <v>40351</v>
      </c>
      <c r="B111" s="28">
        <v>544</v>
      </c>
      <c r="C111" s="20" t="s">
        <v>137</v>
      </c>
      <c r="D111" s="20" t="s">
        <v>1501</v>
      </c>
      <c r="E111" s="26">
        <v>20</v>
      </c>
      <c r="F111" s="28" t="s">
        <v>1502</v>
      </c>
      <c r="G111" s="37">
        <v>2.1</v>
      </c>
      <c r="H111" s="150">
        <f t="shared" si="10"/>
        <v>42</v>
      </c>
      <c r="I111" s="306">
        <v>0.05</v>
      </c>
      <c r="J111" s="155">
        <v>0.19</v>
      </c>
      <c r="K111" s="156">
        <v>1.2</v>
      </c>
      <c r="L111" s="157">
        <v>0.1</v>
      </c>
      <c r="M111" s="153">
        <f t="shared" si="11"/>
        <v>1.39</v>
      </c>
      <c r="N111" s="166">
        <v>0</v>
      </c>
      <c r="O111" s="167">
        <v>0.1</v>
      </c>
      <c r="P111" s="168">
        <v>0</v>
      </c>
      <c r="Q111" s="309">
        <f t="shared" si="12"/>
        <v>1</v>
      </c>
      <c r="R111" s="152">
        <f t="shared" si="13"/>
        <v>3.8</v>
      </c>
      <c r="S111" s="154">
        <f t="shared" si="14"/>
        <v>24</v>
      </c>
      <c r="T111" s="169">
        <f t="shared" si="15"/>
        <v>2</v>
      </c>
      <c r="U111" s="153">
        <f t="shared" si="16"/>
        <v>27.799999999999997</v>
      </c>
      <c r="V111" s="166">
        <f t="shared" si="17"/>
        <v>0</v>
      </c>
      <c r="W111" s="167">
        <f t="shared" si="18"/>
        <v>2</v>
      </c>
      <c r="X111" s="168">
        <f t="shared" si="19"/>
        <v>0</v>
      </c>
      <c r="Y111" s="14"/>
    </row>
    <row r="112" spans="1:25">
      <c r="A112" s="67"/>
      <c r="B112" s="28"/>
      <c r="C112" s="20" t="s">
        <v>137</v>
      </c>
      <c r="D112" s="20" t="s">
        <v>1501</v>
      </c>
      <c r="E112" s="26">
        <v>72</v>
      </c>
      <c r="F112" s="28" t="s">
        <v>1503</v>
      </c>
      <c r="G112" s="37">
        <v>2.1</v>
      </c>
      <c r="H112" s="150">
        <f t="shared" si="10"/>
        <v>151.20000000000002</v>
      </c>
      <c r="I112" s="306">
        <v>0.1</v>
      </c>
      <c r="J112" s="155">
        <v>0.03</v>
      </c>
      <c r="K112" s="156">
        <v>1.3</v>
      </c>
      <c r="L112" s="157">
        <v>0.18</v>
      </c>
      <c r="M112" s="153">
        <f t="shared" si="11"/>
        <v>1.33</v>
      </c>
      <c r="N112" s="166">
        <v>0</v>
      </c>
      <c r="O112" s="167">
        <v>0.1</v>
      </c>
      <c r="P112" s="168">
        <v>0</v>
      </c>
      <c r="Q112" s="309">
        <f t="shared" si="12"/>
        <v>7.2</v>
      </c>
      <c r="R112" s="152">
        <f t="shared" si="13"/>
        <v>2.16</v>
      </c>
      <c r="S112" s="154">
        <f t="shared" si="14"/>
        <v>93.600000000000009</v>
      </c>
      <c r="T112" s="169">
        <f t="shared" si="15"/>
        <v>12.959999999999999</v>
      </c>
      <c r="U112" s="153">
        <f t="shared" si="16"/>
        <v>95.76</v>
      </c>
      <c r="V112" s="166">
        <f t="shared" si="17"/>
        <v>0</v>
      </c>
      <c r="W112" s="167">
        <f t="shared" si="18"/>
        <v>7.2</v>
      </c>
      <c r="X112" s="168">
        <f t="shared" si="19"/>
        <v>0</v>
      </c>
      <c r="Y112" s="14"/>
    </row>
    <row r="113" spans="1:25">
      <c r="A113" s="67"/>
      <c r="B113" s="28"/>
      <c r="C113" s="20" t="s">
        <v>137</v>
      </c>
      <c r="D113" s="20" t="s">
        <v>1501</v>
      </c>
      <c r="E113" s="26">
        <v>72</v>
      </c>
      <c r="F113" s="28" t="s">
        <v>1504</v>
      </c>
      <c r="G113" s="37">
        <v>2.1</v>
      </c>
      <c r="H113" s="150">
        <f t="shared" si="10"/>
        <v>151.20000000000002</v>
      </c>
      <c r="I113" s="306">
        <v>0.1</v>
      </c>
      <c r="J113" s="155">
        <v>0.03</v>
      </c>
      <c r="K113" s="156">
        <v>1.3</v>
      </c>
      <c r="L113" s="157">
        <v>0.15</v>
      </c>
      <c r="M113" s="153">
        <f t="shared" si="11"/>
        <v>1.33</v>
      </c>
      <c r="N113" s="166">
        <v>0</v>
      </c>
      <c r="O113" s="167">
        <v>0.1</v>
      </c>
      <c r="P113" s="168">
        <v>0</v>
      </c>
      <c r="Q113" s="309">
        <f t="shared" si="12"/>
        <v>7.2</v>
      </c>
      <c r="R113" s="152">
        <f t="shared" si="13"/>
        <v>2.16</v>
      </c>
      <c r="S113" s="154">
        <f t="shared" si="14"/>
        <v>93.600000000000009</v>
      </c>
      <c r="T113" s="169">
        <f t="shared" si="15"/>
        <v>10.799999999999999</v>
      </c>
      <c r="U113" s="153">
        <f t="shared" si="16"/>
        <v>95.76</v>
      </c>
      <c r="V113" s="166">
        <f t="shared" si="17"/>
        <v>0</v>
      </c>
      <c r="W113" s="167">
        <f t="shared" si="18"/>
        <v>7.2</v>
      </c>
      <c r="X113" s="168">
        <f t="shared" si="19"/>
        <v>0</v>
      </c>
      <c r="Y113" s="14"/>
    </row>
    <row r="114" spans="1:25">
      <c r="A114" s="67"/>
      <c r="B114" s="28"/>
      <c r="C114" s="20" t="s">
        <v>137</v>
      </c>
      <c r="D114" s="20" t="s">
        <v>1501</v>
      </c>
      <c r="E114" s="26">
        <v>48</v>
      </c>
      <c r="F114" s="28" t="s">
        <v>1505</v>
      </c>
      <c r="G114" s="37">
        <v>2.1</v>
      </c>
      <c r="H114" s="150">
        <f t="shared" si="10"/>
        <v>100.80000000000001</v>
      </c>
      <c r="I114" s="306">
        <v>0.25</v>
      </c>
      <c r="J114" s="155">
        <v>0.5</v>
      </c>
      <c r="K114" s="156">
        <v>4</v>
      </c>
      <c r="L114" s="157">
        <v>0.6</v>
      </c>
      <c r="M114" s="153">
        <f t="shared" si="11"/>
        <v>4.5</v>
      </c>
      <c r="N114" s="166">
        <v>0</v>
      </c>
      <c r="O114" s="167">
        <v>0.1</v>
      </c>
      <c r="P114" s="168">
        <v>0</v>
      </c>
      <c r="Q114" s="309">
        <f t="shared" si="12"/>
        <v>12</v>
      </c>
      <c r="R114" s="152">
        <f t="shared" si="13"/>
        <v>24</v>
      </c>
      <c r="S114" s="154">
        <f t="shared" si="14"/>
        <v>192</v>
      </c>
      <c r="T114" s="169">
        <f t="shared" si="15"/>
        <v>28.799999999999997</v>
      </c>
      <c r="U114" s="153">
        <f t="shared" si="16"/>
        <v>216</v>
      </c>
      <c r="V114" s="166">
        <f t="shared" si="17"/>
        <v>0</v>
      </c>
      <c r="W114" s="167">
        <f t="shared" si="18"/>
        <v>4.8000000000000007</v>
      </c>
      <c r="X114" s="168">
        <f t="shared" si="19"/>
        <v>0</v>
      </c>
      <c r="Y114" s="14"/>
    </row>
    <row r="115" spans="1:25">
      <c r="A115" s="67"/>
      <c r="B115" s="28"/>
      <c r="C115" s="20" t="s">
        <v>137</v>
      </c>
      <c r="D115" s="20" t="s">
        <v>1501</v>
      </c>
      <c r="E115" s="26">
        <v>48</v>
      </c>
      <c r="F115" s="28" t="s">
        <v>1506</v>
      </c>
      <c r="G115" s="37">
        <v>7.5</v>
      </c>
      <c r="H115" s="150">
        <f t="shared" si="10"/>
        <v>360</v>
      </c>
      <c r="I115" s="306">
        <v>0.25</v>
      </c>
      <c r="J115" s="155">
        <v>0.5</v>
      </c>
      <c r="K115" s="156">
        <v>4</v>
      </c>
      <c r="L115" s="157">
        <v>0.6</v>
      </c>
      <c r="M115" s="153">
        <f t="shared" si="11"/>
        <v>4.5</v>
      </c>
      <c r="N115" s="166">
        <v>0</v>
      </c>
      <c r="O115" s="167">
        <v>0.1</v>
      </c>
      <c r="P115" s="168">
        <v>0</v>
      </c>
      <c r="Q115" s="309">
        <f t="shared" si="12"/>
        <v>12</v>
      </c>
      <c r="R115" s="152">
        <f t="shared" si="13"/>
        <v>24</v>
      </c>
      <c r="S115" s="154">
        <f t="shared" si="14"/>
        <v>192</v>
      </c>
      <c r="T115" s="169">
        <f t="shared" si="15"/>
        <v>28.799999999999997</v>
      </c>
      <c r="U115" s="153">
        <f t="shared" si="16"/>
        <v>216</v>
      </c>
      <c r="V115" s="166">
        <f t="shared" si="17"/>
        <v>0</v>
      </c>
      <c r="W115" s="167">
        <f t="shared" si="18"/>
        <v>4.8000000000000007</v>
      </c>
      <c r="X115" s="168">
        <f t="shared" si="19"/>
        <v>0</v>
      </c>
      <c r="Y115" s="14"/>
    </row>
    <row r="116" spans="1:25">
      <c r="A116" s="67"/>
      <c r="B116" s="28"/>
      <c r="C116" s="20" t="s">
        <v>137</v>
      </c>
      <c r="D116" s="20" t="s">
        <v>1501</v>
      </c>
      <c r="E116" s="26">
        <v>72</v>
      </c>
      <c r="F116" s="28" t="s">
        <v>1507</v>
      </c>
      <c r="G116" s="37">
        <v>5</v>
      </c>
      <c r="H116" s="150">
        <f t="shared" si="10"/>
        <v>360</v>
      </c>
      <c r="I116" s="306">
        <v>0.25</v>
      </c>
      <c r="J116" s="155">
        <v>0.51</v>
      </c>
      <c r="K116" s="156">
        <v>4.5999999999999996</v>
      </c>
      <c r="L116" s="157">
        <v>0.69</v>
      </c>
      <c r="M116" s="153">
        <f t="shared" si="11"/>
        <v>5.1099999999999994</v>
      </c>
      <c r="N116" s="166">
        <v>0</v>
      </c>
      <c r="O116" s="167">
        <v>0.1</v>
      </c>
      <c r="P116" s="168">
        <v>0</v>
      </c>
      <c r="Q116" s="309">
        <f t="shared" si="12"/>
        <v>18</v>
      </c>
      <c r="R116" s="152">
        <f t="shared" si="13"/>
        <v>36.72</v>
      </c>
      <c r="S116" s="154">
        <f t="shared" si="14"/>
        <v>331.2</v>
      </c>
      <c r="T116" s="169">
        <f t="shared" si="15"/>
        <v>49.679999999999993</v>
      </c>
      <c r="U116" s="153">
        <f t="shared" si="16"/>
        <v>367.91999999999996</v>
      </c>
      <c r="V116" s="166">
        <f t="shared" si="17"/>
        <v>0</v>
      </c>
      <c r="W116" s="167">
        <f t="shared" si="18"/>
        <v>7.2</v>
      </c>
      <c r="X116" s="168">
        <f t="shared" si="19"/>
        <v>0</v>
      </c>
      <c r="Y116" s="14"/>
    </row>
    <row r="117" spans="1:25" ht="13.5" thickBot="1">
      <c r="A117" s="67"/>
      <c r="B117" s="28"/>
      <c r="C117" s="20" t="s">
        <v>137</v>
      </c>
      <c r="D117" s="20" t="s">
        <v>1501</v>
      </c>
      <c r="E117" s="26">
        <v>72</v>
      </c>
      <c r="F117" s="28" t="s">
        <v>1508</v>
      </c>
      <c r="G117" s="37">
        <v>3.3</v>
      </c>
      <c r="H117" s="150">
        <f t="shared" si="10"/>
        <v>237.6</v>
      </c>
      <c r="I117" s="306">
        <v>0.25</v>
      </c>
      <c r="J117" s="155">
        <v>0.51</v>
      </c>
      <c r="K117" s="156">
        <v>4.5999999999999996</v>
      </c>
      <c r="L117" s="157">
        <v>0.69</v>
      </c>
      <c r="M117" s="153">
        <f t="shared" si="11"/>
        <v>5.1099999999999994</v>
      </c>
      <c r="N117" s="166">
        <v>0</v>
      </c>
      <c r="O117" s="167">
        <v>0.1</v>
      </c>
      <c r="P117" s="168">
        <v>0</v>
      </c>
      <c r="Q117" s="309">
        <f t="shared" si="12"/>
        <v>18</v>
      </c>
      <c r="R117" s="152">
        <f t="shared" si="13"/>
        <v>36.72</v>
      </c>
      <c r="S117" s="154">
        <f t="shared" si="14"/>
        <v>331.2</v>
      </c>
      <c r="T117" s="169">
        <f t="shared" si="15"/>
        <v>49.679999999999993</v>
      </c>
      <c r="U117" s="153">
        <f t="shared" si="16"/>
        <v>367.91999999999996</v>
      </c>
      <c r="V117" s="166">
        <f t="shared" si="17"/>
        <v>0</v>
      </c>
      <c r="W117" s="167">
        <f t="shared" si="18"/>
        <v>7.2</v>
      </c>
      <c r="X117" s="168">
        <f t="shared" si="19"/>
        <v>0</v>
      </c>
      <c r="Y117" s="14"/>
    </row>
    <row r="118" spans="1:25" ht="18.75" customHeight="1" thickBot="1">
      <c r="A118" s="188"/>
      <c r="B118" s="188"/>
      <c r="C118" s="188"/>
      <c r="D118" s="188"/>
      <c r="E118" s="188"/>
      <c r="F118" s="189" t="s">
        <v>1290</v>
      </c>
      <c r="G118" s="190"/>
      <c r="H118" s="362">
        <f>SUM(H8:H117)</f>
        <v>192776.80000000002</v>
      </c>
      <c r="I118" s="363"/>
      <c r="J118" s="78" t="s">
        <v>36</v>
      </c>
      <c r="K118" s="79"/>
      <c r="L118" s="80"/>
      <c r="M118" s="81"/>
      <c r="N118" s="73"/>
      <c r="O118" s="74"/>
      <c r="P118" s="75"/>
      <c r="Q118" s="312">
        <f t="shared" ref="Q118:X118" si="20">SUM(Q8:Q117)</f>
        <v>18844.650000000001</v>
      </c>
      <c r="R118" s="98">
        <f t="shared" si="20"/>
        <v>27319.259999999991</v>
      </c>
      <c r="S118" s="99">
        <f t="shared" si="20"/>
        <v>20883.059999999998</v>
      </c>
      <c r="T118" s="100">
        <f t="shared" si="20"/>
        <v>3185.2400000000016</v>
      </c>
      <c r="U118" s="101">
        <f t="shared" si="20"/>
        <v>48202.319999999978</v>
      </c>
      <c r="V118" s="300">
        <f t="shared" si="20"/>
        <v>2271.1400000000008</v>
      </c>
      <c r="W118" s="301">
        <f t="shared" si="20"/>
        <v>1335.7000000000003</v>
      </c>
      <c r="X118" s="302">
        <f t="shared" si="20"/>
        <v>1932.3000000000002</v>
      </c>
      <c r="Y118" s="32" t="s">
        <v>36</v>
      </c>
    </row>
    <row r="119" spans="1:25" ht="18.75" customHeight="1" thickBot="1">
      <c r="A119" s="32"/>
      <c r="B119" s="32"/>
      <c r="C119" s="32"/>
      <c r="D119" s="32"/>
      <c r="E119" s="32"/>
      <c r="F119" s="189" t="s">
        <v>1290</v>
      </c>
      <c r="G119" s="72"/>
      <c r="H119" s="364">
        <f>H118/7.06</f>
        <v>27305.495750708218</v>
      </c>
      <c r="I119" s="365"/>
      <c r="J119" s="78" t="s">
        <v>407</v>
      </c>
      <c r="K119" s="79"/>
      <c r="L119" s="80"/>
      <c r="M119" s="81"/>
      <c r="N119" s="73"/>
      <c r="O119" s="74"/>
      <c r="P119" s="77"/>
      <c r="Q119" s="313">
        <f t="shared" ref="Q119:X119" si="21">Q118/7.06</f>
        <v>2669.2138810198303</v>
      </c>
      <c r="R119" s="82">
        <f t="shared" si="21"/>
        <v>3869.5835694050979</v>
      </c>
      <c r="S119" s="79">
        <f t="shared" si="21"/>
        <v>2957.940509915014</v>
      </c>
      <c r="T119" s="80">
        <f t="shared" si="21"/>
        <v>451.16713881019854</v>
      </c>
      <c r="U119" s="81">
        <f t="shared" si="21"/>
        <v>6827.524079320111</v>
      </c>
      <c r="V119" s="300">
        <f t="shared" si="21"/>
        <v>321.69121813031177</v>
      </c>
      <c r="W119" s="301">
        <f t="shared" si="21"/>
        <v>189.19263456090655</v>
      </c>
      <c r="X119" s="302">
        <f t="shared" si="21"/>
        <v>273.69688385269126</v>
      </c>
      <c r="Y119" s="32" t="s">
        <v>407</v>
      </c>
    </row>
  </sheetData>
  <autoFilter ref="A7:S119">
    <filterColumn colId="7"/>
    <filterColumn colId="11"/>
    <filterColumn colId="16"/>
  </autoFilter>
  <mergeCells count="3">
    <mergeCell ref="H118:I118"/>
    <mergeCell ref="H119:I119"/>
    <mergeCell ref="G3:K4"/>
  </mergeCells>
  <pageMargins left="0.19685039370078741" right="0.19685039370078741" top="0.39370078740157483" bottom="0.39370078740157483" header="0" footer="0"/>
  <pageSetup paperSize="5" scale="75" orientation="landscape" horizontalDpi="4294967294" verticalDpi="300" r:id="rId1"/>
  <headerFooter alignWithMargins="0"/>
  <drawing r:id="rId2"/>
</worksheet>
</file>

<file path=xl/worksheets/sheet7.xml><?xml version="1.0" encoding="utf-8"?>
<worksheet xmlns="http://schemas.openxmlformats.org/spreadsheetml/2006/main" xmlns:r="http://schemas.openxmlformats.org/officeDocument/2006/relationships">
  <sheetPr codeName="Hoja7">
    <tabColor theme="1" tint="4.9989318521683403E-2"/>
  </sheetPr>
  <dimension ref="A1:Y95"/>
  <sheetViews>
    <sheetView workbookViewId="0">
      <pane ySplit="7" topLeftCell="A83" activePane="bottomLeft" state="frozen"/>
      <selection pane="bottomLeft" activeCell="X94" sqref="X94"/>
    </sheetView>
  </sheetViews>
  <sheetFormatPr baseColWidth="10" defaultRowHeight="12.75"/>
  <cols>
    <col min="1" max="1" width="6.85546875" customWidth="1"/>
    <col min="2" max="2" width="6.140625" customWidth="1"/>
    <col min="3" max="3" width="13.85546875" customWidth="1"/>
    <col min="4" max="4" width="14" customWidth="1"/>
    <col min="5" max="5" width="5.5703125" customWidth="1"/>
    <col min="6" max="6" width="27.85546875" customWidth="1"/>
    <col min="7" max="7" width="6.5703125" customWidth="1"/>
    <col min="8" max="8" width="8.140625" customWidth="1"/>
    <col min="9" max="12" width="5.85546875" customWidth="1"/>
    <col min="13" max="13" width="7.42578125" customWidth="1"/>
    <col min="14" max="16" width="6.140625" customWidth="1"/>
    <col min="17" max="19" width="8.5703125" customWidth="1"/>
    <col min="20" max="20" width="7.7109375" customWidth="1"/>
    <col min="21" max="21" width="8.5703125" customWidth="1"/>
    <col min="22" max="22" width="9.5703125" customWidth="1"/>
    <col min="23" max="23" width="9.140625" customWidth="1"/>
    <col min="24" max="24" width="9" customWidth="1"/>
    <col min="25" max="25" width="7" customWidth="1"/>
    <col min="26" max="26" width="13.7109375" customWidth="1"/>
  </cols>
  <sheetData>
    <row r="1" spans="1:25" ht="14.25" customHeight="1">
      <c r="A1" s="66" t="s">
        <v>12</v>
      </c>
      <c r="B1" s="3"/>
      <c r="C1" s="3"/>
      <c r="Q1" s="5"/>
    </row>
    <row r="2" spans="1:25" ht="14.25" customHeight="1">
      <c r="A2" s="66" t="s">
        <v>13</v>
      </c>
      <c r="B2" s="3"/>
      <c r="C2" s="3"/>
      <c r="D2" s="2"/>
      <c r="Q2" s="5"/>
      <c r="S2" s="4"/>
      <c r="T2" s="4"/>
      <c r="U2" s="4"/>
      <c r="V2" s="4"/>
      <c r="W2" s="4"/>
      <c r="X2" s="4"/>
      <c r="Y2" s="4"/>
    </row>
    <row r="3" spans="1:25" ht="14.25" customHeight="1">
      <c r="A3" s="66" t="s">
        <v>14</v>
      </c>
      <c r="B3" s="3"/>
      <c r="C3" s="3"/>
      <c r="D3" s="2"/>
      <c r="E3" s="260"/>
      <c r="F3" s="260"/>
      <c r="G3" s="369" t="s">
        <v>146</v>
      </c>
      <c r="H3" s="369"/>
      <c r="I3" s="369"/>
      <c r="J3" s="369"/>
      <c r="K3" s="369"/>
      <c r="L3" s="260"/>
      <c r="M3" s="260"/>
      <c r="N3" s="60"/>
      <c r="O3" s="60"/>
      <c r="P3" s="60"/>
      <c r="Q3" s="5"/>
      <c r="S3" s="4"/>
      <c r="T3" s="4"/>
      <c r="U3" s="4"/>
      <c r="V3" s="4"/>
      <c r="W3" s="4"/>
      <c r="X3" s="4"/>
      <c r="Y3" s="4"/>
    </row>
    <row r="4" spans="1:25" ht="14.25" customHeight="1">
      <c r="A4" s="66" t="s">
        <v>15</v>
      </c>
      <c r="B4" s="3"/>
      <c r="C4" s="3"/>
      <c r="D4" s="2"/>
      <c r="E4" s="260"/>
      <c r="F4" s="260"/>
      <c r="G4" s="369"/>
      <c r="H4" s="369"/>
      <c r="I4" s="369"/>
      <c r="J4" s="369"/>
      <c r="K4" s="369"/>
      <c r="L4" s="260"/>
      <c r="M4" s="260"/>
      <c r="N4" s="60"/>
      <c r="O4" s="60"/>
      <c r="P4" s="60"/>
      <c r="Q4" s="5"/>
      <c r="S4" s="4"/>
      <c r="T4" s="4"/>
      <c r="U4" s="4"/>
      <c r="V4" s="4"/>
      <c r="W4" s="4"/>
      <c r="X4" s="4"/>
      <c r="Y4" s="4"/>
    </row>
    <row r="5" spans="1:25" ht="12.75" customHeight="1">
      <c r="B5" s="3"/>
      <c r="C5" s="3"/>
      <c r="D5" s="2"/>
      <c r="E5" s="6"/>
      <c r="F5" s="6"/>
      <c r="G5" s="6"/>
      <c r="H5" s="6"/>
      <c r="I5" s="6"/>
      <c r="Q5" s="5"/>
      <c r="S5" s="4"/>
      <c r="T5" s="4"/>
      <c r="U5" s="4"/>
      <c r="V5" s="4"/>
      <c r="W5" s="4"/>
      <c r="X5" s="4"/>
      <c r="Y5" s="4"/>
    </row>
    <row r="6" spans="1:25" ht="26.25" customHeight="1" thickBot="1">
      <c r="A6" s="255" t="s">
        <v>1745</v>
      </c>
      <c r="D6" s="1"/>
      <c r="J6" s="370"/>
      <c r="K6" s="371"/>
      <c r="Q6" s="5"/>
      <c r="T6" s="4"/>
    </row>
    <row r="7" spans="1:25" s="13" customFormat="1" ht="26.25" customHeight="1" thickBot="1">
      <c r="A7" s="9" t="s">
        <v>0</v>
      </c>
      <c r="B7" s="10" t="s">
        <v>1</v>
      </c>
      <c r="C7" s="9" t="s">
        <v>19</v>
      </c>
      <c r="D7" s="11" t="s">
        <v>18</v>
      </c>
      <c r="E7" s="12" t="s">
        <v>9</v>
      </c>
      <c r="F7" s="9" t="s">
        <v>2</v>
      </c>
      <c r="G7" s="8" t="s">
        <v>20</v>
      </c>
      <c r="H7" s="8" t="s">
        <v>405</v>
      </c>
      <c r="I7" s="305" t="s">
        <v>3</v>
      </c>
      <c r="J7" s="31" t="s">
        <v>10</v>
      </c>
      <c r="K7" s="61" t="s">
        <v>11</v>
      </c>
      <c r="L7" s="62" t="s">
        <v>29</v>
      </c>
      <c r="M7" s="16" t="s">
        <v>6</v>
      </c>
      <c r="N7" s="63" t="s">
        <v>147</v>
      </c>
      <c r="O7" s="64" t="s">
        <v>148</v>
      </c>
      <c r="P7" s="65" t="s">
        <v>149</v>
      </c>
      <c r="Q7" s="311" t="s">
        <v>8</v>
      </c>
      <c r="R7" s="31" t="s">
        <v>4</v>
      </c>
      <c r="S7" s="61" t="s">
        <v>5</v>
      </c>
      <c r="T7" s="62" t="s">
        <v>31</v>
      </c>
      <c r="U7" s="9" t="s">
        <v>7</v>
      </c>
      <c r="V7" s="63" t="s">
        <v>150</v>
      </c>
      <c r="W7" s="64" t="s">
        <v>151</v>
      </c>
      <c r="X7" s="65" t="s">
        <v>152</v>
      </c>
      <c r="Y7" s="9" t="s">
        <v>22</v>
      </c>
    </row>
    <row r="8" spans="1:25" s="7" customFormat="1" ht="12.75" customHeight="1">
      <c r="A8" s="90">
        <v>40360</v>
      </c>
      <c r="B8" s="115">
        <v>545</v>
      </c>
      <c r="C8" s="92" t="s">
        <v>153</v>
      </c>
      <c r="D8" s="92"/>
      <c r="E8" s="41">
        <v>12</v>
      </c>
      <c r="F8" s="103" t="s">
        <v>154</v>
      </c>
      <c r="G8" s="201">
        <v>35</v>
      </c>
      <c r="H8" s="201">
        <f>E8*G8</f>
        <v>420</v>
      </c>
      <c r="I8" s="308">
        <v>3.5</v>
      </c>
      <c r="J8" s="162">
        <v>0</v>
      </c>
      <c r="K8" s="163">
        <v>1.1000000000000001</v>
      </c>
      <c r="L8" s="164">
        <v>0.17</v>
      </c>
      <c r="M8" s="158">
        <f>J8+K8</f>
        <v>1.1000000000000001</v>
      </c>
      <c r="N8" s="159">
        <v>0.33</v>
      </c>
      <c r="O8" s="160">
        <v>0.1</v>
      </c>
      <c r="P8" s="161">
        <v>0.1</v>
      </c>
      <c r="Q8" s="308">
        <f>E8*I8</f>
        <v>42</v>
      </c>
      <c r="R8" s="162">
        <f>E8*J8</f>
        <v>0</v>
      </c>
      <c r="S8" s="163">
        <f>E8*K8</f>
        <v>13.200000000000001</v>
      </c>
      <c r="T8" s="164">
        <f>E8*L8</f>
        <v>2.04</v>
      </c>
      <c r="U8" s="158">
        <f t="shared" ref="U8:U39" si="0">E8*M8</f>
        <v>13.200000000000001</v>
      </c>
      <c r="V8" s="159">
        <f>N8*E8</f>
        <v>3.96</v>
      </c>
      <c r="W8" s="160">
        <f>O8*E8</f>
        <v>1.2000000000000002</v>
      </c>
      <c r="X8" s="161">
        <f>P8*E8</f>
        <v>1.2000000000000002</v>
      </c>
      <c r="Y8" s="17"/>
    </row>
    <row r="9" spans="1:25" s="7" customFormat="1" ht="12.75" customHeight="1">
      <c r="A9" s="67">
        <v>40361</v>
      </c>
      <c r="B9" s="48">
        <v>546</v>
      </c>
      <c r="C9" s="20" t="s">
        <v>155</v>
      </c>
      <c r="D9" s="20" t="s">
        <v>42</v>
      </c>
      <c r="E9" s="26">
        <v>103</v>
      </c>
      <c r="F9" s="28" t="s">
        <v>156</v>
      </c>
      <c r="G9" s="202">
        <v>64</v>
      </c>
      <c r="H9" s="202">
        <f>E9*G9</f>
        <v>6592</v>
      </c>
      <c r="I9" s="309">
        <v>3.5</v>
      </c>
      <c r="J9" s="152">
        <v>5.85</v>
      </c>
      <c r="K9" s="154">
        <v>2.5</v>
      </c>
      <c r="L9" s="169">
        <v>0.38</v>
      </c>
      <c r="M9" s="165">
        <f>J9+K9</f>
        <v>8.35</v>
      </c>
      <c r="N9" s="166">
        <v>0.33</v>
      </c>
      <c r="O9" s="167">
        <v>0.1</v>
      </c>
      <c r="P9" s="168">
        <v>0.1</v>
      </c>
      <c r="Q9" s="309">
        <f>E9*I9</f>
        <v>360.5</v>
      </c>
      <c r="R9" s="152">
        <f>E9*J9</f>
        <v>602.54999999999995</v>
      </c>
      <c r="S9" s="154">
        <f>E9*K9</f>
        <v>257.5</v>
      </c>
      <c r="T9" s="169">
        <f>E9*L9</f>
        <v>39.14</v>
      </c>
      <c r="U9" s="165">
        <f t="shared" si="0"/>
        <v>860.05</v>
      </c>
      <c r="V9" s="166">
        <f>N9*E9</f>
        <v>33.99</v>
      </c>
      <c r="W9" s="167">
        <f>O9*E9</f>
        <v>10.3</v>
      </c>
      <c r="X9" s="168">
        <f>P9*E9</f>
        <v>10.3</v>
      </c>
      <c r="Y9" s="15"/>
    </row>
    <row r="10" spans="1:25" s="7" customFormat="1" ht="12.75" customHeight="1">
      <c r="A10" s="67">
        <v>40367</v>
      </c>
      <c r="B10" s="48">
        <v>547</v>
      </c>
      <c r="C10" s="20" t="s">
        <v>157</v>
      </c>
      <c r="D10" s="20" t="s">
        <v>158</v>
      </c>
      <c r="E10" s="26">
        <v>15</v>
      </c>
      <c r="F10" s="28" t="s">
        <v>159</v>
      </c>
      <c r="G10" s="202">
        <v>54</v>
      </c>
      <c r="H10" s="202">
        <f t="shared" ref="H10:H73" si="1">E10*G10</f>
        <v>810</v>
      </c>
      <c r="I10" s="309">
        <v>6.5</v>
      </c>
      <c r="J10" s="178">
        <v>16.93</v>
      </c>
      <c r="K10" s="154">
        <v>1.5</v>
      </c>
      <c r="L10" s="169">
        <v>0.23</v>
      </c>
      <c r="M10" s="165">
        <f t="shared" ref="M10:M30" si="2">J10+K10</f>
        <v>18.43</v>
      </c>
      <c r="N10" s="166">
        <v>0.75</v>
      </c>
      <c r="O10" s="167">
        <v>0.15</v>
      </c>
      <c r="P10" s="168">
        <v>0.2</v>
      </c>
      <c r="Q10" s="309">
        <f>E10*I10</f>
        <v>97.5</v>
      </c>
      <c r="R10" s="152">
        <f>E10*J10</f>
        <v>253.95</v>
      </c>
      <c r="S10" s="154">
        <f>E10*K10</f>
        <v>22.5</v>
      </c>
      <c r="T10" s="169">
        <f>E10*L10</f>
        <v>3.45</v>
      </c>
      <c r="U10" s="153">
        <f t="shared" si="0"/>
        <v>276.45</v>
      </c>
      <c r="V10" s="166">
        <f t="shared" ref="V10:V73" si="3">N10*E10</f>
        <v>11.25</v>
      </c>
      <c r="W10" s="167">
        <f t="shared" ref="W10:W73" si="4">O10*E10</f>
        <v>2.25</v>
      </c>
      <c r="X10" s="168">
        <f t="shared" ref="X10:X73" si="5">P10*E10</f>
        <v>3</v>
      </c>
      <c r="Y10" s="14"/>
    </row>
    <row r="11" spans="1:25" s="7" customFormat="1" ht="12.75" customHeight="1">
      <c r="A11" s="67"/>
      <c r="B11" s="48"/>
      <c r="C11" s="20" t="s">
        <v>157</v>
      </c>
      <c r="D11" s="20" t="s">
        <v>158</v>
      </c>
      <c r="E11" s="26">
        <v>35</v>
      </c>
      <c r="F11" s="28" t="s">
        <v>160</v>
      </c>
      <c r="G11" s="202">
        <v>60</v>
      </c>
      <c r="H11" s="202">
        <f t="shared" si="1"/>
        <v>2100</v>
      </c>
      <c r="I11" s="309">
        <v>6.5</v>
      </c>
      <c r="J11" s="178">
        <v>18.36</v>
      </c>
      <c r="K11" s="154">
        <v>1.5</v>
      </c>
      <c r="L11" s="169">
        <v>0.23</v>
      </c>
      <c r="M11" s="165">
        <f t="shared" si="2"/>
        <v>19.86</v>
      </c>
      <c r="N11" s="166">
        <v>0.75</v>
      </c>
      <c r="O11" s="167">
        <v>0.15</v>
      </c>
      <c r="P11" s="168">
        <v>0.2</v>
      </c>
      <c r="Q11" s="309">
        <f t="shared" ref="Q11:Q73" si="6">E11*I11</f>
        <v>227.5</v>
      </c>
      <c r="R11" s="152">
        <f t="shared" ref="R11:R73" si="7">E11*J11</f>
        <v>642.6</v>
      </c>
      <c r="S11" s="154">
        <f t="shared" ref="S11:S73" si="8">E11*K11</f>
        <v>52.5</v>
      </c>
      <c r="T11" s="169">
        <f t="shared" ref="T11:T73" si="9">E11*L11</f>
        <v>8.0500000000000007</v>
      </c>
      <c r="U11" s="153">
        <f t="shared" si="0"/>
        <v>695.1</v>
      </c>
      <c r="V11" s="166">
        <f t="shared" si="3"/>
        <v>26.25</v>
      </c>
      <c r="W11" s="167">
        <f t="shared" si="4"/>
        <v>5.25</v>
      </c>
      <c r="X11" s="168">
        <f t="shared" si="5"/>
        <v>7</v>
      </c>
      <c r="Y11" s="14"/>
    </row>
    <row r="12" spans="1:25" s="7" customFormat="1" ht="12.75" customHeight="1">
      <c r="A12" s="67"/>
      <c r="B12" s="48"/>
      <c r="C12" s="20" t="s">
        <v>157</v>
      </c>
      <c r="D12" s="20" t="s">
        <v>158</v>
      </c>
      <c r="E12" s="26">
        <v>50</v>
      </c>
      <c r="F12" s="28" t="s">
        <v>161</v>
      </c>
      <c r="G12" s="202">
        <v>49</v>
      </c>
      <c r="H12" s="202">
        <f t="shared" si="1"/>
        <v>2450</v>
      </c>
      <c r="I12" s="309">
        <v>4</v>
      </c>
      <c r="J12" s="178">
        <v>12.59</v>
      </c>
      <c r="K12" s="154">
        <v>1.5</v>
      </c>
      <c r="L12" s="169">
        <v>0.23</v>
      </c>
      <c r="M12" s="165">
        <f t="shared" si="2"/>
        <v>14.09</v>
      </c>
      <c r="N12" s="166">
        <v>0.42</v>
      </c>
      <c r="O12" s="167">
        <v>0.1</v>
      </c>
      <c r="P12" s="168">
        <v>0.15</v>
      </c>
      <c r="Q12" s="309">
        <f t="shared" si="6"/>
        <v>200</v>
      </c>
      <c r="R12" s="152">
        <f t="shared" si="7"/>
        <v>629.5</v>
      </c>
      <c r="S12" s="154">
        <f t="shared" si="8"/>
        <v>75</v>
      </c>
      <c r="T12" s="169">
        <f t="shared" si="9"/>
        <v>11.5</v>
      </c>
      <c r="U12" s="153">
        <f t="shared" si="0"/>
        <v>704.5</v>
      </c>
      <c r="V12" s="166">
        <f t="shared" si="3"/>
        <v>21</v>
      </c>
      <c r="W12" s="167">
        <f t="shared" si="4"/>
        <v>5</v>
      </c>
      <c r="X12" s="168">
        <f t="shared" si="5"/>
        <v>7.5</v>
      </c>
      <c r="Y12" s="14"/>
    </row>
    <row r="13" spans="1:25" s="7" customFormat="1" ht="12.75" customHeight="1">
      <c r="A13" s="67"/>
      <c r="B13" s="48"/>
      <c r="C13" s="20" t="s">
        <v>157</v>
      </c>
      <c r="D13" s="20" t="s">
        <v>158</v>
      </c>
      <c r="E13" s="26">
        <v>25</v>
      </c>
      <c r="F13" s="28" t="s">
        <v>162</v>
      </c>
      <c r="G13" s="202">
        <v>12.5</v>
      </c>
      <c r="H13" s="202">
        <f t="shared" si="1"/>
        <v>312.5</v>
      </c>
      <c r="I13" s="309">
        <v>1</v>
      </c>
      <c r="J13" s="152">
        <v>1.97</v>
      </c>
      <c r="K13" s="154">
        <v>1.4</v>
      </c>
      <c r="L13" s="169">
        <v>0.21</v>
      </c>
      <c r="M13" s="165">
        <f t="shared" si="2"/>
        <v>3.37</v>
      </c>
      <c r="N13" s="166">
        <v>0.28999999999999998</v>
      </c>
      <c r="O13" s="167">
        <v>0.1</v>
      </c>
      <c r="P13" s="168">
        <v>0.1</v>
      </c>
      <c r="Q13" s="309">
        <f t="shared" si="6"/>
        <v>25</v>
      </c>
      <c r="R13" s="152">
        <f t="shared" si="7"/>
        <v>49.25</v>
      </c>
      <c r="S13" s="154">
        <f t="shared" si="8"/>
        <v>35</v>
      </c>
      <c r="T13" s="169">
        <f t="shared" si="9"/>
        <v>5.25</v>
      </c>
      <c r="U13" s="153">
        <f t="shared" si="0"/>
        <v>84.25</v>
      </c>
      <c r="V13" s="166">
        <f t="shared" si="3"/>
        <v>7.2499999999999991</v>
      </c>
      <c r="W13" s="167">
        <f t="shared" si="4"/>
        <v>2.5</v>
      </c>
      <c r="X13" s="168">
        <f t="shared" si="5"/>
        <v>2.5</v>
      </c>
      <c r="Y13" s="14"/>
    </row>
    <row r="14" spans="1:25" s="7" customFormat="1" ht="12.75" customHeight="1">
      <c r="A14" s="67"/>
      <c r="B14" s="48"/>
      <c r="C14" s="20" t="s">
        <v>157</v>
      </c>
      <c r="D14" s="20" t="s">
        <v>158</v>
      </c>
      <c r="E14" s="26">
        <v>50</v>
      </c>
      <c r="F14" s="28" t="s">
        <v>163</v>
      </c>
      <c r="G14" s="202">
        <v>36</v>
      </c>
      <c r="H14" s="202">
        <f t="shared" si="1"/>
        <v>1800</v>
      </c>
      <c r="I14" s="309">
        <v>5.5</v>
      </c>
      <c r="J14" s="152">
        <v>7.73</v>
      </c>
      <c r="K14" s="154">
        <v>1.5</v>
      </c>
      <c r="L14" s="169">
        <v>0.23</v>
      </c>
      <c r="M14" s="165">
        <f t="shared" si="2"/>
        <v>9.23</v>
      </c>
      <c r="N14" s="166">
        <v>0.57999999999999996</v>
      </c>
      <c r="O14" s="167">
        <v>0.15</v>
      </c>
      <c r="P14" s="168">
        <v>0.15</v>
      </c>
      <c r="Q14" s="309">
        <f t="shared" si="6"/>
        <v>275</v>
      </c>
      <c r="R14" s="152">
        <f t="shared" si="7"/>
        <v>386.5</v>
      </c>
      <c r="S14" s="154">
        <f t="shared" si="8"/>
        <v>75</v>
      </c>
      <c r="T14" s="169">
        <f t="shared" si="9"/>
        <v>11.5</v>
      </c>
      <c r="U14" s="153">
        <f t="shared" si="0"/>
        <v>461.5</v>
      </c>
      <c r="V14" s="166">
        <f t="shared" si="3"/>
        <v>28.999999999999996</v>
      </c>
      <c r="W14" s="167">
        <f t="shared" si="4"/>
        <v>7.5</v>
      </c>
      <c r="X14" s="168">
        <f t="shared" si="5"/>
        <v>7.5</v>
      </c>
      <c r="Y14" s="14"/>
    </row>
    <row r="15" spans="1:25" s="7" customFormat="1" ht="12.75" customHeight="1">
      <c r="A15" s="67">
        <v>40367</v>
      </c>
      <c r="B15" s="48">
        <v>548</v>
      </c>
      <c r="C15" s="20" t="s">
        <v>157</v>
      </c>
      <c r="D15" s="20" t="s">
        <v>158</v>
      </c>
      <c r="E15" s="26">
        <v>25</v>
      </c>
      <c r="F15" s="28" t="s">
        <v>164</v>
      </c>
      <c r="G15" s="202">
        <v>35</v>
      </c>
      <c r="H15" s="202">
        <f t="shared" si="1"/>
        <v>875</v>
      </c>
      <c r="I15" s="309">
        <v>3.5</v>
      </c>
      <c r="J15" s="152">
        <v>5.42</v>
      </c>
      <c r="K15" s="154">
        <v>1.6</v>
      </c>
      <c r="L15" s="169">
        <v>0.24</v>
      </c>
      <c r="M15" s="165">
        <f t="shared" si="2"/>
        <v>7.02</v>
      </c>
      <c r="N15" s="166">
        <v>0.33</v>
      </c>
      <c r="O15" s="167">
        <v>0.1</v>
      </c>
      <c r="P15" s="168">
        <v>0.1</v>
      </c>
      <c r="Q15" s="309">
        <f t="shared" si="6"/>
        <v>87.5</v>
      </c>
      <c r="R15" s="152">
        <f t="shared" si="7"/>
        <v>135.5</v>
      </c>
      <c r="S15" s="154">
        <f t="shared" si="8"/>
        <v>40</v>
      </c>
      <c r="T15" s="169">
        <f t="shared" si="9"/>
        <v>6</v>
      </c>
      <c r="U15" s="153">
        <f t="shared" si="0"/>
        <v>175.5</v>
      </c>
      <c r="V15" s="166">
        <f t="shared" si="3"/>
        <v>8.25</v>
      </c>
      <c r="W15" s="167">
        <f t="shared" si="4"/>
        <v>2.5</v>
      </c>
      <c r="X15" s="168">
        <f t="shared" si="5"/>
        <v>2.5</v>
      </c>
      <c r="Y15" s="14"/>
    </row>
    <row r="16" spans="1:25" s="7" customFormat="1" ht="12.75" customHeight="1">
      <c r="A16" s="67"/>
      <c r="B16" s="48"/>
      <c r="C16" s="20" t="s">
        <v>157</v>
      </c>
      <c r="D16" s="20" t="s">
        <v>158</v>
      </c>
      <c r="E16" s="26">
        <v>25</v>
      </c>
      <c r="F16" s="28" t="s">
        <v>165</v>
      </c>
      <c r="G16" s="202">
        <v>37</v>
      </c>
      <c r="H16" s="202">
        <f t="shared" si="1"/>
        <v>925</v>
      </c>
      <c r="I16" s="309">
        <v>3.5</v>
      </c>
      <c r="J16" s="152">
        <v>6.91</v>
      </c>
      <c r="K16" s="154">
        <v>1.6</v>
      </c>
      <c r="L16" s="169">
        <v>0.24</v>
      </c>
      <c r="M16" s="165">
        <f t="shared" si="2"/>
        <v>8.51</v>
      </c>
      <c r="N16" s="166">
        <v>0.33</v>
      </c>
      <c r="O16" s="167">
        <v>0.1</v>
      </c>
      <c r="P16" s="168">
        <v>0.1</v>
      </c>
      <c r="Q16" s="309">
        <f t="shared" si="6"/>
        <v>87.5</v>
      </c>
      <c r="R16" s="152">
        <f t="shared" si="7"/>
        <v>172.75</v>
      </c>
      <c r="S16" s="154">
        <f t="shared" si="8"/>
        <v>40</v>
      </c>
      <c r="T16" s="169">
        <f t="shared" si="9"/>
        <v>6</v>
      </c>
      <c r="U16" s="153">
        <f t="shared" si="0"/>
        <v>212.75</v>
      </c>
      <c r="V16" s="166">
        <f t="shared" si="3"/>
        <v>8.25</v>
      </c>
      <c r="W16" s="167">
        <f t="shared" si="4"/>
        <v>2.5</v>
      </c>
      <c r="X16" s="168">
        <f t="shared" si="5"/>
        <v>2.5</v>
      </c>
      <c r="Y16" s="14"/>
    </row>
    <row r="17" spans="1:25" s="7" customFormat="1" ht="12.75" customHeight="1">
      <c r="A17" s="67"/>
      <c r="B17" s="48"/>
      <c r="C17" s="20" t="s">
        <v>157</v>
      </c>
      <c r="D17" s="20" t="s">
        <v>158</v>
      </c>
      <c r="E17" s="26">
        <v>30</v>
      </c>
      <c r="F17" s="28" t="s">
        <v>166</v>
      </c>
      <c r="G17" s="202">
        <v>36</v>
      </c>
      <c r="H17" s="202">
        <f t="shared" si="1"/>
        <v>1080</v>
      </c>
      <c r="I17" s="309">
        <v>6.5</v>
      </c>
      <c r="J17" s="152">
        <v>6.17</v>
      </c>
      <c r="K17" s="154">
        <v>1.6</v>
      </c>
      <c r="L17" s="169">
        <v>0.24</v>
      </c>
      <c r="M17" s="165">
        <f t="shared" si="2"/>
        <v>7.77</v>
      </c>
      <c r="N17" s="166">
        <v>0.57999999999999996</v>
      </c>
      <c r="O17" s="167">
        <v>0.15</v>
      </c>
      <c r="P17" s="168">
        <v>0.2</v>
      </c>
      <c r="Q17" s="309">
        <f t="shared" si="6"/>
        <v>195</v>
      </c>
      <c r="R17" s="152">
        <f t="shared" si="7"/>
        <v>185.1</v>
      </c>
      <c r="S17" s="154">
        <f t="shared" si="8"/>
        <v>48</v>
      </c>
      <c r="T17" s="169">
        <f t="shared" si="9"/>
        <v>7.1999999999999993</v>
      </c>
      <c r="U17" s="153">
        <f t="shared" si="0"/>
        <v>233.1</v>
      </c>
      <c r="V17" s="166">
        <f t="shared" si="3"/>
        <v>17.399999999999999</v>
      </c>
      <c r="W17" s="167">
        <f t="shared" si="4"/>
        <v>4.5</v>
      </c>
      <c r="X17" s="168">
        <f t="shared" si="5"/>
        <v>6</v>
      </c>
      <c r="Y17" s="14"/>
    </row>
    <row r="18" spans="1:25" s="7" customFormat="1" ht="12.75" customHeight="1">
      <c r="A18" s="67">
        <v>40367</v>
      </c>
      <c r="B18" s="48">
        <v>549</v>
      </c>
      <c r="C18" s="20" t="s">
        <v>167</v>
      </c>
      <c r="D18" s="20" t="s">
        <v>168</v>
      </c>
      <c r="E18" s="26">
        <v>2</v>
      </c>
      <c r="F18" s="28" t="s">
        <v>169</v>
      </c>
      <c r="G18" s="202">
        <v>37</v>
      </c>
      <c r="H18" s="202">
        <f t="shared" si="1"/>
        <v>74</v>
      </c>
      <c r="I18" s="309">
        <v>3.5</v>
      </c>
      <c r="J18" s="152">
        <v>4.17</v>
      </c>
      <c r="K18" s="154">
        <v>2.5</v>
      </c>
      <c r="L18" s="169">
        <v>0.38</v>
      </c>
      <c r="M18" s="165">
        <f t="shared" si="2"/>
        <v>6.67</v>
      </c>
      <c r="N18" s="166">
        <v>0.33</v>
      </c>
      <c r="O18" s="167">
        <v>0.1</v>
      </c>
      <c r="P18" s="168">
        <v>0.1</v>
      </c>
      <c r="Q18" s="309">
        <f t="shared" si="6"/>
        <v>7</v>
      </c>
      <c r="R18" s="152">
        <f t="shared" si="7"/>
        <v>8.34</v>
      </c>
      <c r="S18" s="154">
        <f t="shared" si="8"/>
        <v>5</v>
      </c>
      <c r="T18" s="169">
        <f t="shared" si="9"/>
        <v>0.76</v>
      </c>
      <c r="U18" s="153">
        <f t="shared" si="0"/>
        <v>13.34</v>
      </c>
      <c r="V18" s="166">
        <f t="shared" si="3"/>
        <v>0.66</v>
      </c>
      <c r="W18" s="167">
        <f t="shared" si="4"/>
        <v>0.2</v>
      </c>
      <c r="X18" s="168">
        <f t="shared" si="5"/>
        <v>0.2</v>
      </c>
      <c r="Y18" s="14"/>
    </row>
    <row r="19" spans="1:25" s="7" customFormat="1" ht="12.75" customHeight="1">
      <c r="A19" s="67"/>
      <c r="B19" s="48"/>
      <c r="C19" s="20" t="s">
        <v>167</v>
      </c>
      <c r="D19" s="20" t="s">
        <v>168</v>
      </c>
      <c r="E19" s="26">
        <v>4</v>
      </c>
      <c r="F19" s="28" t="s">
        <v>170</v>
      </c>
      <c r="G19" s="202">
        <v>41</v>
      </c>
      <c r="H19" s="202">
        <f t="shared" si="1"/>
        <v>164</v>
      </c>
      <c r="I19" s="309">
        <v>3.5</v>
      </c>
      <c r="J19" s="152">
        <v>3.93</v>
      </c>
      <c r="K19" s="154">
        <v>2.5</v>
      </c>
      <c r="L19" s="169">
        <v>0.38</v>
      </c>
      <c r="M19" s="165">
        <f t="shared" si="2"/>
        <v>6.43</v>
      </c>
      <c r="N19" s="166">
        <v>0.33</v>
      </c>
      <c r="O19" s="167">
        <v>0.1</v>
      </c>
      <c r="P19" s="168">
        <v>0.1</v>
      </c>
      <c r="Q19" s="309">
        <f t="shared" si="6"/>
        <v>14</v>
      </c>
      <c r="R19" s="152">
        <f t="shared" si="7"/>
        <v>15.72</v>
      </c>
      <c r="S19" s="154">
        <f t="shared" si="8"/>
        <v>10</v>
      </c>
      <c r="T19" s="169">
        <f t="shared" si="9"/>
        <v>1.52</v>
      </c>
      <c r="U19" s="153">
        <f t="shared" si="0"/>
        <v>25.72</v>
      </c>
      <c r="V19" s="166">
        <f t="shared" si="3"/>
        <v>1.32</v>
      </c>
      <c r="W19" s="167">
        <f t="shared" si="4"/>
        <v>0.4</v>
      </c>
      <c r="X19" s="168">
        <f t="shared" si="5"/>
        <v>0.4</v>
      </c>
      <c r="Y19" s="14"/>
    </row>
    <row r="20" spans="1:25" s="7" customFormat="1" ht="12.75" customHeight="1">
      <c r="A20" s="67"/>
      <c r="B20" s="48"/>
      <c r="C20" s="20" t="s">
        <v>167</v>
      </c>
      <c r="D20" s="20" t="s">
        <v>168</v>
      </c>
      <c r="E20" s="26">
        <v>5</v>
      </c>
      <c r="F20" s="28" t="s">
        <v>171</v>
      </c>
      <c r="G20" s="202">
        <v>33</v>
      </c>
      <c r="H20" s="202">
        <f t="shared" si="1"/>
        <v>165</v>
      </c>
      <c r="I20" s="309">
        <v>3.5</v>
      </c>
      <c r="J20" s="152">
        <v>3.51</v>
      </c>
      <c r="K20" s="154">
        <v>2.5</v>
      </c>
      <c r="L20" s="169">
        <v>0.38</v>
      </c>
      <c r="M20" s="165">
        <f t="shared" si="2"/>
        <v>6.01</v>
      </c>
      <c r="N20" s="166">
        <v>0.33</v>
      </c>
      <c r="O20" s="167">
        <v>0.1</v>
      </c>
      <c r="P20" s="168">
        <v>0.1</v>
      </c>
      <c r="Q20" s="309">
        <f t="shared" si="6"/>
        <v>17.5</v>
      </c>
      <c r="R20" s="152">
        <f t="shared" si="7"/>
        <v>17.549999999999997</v>
      </c>
      <c r="S20" s="154">
        <f t="shared" si="8"/>
        <v>12.5</v>
      </c>
      <c r="T20" s="169">
        <f t="shared" si="9"/>
        <v>1.9</v>
      </c>
      <c r="U20" s="153">
        <f t="shared" si="0"/>
        <v>30.049999999999997</v>
      </c>
      <c r="V20" s="166">
        <f t="shared" si="3"/>
        <v>1.6500000000000001</v>
      </c>
      <c r="W20" s="167">
        <f t="shared" si="4"/>
        <v>0.5</v>
      </c>
      <c r="X20" s="168">
        <f t="shared" si="5"/>
        <v>0.5</v>
      </c>
      <c r="Y20" s="14"/>
    </row>
    <row r="21" spans="1:25" s="7" customFormat="1" ht="12" customHeight="1">
      <c r="A21" s="67">
        <v>40367</v>
      </c>
      <c r="B21" s="48">
        <v>550</v>
      </c>
      <c r="C21" s="20" t="s">
        <v>172</v>
      </c>
      <c r="D21" s="20" t="s">
        <v>42</v>
      </c>
      <c r="E21" s="26">
        <v>375</v>
      </c>
      <c r="F21" s="28" t="s">
        <v>173</v>
      </c>
      <c r="G21" s="202">
        <v>47</v>
      </c>
      <c r="H21" s="202">
        <f t="shared" si="1"/>
        <v>17625</v>
      </c>
      <c r="I21" s="309">
        <v>6.5</v>
      </c>
      <c r="J21" s="178">
        <v>10.78</v>
      </c>
      <c r="K21" s="154">
        <v>1.6</v>
      </c>
      <c r="L21" s="169">
        <v>0.24</v>
      </c>
      <c r="M21" s="165">
        <f>J21+K21</f>
        <v>12.379999999999999</v>
      </c>
      <c r="N21" s="166">
        <v>0.63</v>
      </c>
      <c r="O21" s="167">
        <v>0.1</v>
      </c>
      <c r="P21" s="168">
        <v>0.1</v>
      </c>
      <c r="Q21" s="314">
        <f t="shared" si="6"/>
        <v>2437.5</v>
      </c>
      <c r="R21" s="178">
        <f t="shared" si="7"/>
        <v>4042.4999999999995</v>
      </c>
      <c r="S21" s="154">
        <f t="shared" si="8"/>
        <v>600</v>
      </c>
      <c r="T21" s="169">
        <f t="shared" si="9"/>
        <v>90</v>
      </c>
      <c r="U21" s="179">
        <f t="shared" si="0"/>
        <v>4642.5</v>
      </c>
      <c r="V21" s="166">
        <f t="shared" si="3"/>
        <v>236.25</v>
      </c>
      <c r="W21" s="167">
        <f t="shared" si="4"/>
        <v>37.5</v>
      </c>
      <c r="X21" s="168">
        <f t="shared" si="5"/>
        <v>37.5</v>
      </c>
      <c r="Y21" s="14"/>
    </row>
    <row r="22" spans="1:25" s="7" customFormat="1" ht="12.75" customHeight="1">
      <c r="A22" s="67">
        <v>40367</v>
      </c>
      <c r="B22" s="48">
        <v>551</v>
      </c>
      <c r="C22" s="20" t="s">
        <v>174</v>
      </c>
      <c r="D22" s="20"/>
      <c r="E22" s="26">
        <v>5</v>
      </c>
      <c r="F22" s="28" t="s">
        <v>175</v>
      </c>
      <c r="G22" s="202">
        <v>43</v>
      </c>
      <c r="H22" s="202">
        <f t="shared" si="1"/>
        <v>215</v>
      </c>
      <c r="I22" s="309">
        <v>3.5</v>
      </c>
      <c r="J22" s="152">
        <v>7.99</v>
      </c>
      <c r="K22" s="154">
        <v>3</v>
      </c>
      <c r="L22" s="169">
        <v>0.45</v>
      </c>
      <c r="M22" s="165">
        <f t="shared" si="2"/>
        <v>10.99</v>
      </c>
      <c r="N22" s="166">
        <v>0.33</v>
      </c>
      <c r="O22" s="167">
        <v>0.25</v>
      </c>
      <c r="P22" s="168">
        <v>0.1</v>
      </c>
      <c r="Q22" s="309">
        <f t="shared" si="6"/>
        <v>17.5</v>
      </c>
      <c r="R22" s="152">
        <f t="shared" si="7"/>
        <v>39.950000000000003</v>
      </c>
      <c r="S22" s="154">
        <f t="shared" si="8"/>
        <v>15</v>
      </c>
      <c r="T22" s="169">
        <f t="shared" si="9"/>
        <v>2.25</v>
      </c>
      <c r="U22" s="153">
        <f t="shared" si="0"/>
        <v>54.95</v>
      </c>
      <c r="V22" s="166">
        <f t="shared" si="3"/>
        <v>1.6500000000000001</v>
      </c>
      <c r="W22" s="167">
        <f t="shared" si="4"/>
        <v>1.25</v>
      </c>
      <c r="X22" s="168">
        <f t="shared" si="5"/>
        <v>0.5</v>
      </c>
      <c r="Y22" s="14"/>
    </row>
    <row r="23" spans="1:25" s="7" customFormat="1" ht="12.75" customHeight="1">
      <c r="A23" s="67"/>
      <c r="B23" s="48"/>
      <c r="C23" s="20" t="s">
        <v>174</v>
      </c>
      <c r="D23" s="20"/>
      <c r="E23" s="26">
        <v>4</v>
      </c>
      <c r="F23" s="28" t="s">
        <v>176</v>
      </c>
      <c r="G23" s="202">
        <v>47.5</v>
      </c>
      <c r="H23" s="202">
        <f t="shared" si="1"/>
        <v>190</v>
      </c>
      <c r="I23" s="309">
        <v>3.5</v>
      </c>
      <c r="J23" s="152">
        <v>7.99</v>
      </c>
      <c r="K23" s="154">
        <v>3</v>
      </c>
      <c r="L23" s="169">
        <v>0.45</v>
      </c>
      <c r="M23" s="165">
        <f t="shared" si="2"/>
        <v>10.99</v>
      </c>
      <c r="N23" s="166">
        <v>0.33</v>
      </c>
      <c r="O23" s="167">
        <v>0.25</v>
      </c>
      <c r="P23" s="168">
        <v>0.1</v>
      </c>
      <c r="Q23" s="309">
        <f t="shared" si="6"/>
        <v>14</v>
      </c>
      <c r="R23" s="152">
        <f t="shared" si="7"/>
        <v>31.96</v>
      </c>
      <c r="S23" s="154">
        <f t="shared" si="8"/>
        <v>12</v>
      </c>
      <c r="T23" s="169">
        <f t="shared" si="9"/>
        <v>1.8</v>
      </c>
      <c r="U23" s="153">
        <f t="shared" si="0"/>
        <v>43.96</v>
      </c>
      <c r="V23" s="166">
        <f t="shared" si="3"/>
        <v>1.32</v>
      </c>
      <c r="W23" s="167">
        <f t="shared" si="4"/>
        <v>1</v>
      </c>
      <c r="X23" s="168">
        <f t="shared" si="5"/>
        <v>0.4</v>
      </c>
      <c r="Y23" s="14"/>
    </row>
    <row r="24" spans="1:25" s="7" customFormat="1" ht="12.75" customHeight="1">
      <c r="A24" s="67"/>
      <c r="B24" s="48"/>
      <c r="C24" s="20" t="s">
        <v>174</v>
      </c>
      <c r="D24" s="20"/>
      <c r="E24" s="26">
        <v>8</v>
      </c>
      <c r="F24" s="28" t="s">
        <v>177</v>
      </c>
      <c r="G24" s="202">
        <v>43</v>
      </c>
      <c r="H24" s="202">
        <f t="shared" si="1"/>
        <v>344</v>
      </c>
      <c r="I24" s="309">
        <v>3.5</v>
      </c>
      <c r="J24" s="178">
        <v>12.15</v>
      </c>
      <c r="K24" s="154">
        <v>3</v>
      </c>
      <c r="L24" s="169">
        <v>0.45</v>
      </c>
      <c r="M24" s="165">
        <f t="shared" si="2"/>
        <v>15.15</v>
      </c>
      <c r="N24" s="166">
        <v>0.33</v>
      </c>
      <c r="O24" s="167">
        <v>0.25</v>
      </c>
      <c r="P24" s="168">
        <v>0.1</v>
      </c>
      <c r="Q24" s="309">
        <f t="shared" si="6"/>
        <v>28</v>
      </c>
      <c r="R24" s="152">
        <f t="shared" si="7"/>
        <v>97.2</v>
      </c>
      <c r="S24" s="154">
        <f t="shared" si="8"/>
        <v>24</v>
      </c>
      <c r="T24" s="169">
        <f t="shared" si="9"/>
        <v>3.6</v>
      </c>
      <c r="U24" s="153">
        <f t="shared" si="0"/>
        <v>121.2</v>
      </c>
      <c r="V24" s="166">
        <f t="shared" si="3"/>
        <v>2.64</v>
      </c>
      <c r="W24" s="167">
        <f t="shared" si="4"/>
        <v>2</v>
      </c>
      <c r="X24" s="168">
        <f t="shared" si="5"/>
        <v>0.8</v>
      </c>
      <c r="Y24" s="14"/>
    </row>
    <row r="25" spans="1:25" s="7" customFormat="1" ht="12.75" customHeight="1">
      <c r="A25" s="67">
        <v>40367</v>
      </c>
      <c r="B25" s="48">
        <v>552</v>
      </c>
      <c r="C25" s="20" t="s">
        <v>178</v>
      </c>
      <c r="D25" s="20" t="s">
        <v>178</v>
      </c>
      <c r="E25" s="26">
        <v>18</v>
      </c>
      <c r="F25" s="28" t="s">
        <v>179</v>
      </c>
      <c r="G25" s="202">
        <v>41</v>
      </c>
      <c r="H25" s="202">
        <f t="shared" si="1"/>
        <v>738</v>
      </c>
      <c r="I25" s="309">
        <v>3.5</v>
      </c>
      <c r="J25" s="152">
        <v>5.97</v>
      </c>
      <c r="K25" s="154">
        <v>3.8</v>
      </c>
      <c r="L25" s="169">
        <v>0.56999999999999995</v>
      </c>
      <c r="M25" s="165">
        <f t="shared" si="2"/>
        <v>9.77</v>
      </c>
      <c r="N25" s="166">
        <v>0.33</v>
      </c>
      <c r="O25" s="167">
        <v>0.1</v>
      </c>
      <c r="P25" s="168">
        <v>0.1</v>
      </c>
      <c r="Q25" s="309">
        <f t="shared" si="6"/>
        <v>63</v>
      </c>
      <c r="R25" s="152">
        <f t="shared" si="7"/>
        <v>107.46</v>
      </c>
      <c r="S25" s="154">
        <f t="shared" si="8"/>
        <v>68.399999999999991</v>
      </c>
      <c r="T25" s="169">
        <f t="shared" si="9"/>
        <v>10.26</v>
      </c>
      <c r="U25" s="153">
        <f t="shared" si="0"/>
        <v>175.85999999999999</v>
      </c>
      <c r="V25" s="166">
        <f t="shared" si="3"/>
        <v>5.94</v>
      </c>
      <c r="W25" s="167">
        <f t="shared" si="4"/>
        <v>1.8</v>
      </c>
      <c r="X25" s="168">
        <f t="shared" si="5"/>
        <v>1.8</v>
      </c>
      <c r="Y25" s="14"/>
    </row>
    <row r="26" spans="1:25" s="7" customFormat="1" ht="12.75" customHeight="1">
      <c r="A26" s="67"/>
      <c r="B26" s="48"/>
      <c r="C26" s="20" t="s">
        <v>178</v>
      </c>
      <c r="D26" s="20" t="s">
        <v>178</v>
      </c>
      <c r="E26" s="26">
        <v>14</v>
      </c>
      <c r="F26" s="28" t="s">
        <v>180</v>
      </c>
      <c r="G26" s="202">
        <v>45</v>
      </c>
      <c r="H26" s="202">
        <f t="shared" si="1"/>
        <v>630</v>
      </c>
      <c r="I26" s="309">
        <v>3.5</v>
      </c>
      <c r="J26" s="152">
        <v>7.75</v>
      </c>
      <c r="K26" s="154">
        <v>3.8</v>
      </c>
      <c r="L26" s="169">
        <v>0.56999999999999995</v>
      </c>
      <c r="M26" s="165">
        <f t="shared" si="2"/>
        <v>11.55</v>
      </c>
      <c r="N26" s="166">
        <v>0.33</v>
      </c>
      <c r="O26" s="167">
        <v>0.1</v>
      </c>
      <c r="P26" s="168">
        <v>0.1</v>
      </c>
      <c r="Q26" s="309">
        <f t="shared" si="6"/>
        <v>49</v>
      </c>
      <c r="R26" s="152">
        <f t="shared" si="7"/>
        <v>108.5</v>
      </c>
      <c r="S26" s="154">
        <f t="shared" si="8"/>
        <v>53.199999999999996</v>
      </c>
      <c r="T26" s="169">
        <f t="shared" si="9"/>
        <v>7.9799999999999995</v>
      </c>
      <c r="U26" s="153">
        <f t="shared" si="0"/>
        <v>161.70000000000002</v>
      </c>
      <c r="V26" s="166">
        <f t="shared" si="3"/>
        <v>4.62</v>
      </c>
      <c r="W26" s="167">
        <f t="shared" si="4"/>
        <v>1.4000000000000001</v>
      </c>
      <c r="X26" s="168">
        <f t="shared" si="5"/>
        <v>1.4000000000000001</v>
      </c>
      <c r="Y26" s="14"/>
    </row>
    <row r="27" spans="1:25" s="7" customFormat="1" ht="12.75" customHeight="1">
      <c r="A27" s="67"/>
      <c r="B27" s="48"/>
      <c r="C27" s="20" t="s">
        <v>178</v>
      </c>
      <c r="D27" s="20" t="s">
        <v>178</v>
      </c>
      <c r="E27" s="26">
        <v>24</v>
      </c>
      <c r="F27" s="28" t="s">
        <v>181</v>
      </c>
      <c r="G27" s="202">
        <v>37</v>
      </c>
      <c r="H27" s="202">
        <f t="shared" si="1"/>
        <v>888</v>
      </c>
      <c r="I27" s="309">
        <v>3.5</v>
      </c>
      <c r="J27" s="152">
        <v>6.6</v>
      </c>
      <c r="K27" s="154">
        <v>3.5</v>
      </c>
      <c r="L27" s="169">
        <v>0.56999999999999995</v>
      </c>
      <c r="M27" s="165">
        <f t="shared" si="2"/>
        <v>10.1</v>
      </c>
      <c r="N27" s="166">
        <v>0.33</v>
      </c>
      <c r="O27" s="167">
        <v>0.1</v>
      </c>
      <c r="P27" s="168">
        <v>0.1</v>
      </c>
      <c r="Q27" s="309">
        <f t="shared" si="6"/>
        <v>84</v>
      </c>
      <c r="R27" s="152">
        <f t="shared" si="7"/>
        <v>158.39999999999998</v>
      </c>
      <c r="S27" s="154">
        <f t="shared" si="8"/>
        <v>84</v>
      </c>
      <c r="T27" s="169">
        <f t="shared" si="9"/>
        <v>13.68</v>
      </c>
      <c r="U27" s="153">
        <f t="shared" si="0"/>
        <v>242.39999999999998</v>
      </c>
      <c r="V27" s="166">
        <f t="shared" si="3"/>
        <v>7.92</v>
      </c>
      <c r="W27" s="167">
        <f t="shared" si="4"/>
        <v>2.4000000000000004</v>
      </c>
      <c r="X27" s="168">
        <f t="shared" si="5"/>
        <v>2.4000000000000004</v>
      </c>
      <c r="Y27" s="14"/>
    </row>
    <row r="28" spans="1:25" s="7" customFormat="1" ht="12.75" customHeight="1">
      <c r="A28" s="95"/>
      <c r="B28" s="48"/>
      <c r="C28" s="20" t="s">
        <v>178</v>
      </c>
      <c r="D28" s="20" t="s">
        <v>178</v>
      </c>
      <c r="E28" s="26">
        <v>100</v>
      </c>
      <c r="F28" s="28" t="s">
        <v>182</v>
      </c>
      <c r="G28" s="202">
        <v>19.5</v>
      </c>
      <c r="H28" s="202">
        <f t="shared" si="1"/>
        <v>1950</v>
      </c>
      <c r="I28" s="309">
        <v>1</v>
      </c>
      <c r="J28" s="152">
        <v>5.64</v>
      </c>
      <c r="K28" s="154">
        <v>3.8</v>
      </c>
      <c r="L28" s="169">
        <v>0.56999999999999995</v>
      </c>
      <c r="M28" s="165">
        <f t="shared" si="2"/>
        <v>9.44</v>
      </c>
      <c r="N28" s="166">
        <v>0.28999999999999998</v>
      </c>
      <c r="O28" s="167">
        <v>0.1</v>
      </c>
      <c r="P28" s="168">
        <v>0.1</v>
      </c>
      <c r="Q28" s="309">
        <f t="shared" si="6"/>
        <v>100</v>
      </c>
      <c r="R28" s="152">
        <f t="shared" si="7"/>
        <v>564</v>
      </c>
      <c r="S28" s="154">
        <f t="shared" si="8"/>
        <v>380</v>
      </c>
      <c r="T28" s="169">
        <f t="shared" si="9"/>
        <v>56.999999999999993</v>
      </c>
      <c r="U28" s="153">
        <f t="shared" si="0"/>
        <v>944</v>
      </c>
      <c r="V28" s="166">
        <f t="shared" si="3"/>
        <v>28.999999999999996</v>
      </c>
      <c r="W28" s="167">
        <f t="shared" si="4"/>
        <v>10</v>
      </c>
      <c r="X28" s="168">
        <f t="shared" si="5"/>
        <v>10</v>
      </c>
      <c r="Y28" s="14"/>
    </row>
    <row r="29" spans="1:25" s="7" customFormat="1" ht="12.75" customHeight="1">
      <c r="A29" s="67">
        <v>40367</v>
      </c>
      <c r="B29" s="48">
        <v>553</v>
      </c>
      <c r="C29" s="20" t="s">
        <v>183</v>
      </c>
      <c r="D29" s="20" t="s">
        <v>42</v>
      </c>
      <c r="E29" s="26">
        <f>166-6</f>
        <v>160</v>
      </c>
      <c r="F29" s="28" t="s">
        <v>184</v>
      </c>
      <c r="G29" s="202">
        <v>95.7</v>
      </c>
      <c r="H29" s="202">
        <f t="shared" si="1"/>
        <v>15312</v>
      </c>
      <c r="I29" s="309">
        <v>4.5</v>
      </c>
      <c r="J29" s="178">
        <v>36.299999999999997</v>
      </c>
      <c r="K29" s="154">
        <v>0</v>
      </c>
      <c r="L29" s="169">
        <v>0</v>
      </c>
      <c r="M29" s="165">
        <f t="shared" si="2"/>
        <v>36.299999999999997</v>
      </c>
      <c r="N29" s="166">
        <v>0.6</v>
      </c>
      <c r="O29" s="167">
        <v>0.2</v>
      </c>
      <c r="P29" s="168">
        <v>0.4</v>
      </c>
      <c r="Q29" s="309">
        <f t="shared" si="6"/>
        <v>720</v>
      </c>
      <c r="R29" s="178">
        <f t="shared" si="7"/>
        <v>5808</v>
      </c>
      <c r="S29" s="154">
        <f t="shared" si="8"/>
        <v>0</v>
      </c>
      <c r="T29" s="169">
        <f t="shared" si="9"/>
        <v>0</v>
      </c>
      <c r="U29" s="179">
        <f t="shared" si="0"/>
        <v>5808</v>
      </c>
      <c r="V29" s="166">
        <f t="shared" si="3"/>
        <v>96</v>
      </c>
      <c r="W29" s="167">
        <f t="shared" si="4"/>
        <v>32</v>
      </c>
      <c r="X29" s="168">
        <f t="shared" si="5"/>
        <v>64</v>
      </c>
      <c r="Y29" s="14"/>
    </row>
    <row r="30" spans="1:25" s="7" customFormat="1" ht="12.75" customHeight="1">
      <c r="A30" s="67"/>
      <c r="B30" s="48"/>
      <c r="C30" s="20" t="s">
        <v>183</v>
      </c>
      <c r="D30" s="20" t="s">
        <v>42</v>
      </c>
      <c r="E30" s="26">
        <v>4</v>
      </c>
      <c r="F30" s="28" t="s">
        <v>185</v>
      </c>
      <c r="G30" s="202">
        <v>83</v>
      </c>
      <c r="H30" s="202">
        <f t="shared" si="1"/>
        <v>332</v>
      </c>
      <c r="I30" s="309">
        <v>4.5</v>
      </c>
      <c r="J30" s="178">
        <v>27.57</v>
      </c>
      <c r="K30" s="154">
        <v>0</v>
      </c>
      <c r="L30" s="169">
        <v>0</v>
      </c>
      <c r="M30" s="165">
        <f t="shared" si="2"/>
        <v>27.57</v>
      </c>
      <c r="N30" s="166">
        <v>0.57999999999999996</v>
      </c>
      <c r="O30" s="167">
        <v>0.1</v>
      </c>
      <c r="P30" s="168">
        <v>0.1</v>
      </c>
      <c r="Q30" s="309">
        <f t="shared" si="6"/>
        <v>18</v>
      </c>
      <c r="R30" s="152">
        <f t="shared" si="7"/>
        <v>110.28</v>
      </c>
      <c r="S30" s="154">
        <f t="shared" si="8"/>
        <v>0</v>
      </c>
      <c r="T30" s="169">
        <f t="shared" si="9"/>
        <v>0</v>
      </c>
      <c r="U30" s="153">
        <f t="shared" si="0"/>
        <v>110.28</v>
      </c>
      <c r="V30" s="166">
        <f t="shared" si="3"/>
        <v>2.3199999999999998</v>
      </c>
      <c r="W30" s="167">
        <f t="shared" si="4"/>
        <v>0.4</v>
      </c>
      <c r="X30" s="168">
        <f t="shared" si="5"/>
        <v>0.4</v>
      </c>
      <c r="Y30" s="14"/>
    </row>
    <row r="31" spans="1:25" s="7" customFormat="1" ht="12.75" customHeight="1">
      <c r="A31" s="67"/>
      <c r="B31" s="48"/>
      <c r="C31" s="20" t="s">
        <v>183</v>
      </c>
      <c r="D31" s="20" t="s">
        <v>42</v>
      </c>
      <c r="E31" s="26">
        <v>16</v>
      </c>
      <c r="F31" s="28" t="s">
        <v>186</v>
      </c>
      <c r="G31" s="202">
        <v>83</v>
      </c>
      <c r="H31" s="202">
        <f t="shared" si="1"/>
        <v>1328</v>
      </c>
      <c r="I31" s="309">
        <v>4.5</v>
      </c>
      <c r="J31" s="178">
        <v>27.57</v>
      </c>
      <c r="K31" s="154">
        <v>0</v>
      </c>
      <c r="L31" s="169">
        <v>0</v>
      </c>
      <c r="M31" s="165">
        <f>J31+K31</f>
        <v>27.57</v>
      </c>
      <c r="N31" s="166">
        <v>0.57999999999999996</v>
      </c>
      <c r="O31" s="167">
        <v>0.1</v>
      </c>
      <c r="P31" s="168">
        <v>0.1</v>
      </c>
      <c r="Q31" s="309">
        <f t="shared" si="6"/>
        <v>72</v>
      </c>
      <c r="R31" s="152">
        <f t="shared" si="7"/>
        <v>441.12</v>
      </c>
      <c r="S31" s="154">
        <f t="shared" si="8"/>
        <v>0</v>
      </c>
      <c r="T31" s="169">
        <f t="shared" si="9"/>
        <v>0</v>
      </c>
      <c r="U31" s="153">
        <f t="shared" si="0"/>
        <v>441.12</v>
      </c>
      <c r="V31" s="166">
        <f t="shared" si="3"/>
        <v>9.2799999999999994</v>
      </c>
      <c r="W31" s="167">
        <f t="shared" si="4"/>
        <v>1.6</v>
      </c>
      <c r="X31" s="168">
        <f t="shared" si="5"/>
        <v>1.6</v>
      </c>
      <c r="Y31" s="14"/>
    </row>
    <row r="32" spans="1:25" s="7" customFormat="1" ht="12.75" customHeight="1">
      <c r="A32" s="67"/>
      <c r="B32" s="48"/>
      <c r="C32" s="20" t="s">
        <v>183</v>
      </c>
      <c r="D32" s="20" t="s">
        <v>42</v>
      </c>
      <c r="E32" s="26">
        <v>14</v>
      </c>
      <c r="F32" s="28" t="s">
        <v>187</v>
      </c>
      <c r="G32" s="202">
        <v>83</v>
      </c>
      <c r="H32" s="202">
        <f t="shared" si="1"/>
        <v>1162</v>
      </c>
      <c r="I32" s="309">
        <v>4.5</v>
      </c>
      <c r="J32" s="178">
        <v>27.57</v>
      </c>
      <c r="K32" s="154">
        <v>0</v>
      </c>
      <c r="L32" s="169">
        <v>0</v>
      </c>
      <c r="M32" s="165">
        <f>J32+K32</f>
        <v>27.57</v>
      </c>
      <c r="N32" s="166">
        <v>0.57999999999999996</v>
      </c>
      <c r="O32" s="167">
        <v>0.1</v>
      </c>
      <c r="P32" s="168">
        <v>0.1</v>
      </c>
      <c r="Q32" s="309">
        <f t="shared" si="6"/>
        <v>63</v>
      </c>
      <c r="R32" s="152">
        <f t="shared" si="7"/>
        <v>385.98</v>
      </c>
      <c r="S32" s="154">
        <f t="shared" si="8"/>
        <v>0</v>
      </c>
      <c r="T32" s="169">
        <f t="shared" si="9"/>
        <v>0</v>
      </c>
      <c r="U32" s="153">
        <f t="shared" si="0"/>
        <v>385.98</v>
      </c>
      <c r="V32" s="166">
        <f t="shared" si="3"/>
        <v>8.1199999999999992</v>
      </c>
      <c r="W32" s="167">
        <f t="shared" si="4"/>
        <v>1.4000000000000001</v>
      </c>
      <c r="X32" s="168">
        <f t="shared" si="5"/>
        <v>1.4000000000000001</v>
      </c>
      <c r="Y32" s="14"/>
    </row>
    <row r="33" spans="1:25" s="7" customFormat="1" ht="12.75" customHeight="1">
      <c r="A33" s="67"/>
      <c r="B33" s="48"/>
      <c r="C33" s="20" t="s">
        <v>183</v>
      </c>
      <c r="D33" s="20" t="s">
        <v>42</v>
      </c>
      <c r="E33" s="26">
        <v>12</v>
      </c>
      <c r="F33" s="28" t="s">
        <v>188</v>
      </c>
      <c r="G33" s="202">
        <v>83</v>
      </c>
      <c r="H33" s="202">
        <f t="shared" si="1"/>
        <v>996</v>
      </c>
      <c r="I33" s="309">
        <v>4.5</v>
      </c>
      <c r="J33" s="178">
        <v>27.57</v>
      </c>
      <c r="K33" s="154">
        <v>0</v>
      </c>
      <c r="L33" s="169">
        <v>0</v>
      </c>
      <c r="M33" s="165">
        <f>J33+K33</f>
        <v>27.57</v>
      </c>
      <c r="N33" s="166">
        <v>0.57999999999999996</v>
      </c>
      <c r="O33" s="167">
        <v>0.1</v>
      </c>
      <c r="P33" s="168">
        <v>0.1</v>
      </c>
      <c r="Q33" s="309">
        <f t="shared" si="6"/>
        <v>54</v>
      </c>
      <c r="R33" s="152">
        <f t="shared" si="7"/>
        <v>330.84000000000003</v>
      </c>
      <c r="S33" s="154">
        <f t="shared" si="8"/>
        <v>0</v>
      </c>
      <c r="T33" s="169">
        <f t="shared" si="9"/>
        <v>0</v>
      </c>
      <c r="U33" s="153">
        <f t="shared" si="0"/>
        <v>330.84000000000003</v>
      </c>
      <c r="V33" s="166">
        <f t="shared" si="3"/>
        <v>6.9599999999999991</v>
      </c>
      <c r="W33" s="167">
        <f t="shared" si="4"/>
        <v>1.2000000000000002</v>
      </c>
      <c r="X33" s="168">
        <f t="shared" si="5"/>
        <v>1.2000000000000002</v>
      </c>
      <c r="Y33" s="14"/>
    </row>
    <row r="34" spans="1:25" s="7" customFormat="1" ht="12.75" customHeight="1">
      <c r="A34" s="67"/>
      <c r="B34" s="48"/>
      <c r="C34" s="20" t="s">
        <v>183</v>
      </c>
      <c r="D34" s="20" t="s">
        <v>42</v>
      </c>
      <c r="E34" s="26">
        <v>28</v>
      </c>
      <c r="F34" s="28" t="s">
        <v>189</v>
      </c>
      <c r="G34" s="202">
        <v>92</v>
      </c>
      <c r="H34" s="202">
        <f t="shared" si="1"/>
        <v>2576</v>
      </c>
      <c r="I34" s="309">
        <v>4.5</v>
      </c>
      <c r="J34" s="178">
        <v>27.57</v>
      </c>
      <c r="K34" s="154">
        <v>0</v>
      </c>
      <c r="L34" s="169">
        <v>0</v>
      </c>
      <c r="M34" s="165">
        <f>J34+K34</f>
        <v>27.57</v>
      </c>
      <c r="N34" s="166">
        <v>0.57999999999999996</v>
      </c>
      <c r="O34" s="167">
        <v>0.1</v>
      </c>
      <c r="P34" s="168">
        <v>0.1</v>
      </c>
      <c r="Q34" s="309">
        <f t="shared" si="6"/>
        <v>126</v>
      </c>
      <c r="R34" s="152">
        <f t="shared" si="7"/>
        <v>771.96</v>
      </c>
      <c r="S34" s="154">
        <f>E34*K34</f>
        <v>0</v>
      </c>
      <c r="T34" s="169">
        <f t="shared" si="9"/>
        <v>0</v>
      </c>
      <c r="U34" s="153">
        <f t="shared" si="0"/>
        <v>771.96</v>
      </c>
      <c r="V34" s="166">
        <f t="shared" si="3"/>
        <v>16.239999999999998</v>
      </c>
      <c r="W34" s="167">
        <f t="shared" si="4"/>
        <v>2.8000000000000003</v>
      </c>
      <c r="X34" s="168">
        <f t="shared" si="5"/>
        <v>2.8000000000000003</v>
      </c>
      <c r="Y34" s="14"/>
    </row>
    <row r="35" spans="1:25" s="7" customFormat="1" ht="12.75" customHeight="1">
      <c r="A35" s="67"/>
      <c r="B35" s="48"/>
      <c r="C35" s="20" t="s">
        <v>183</v>
      </c>
      <c r="D35" s="20" t="s">
        <v>42</v>
      </c>
      <c r="E35" s="26">
        <v>2</v>
      </c>
      <c r="F35" s="28" t="s">
        <v>190</v>
      </c>
      <c r="G35" s="202">
        <v>92</v>
      </c>
      <c r="H35" s="202">
        <f t="shared" si="1"/>
        <v>184</v>
      </c>
      <c r="I35" s="309">
        <v>4.5</v>
      </c>
      <c r="J35" s="178">
        <v>27.57</v>
      </c>
      <c r="K35" s="154">
        <v>0</v>
      </c>
      <c r="L35" s="169">
        <v>0</v>
      </c>
      <c r="M35" s="165">
        <f>J35+K35</f>
        <v>27.57</v>
      </c>
      <c r="N35" s="166">
        <v>0.57999999999999996</v>
      </c>
      <c r="O35" s="167">
        <v>0.1</v>
      </c>
      <c r="P35" s="168">
        <v>0.1</v>
      </c>
      <c r="Q35" s="309">
        <f t="shared" si="6"/>
        <v>9</v>
      </c>
      <c r="R35" s="152">
        <f t="shared" si="7"/>
        <v>55.14</v>
      </c>
      <c r="S35" s="154">
        <f t="shared" si="8"/>
        <v>0</v>
      </c>
      <c r="T35" s="169">
        <f t="shared" si="9"/>
        <v>0</v>
      </c>
      <c r="U35" s="153">
        <f t="shared" si="0"/>
        <v>55.14</v>
      </c>
      <c r="V35" s="166">
        <f t="shared" si="3"/>
        <v>1.1599999999999999</v>
      </c>
      <c r="W35" s="167">
        <f t="shared" si="4"/>
        <v>0.2</v>
      </c>
      <c r="X35" s="168">
        <f t="shared" si="5"/>
        <v>0.2</v>
      </c>
      <c r="Y35" s="14"/>
    </row>
    <row r="36" spans="1:25" s="7" customFormat="1" ht="12.75" customHeight="1">
      <c r="A36" s="67">
        <v>40367</v>
      </c>
      <c r="B36" s="48">
        <v>554</v>
      </c>
      <c r="C36" s="20" t="s">
        <v>183</v>
      </c>
      <c r="D36" s="20" t="s">
        <v>42</v>
      </c>
      <c r="E36" s="26">
        <v>16</v>
      </c>
      <c r="F36" s="28" t="s">
        <v>191</v>
      </c>
      <c r="G36" s="202">
        <v>122.5</v>
      </c>
      <c r="H36" s="202">
        <f t="shared" si="1"/>
        <v>1960</v>
      </c>
      <c r="I36" s="309">
        <v>5</v>
      </c>
      <c r="J36" s="152">
        <v>2.2999999999999998</v>
      </c>
      <c r="K36" s="154">
        <v>1.8</v>
      </c>
      <c r="L36" s="169">
        <v>0.27</v>
      </c>
      <c r="M36" s="153">
        <f t="shared" ref="M36:M74" si="10">J36+K36</f>
        <v>4.0999999999999996</v>
      </c>
      <c r="N36" s="166">
        <v>0.57999999999999996</v>
      </c>
      <c r="O36" s="167">
        <v>0.2</v>
      </c>
      <c r="P36" s="168">
        <v>0.2</v>
      </c>
      <c r="Q36" s="309">
        <f t="shared" si="6"/>
        <v>80</v>
      </c>
      <c r="R36" s="152">
        <f t="shared" si="7"/>
        <v>36.799999999999997</v>
      </c>
      <c r="S36" s="154">
        <f t="shared" si="8"/>
        <v>28.8</v>
      </c>
      <c r="T36" s="169">
        <f t="shared" si="9"/>
        <v>4.32</v>
      </c>
      <c r="U36" s="153">
        <f t="shared" si="0"/>
        <v>65.599999999999994</v>
      </c>
      <c r="V36" s="166">
        <f t="shared" si="3"/>
        <v>9.2799999999999994</v>
      </c>
      <c r="W36" s="167">
        <f t="shared" si="4"/>
        <v>3.2</v>
      </c>
      <c r="X36" s="168">
        <f t="shared" si="5"/>
        <v>3.2</v>
      </c>
      <c r="Y36" s="14"/>
    </row>
    <row r="37" spans="1:25" s="7" customFormat="1" ht="12.75" customHeight="1">
      <c r="A37" s="67"/>
      <c r="B37" s="48"/>
      <c r="C37" s="20" t="s">
        <v>183</v>
      </c>
      <c r="D37" s="20" t="s">
        <v>42</v>
      </c>
      <c r="E37" s="26">
        <v>28</v>
      </c>
      <c r="F37" s="28" t="s">
        <v>192</v>
      </c>
      <c r="G37" s="202">
        <v>136.5</v>
      </c>
      <c r="H37" s="202">
        <f t="shared" si="1"/>
        <v>3822</v>
      </c>
      <c r="I37" s="309">
        <v>5</v>
      </c>
      <c r="J37" s="152">
        <v>3.96</v>
      </c>
      <c r="K37" s="154">
        <v>1.8</v>
      </c>
      <c r="L37" s="169">
        <v>0.27</v>
      </c>
      <c r="M37" s="153">
        <f t="shared" si="10"/>
        <v>5.76</v>
      </c>
      <c r="N37" s="166">
        <v>0.57999999999999996</v>
      </c>
      <c r="O37" s="167">
        <v>0.2</v>
      </c>
      <c r="P37" s="168">
        <v>0.2</v>
      </c>
      <c r="Q37" s="309">
        <f t="shared" si="6"/>
        <v>140</v>
      </c>
      <c r="R37" s="152">
        <f t="shared" si="7"/>
        <v>110.88</v>
      </c>
      <c r="S37" s="154">
        <f t="shared" si="8"/>
        <v>50.4</v>
      </c>
      <c r="T37" s="169">
        <f t="shared" si="9"/>
        <v>7.5600000000000005</v>
      </c>
      <c r="U37" s="153">
        <f t="shared" si="0"/>
        <v>161.28</v>
      </c>
      <c r="V37" s="166">
        <f t="shared" si="3"/>
        <v>16.239999999999998</v>
      </c>
      <c r="W37" s="167">
        <f t="shared" si="4"/>
        <v>5.6000000000000005</v>
      </c>
      <c r="X37" s="168">
        <f t="shared" si="5"/>
        <v>5.6000000000000005</v>
      </c>
      <c r="Y37" s="14"/>
    </row>
    <row r="38" spans="1:25" s="7" customFormat="1" ht="12.75" customHeight="1">
      <c r="A38" s="67"/>
      <c r="B38" s="48"/>
      <c r="C38" s="20" t="s">
        <v>183</v>
      </c>
      <c r="D38" s="20" t="s">
        <v>42</v>
      </c>
      <c r="E38" s="26">
        <v>2</v>
      </c>
      <c r="F38" s="28" t="s">
        <v>193</v>
      </c>
      <c r="G38" s="202">
        <v>136.5</v>
      </c>
      <c r="H38" s="202">
        <f t="shared" si="1"/>
        <v>273</v>
      </c>
      <c r="I38" s="309">
        <v>5</v>
      </c>
      <c r="J38" s="178">
        <v>10.46</v>
      </c>
      <c r="K38" s="154">
        <v>1.8</v>
      </c>
      <c r="L38" s="169">
        <v>0.27</v>
      </c>
      <c r="M38" s="153">
        <f t="shared" si="10"/>
        <v>12.260000000000002</v>
      </c>
      <c r="N38" s="166">
        <v>0.57999999999999996</v>
      </c>
      <c r="O38" s="167">
        <v>0.2</v>
      </c>
      <c r="P38" s="168">
        <v>0.2</v>
      </c>
      <c r="Q38" s="309">
        <f t="shared" si="6"/>
        <v>10</v>
      </c>
      <c r="R38" s="152">
        <f t="shared" si="7"/>
        <v>20.92</v>
      </c>
      <c r="S38" s="154">
        <f t="shared" si="8"/>
        <v>3.6</v>
      </c>
      <c r="T38" s="169">
        <f t="shared" si="9"/>
        <v>0.54</v>
      </c>
      <c r="U38" s="153">
        <f t="shared" si="0"/>
        <v>24.520000000000003</v>
      </c>
      <c r="V38" s="166">
        <f t="shared" si="3"/>
        <v>1.1599999999999999</v>
      </c>
      <c r="W38" s="167">
        <f t="shared" si="4"/>
        <v>0.4</v>
      </c>
      <c r="X38" s="168">
        <f t="shared" si="5"/>
        <v>0.4</v>
      </c>
      <c r="Y38" s="14"/>
    </row>
    <row r="39" spans="1:25" s="7" customFormat="1" ht="12.75" customHeight="1">
      <c r="A39" s="67"/>
      <c r="B39" s="46"/>
      <c r="C39" s="20" t="s">
        <v>183</v>
      </c>
      <c r="D39" s="20" t="s">
        <v>42</v>
      </c>
      <c r="E39" s="26">
        <v>170</v>
      </c>
      <c r="F39" s="28" t="s">
        <v>194</v>
      </c>
      <c r="G39" s="202">
        <v>19.5</v>
      </c>
      <c r="H39" s="202">
        <f t="shared" si="1"/>
        <v>3315</v>
      </c>
      <c r="I39" s="309">
        <v>1</v>
      </c>
      <c r="J39" s="152">
        <v>5.97</v>
      </c>
      <c r="K39" s="154">
        <v>1.8</v>
      </c>
      <c r="L39" s="169">
        <v>0.27</v>
      </c>
      <c r="M39" s="153">
        <f t="shared" si="10"/>
        <v>7.77</v>
      </c>
      <c r="N39" s="166">
        <v>0.28999999999999998</v>
      </c>
      <c r="O39" s="167">
        <v>0.1</v>
      </c>
      <c r="P39" s="168">
        <v>0.1</v>
      </c>
      <c r="Q39" s="309">
        <f t="shared" si="6"/>
        <v>170</v>
      </c>
      <c r="R39" s="178">
        <f t="shared" si="7"/>
        <v>1014.9</v>
      </c>
      <c r="S39" s="154">
        <f t="shared" si="8"/>
        <v>306</v>
      </c>
      <c r="T39" s="169">
        <f t="shared" si="9"/>
        <v>45.900000000000006</v>
      </c>
      <c r="U39" s="179">
        <f t="shared" si="0"/>
        <v>1320.8999999999999</v>
      </c>
      <c r="V39" s="166">
        <f t="shared" si="3"/>
        <v>49.3</v>
      </c>
      <c r="W39" s="167">
        <f t="shared" si="4"/>
        <v>17</v>
      </c>
      <c r="X39" s="168">
        <f t="shared" si="5"/>
        <v>17</v>
      </c>
      <c r="Y39" s="14"/>
    </row>
    <row r="40" spans="1:25" s="7" customFormat="1" ht="12.75" customHeight="1">
      <c r="A40" s="67"/>
      <c r="B40" s="48"/>
      <c r="C40" s="20" t="s">
        <v>183</v>
      </c>
      <c r="D40" s="20" t="s">
        <v>42</v>
      </c>
      <c r="E40" s="26">
        <v>16</v>
      </c>
      <c r="F40" s="28" t="s">
        <v>195</v>
      </c>
      <c r="G40" s="202">
        <v>13.85</v>
      </c>
      <c r="H40" s="202">
        <f t="shared" si="1"/>
        <v>221.6</v>
      </c>
      <c r="I40" s="309">
        <v>1</v>
      </c>
      <c r="J40" s="152">
        <v>2.11</v>
      </c>
      <c r="K40" s="154">
        <v>1.6</v>
      </c>
      <c r="L40" s="169">
        <v>0.24</v>
      </c>
      <c r="M40" s="153">
        <f t="shared" si="10"/>
        <v>3.71</v>
      </c>
      <c r="N40" s="166">
        <v>0.28999999999999998</v>
      </c>
      <c r="O40" s="167">
        <v>0.1</v>
      </c>
      <c r="P40" s="168">
        <v>0.1</v>
      </c>
      <c r="Q40" s="309">
        <f t="shared" si="6"/>
        <v>16</v>
      </c>
      <c r="R40" s="152">
        <f t="shared" si="7"/>
        <v>33.76</v>
      </c>
      <c r="S40" s="154">
        <f t="shared" si="8"/>
        <v>25.6</v>
      </c>
      <c r="T40" s="169">
        <f t="shared" si="9"/>
        <v>3.84</v>
      </c>
      <c r="U40" s="153">
        <f t="shared" ref="U40:U71" si="11">E40*M40</f>
        <v>59.36</v>
      </c>
      <c r="V40" s="166">
        <f t="shared" si="3"/>
        <v>4.6399999999999997</v>
      </c>
      <c r="W40" s="167">
        <f t="shared" si="4"/>
        <v>1.6</v>
      </c>
      <c r="X40" s="168">
        <f t="shared" si="5"/>
        <v>1.6</v>
      </c>
      <c r="Y40" s="14"/>
    </row>
    <row r="41" spans="1:25" s="7" customFormat="1" ht="12.75" customHeight="1">
      <c r="A41" s="67"/>
      <c r="B41" s="48"/>
      <c r="C41" s="20" t="s">
        <v>183</v>
      </c>
      <c r="D41" s="20" t="s">
        <v>42</v>
      </c>
      <c r="E41" s="26">
        <v>30</v>
      </c>
      <c r="F41" s="28" t="s">
        <v>196</v>
      </c>
      <c r="G41" s="202">
        <v>14.5</v>
      </c>
      <c r="H41" s="202">
        <f t="shared" si="1"/>
        <v>435</v>
      </c>
      <c r="I41" s="309">
        <v>1</v>
      </c>
      <c r="J41" s="152">
        <v>1.06</v>
      </c>
      <c r="K41" s="154">
        <v>1.8</v>
      </c>
      <c r="L41" s="169">
        <v>0.27</v>
      </c>
      <c r="M41" s="153">
        <f t="shared" si="10"/>
        <v>2.8600000000000003</v>
      </c>
      <c r="N41" s="166">
        <v>0.28999999999999998</v>
      </c>
      <c r="O41" s="167">
        <v>0.1</v>
      </c>
      <c r="P41" s="168">
        <v>0.1</v>
      </c>
      <c r="Q41" s="309">
        <f t="shared" si="6"/>
        <v>30</v>
      </c>
      <c r="R41" s="152">
        <f t="shared" si="7"/>
        <v>31.8</v>
      </c>
      <c r="S41" s="154">
        <f t="shared" si="8"/>
        <v>54</v>
      </c>
      <c r="T41" s="169">
        <f t="shared" si="9"/>
        <v>8.1000000000000014</v>
      </c>
      <c r="U41" s="153">
        <f t="shared" si="11"/>
        <v>85.800000000000011</v>
      </c>
      <c r="V41" s="166">
        <f t="shared" si="3"/>
        <v>8.6999999999999993</v>
      </c>
      <c r="W41" s="167">
        <f t="shared" si="4"/>
        <v>3</v>
      </c>
      <c r="X41" s="168">
        <f t="shared" si="5"/>
        <v>3</v>
      </c>
      <c r="Y41" s="14"/>
    </row>
    <row r="42" spans="1:25" s="7" customFormat="1" ht="12.75" customHeight="1">
      <c r="A42" s="67">
        <v>40368</v>
      </c>
      <c r="B42" s="48">
        <v>555</v>
      </c>
      <c r="C42" s="20" t="s">
        <v>197</v>
      </c>
      <c r="D42" s="20" t="s">
        <v>198</v>
      </c>
      <c r="E42" s="26">
        <v>25</v>
      </c>
      <c r="F42" s="28" t="s">
        <v>199</v>
      </c>
      <c r="G42" s="202">
        <v>48</v>
      </c>
      <c r="H42" s="202">
        <f t="shared" si="1"/>
        <v>1200</v>
      </c>
      <c r="I42" s="309">
        <v>8.5</v>
      </c>
      <c r="J42" s="152">
        <v>6.76</v>
      </c>
      <c r="K42" s="154">
        <v>6.6</v>
      </c>
      <c r="L42" s="169">
        <v>0.99</v>
      </c>
      <c r="M42" s="153">
        <f t="shared" si="10"/>
        <v>13.36</v>
      </c>
      <c r="N42" s="166">
        <v>0.67</v>
      </c>
      <c r="O42" s="167">
        <v>0.1</v>
      </c>
      <c r="P42" s="168">
        <v>0.1</v>
      </c>
      <c r="Q42" s="309">
        <f t="shared" si="6"/>
        <v>212.5</v>
      </c>
      <c r="R42" s="152">
        <f t="shared" si="7"/>
        <v>169</v>
      </c>
      <c r="S42" s="154">
        <f t="shared" si="8"/>
        <v>165</v>
      </c>
      <c r="T42" s="169">
        <f t="shared" si="9"/>
        <v>24.75</v>
      </c>
      <c r="U42" s="153">
        <f t="shared" si="11"/>
        <v>334</v>
      </c>
      <c r="V42" s="166">
        <f t="shared" si="3"/>
        <v>16.75</v>
      </c>
      <c r="W42" s="167">
        <f t="shared" si="4"/>
        <v>2.5</v>
      </c>
      <c r="X42" s="168">
        <f t="shared" si="5"/>
        <v>2.5</v>
      </c>
      <c r="Y42" s="14"/>
    </row>
    <row r="43" spans="1:25" s="7" customFormat="1" ht="12.75" customHeight="1">
      <c r="A43" s="67">
        <v>40367</v>
      </c>
      <c r="B43" s="48">
        <v>556</v>
      </c>
      <c r="C43" s="20" t="s">
        <v>200</v>
      </c>
      <c r="D43" s="20" t="s">
        <v>201</v>
      </c>
      <c r="E43" s="26">
        <v>2</v>
      </c>
      <c r="F43" s="28" t="s">
        <v>202</v>
      </c>
      <c r="G43" s="202">
        <v>37</v>
      </c>
      <c r="H43" s="202">
        <f t="shared" si="1"/>
        <v>74</v>
      </c>
      <c r="I43" s="309">
        <v>3.5</v>
      </c>
      <c r="J43" s="152">
        <v>0.72</v>
      </c>
      <c r="K43" s="154">
        <v>0</v>
      </c>
      <c r="L43" s="169">
        <v>0</v>
      </c>
      <c r="M43" s="153">
        <f t="shared" si="10"/>
        <v>0.72</v>
      </c>
      <c r="N43" s="166">
        <v>0.33</v>
      </c>
      <c r="O43" s="167">
        <v>0.1</v>
      </c>
      <c r="P43" s="168">
        <v>0.1</v>
      </c>
      <c r="Q43" s="309">
        <f t="shared" si="6"/>
        <v>7</v>
      </c>
      <c r="R43" s="152">
        <f t="shared" si="7"/>
        <v>1.44</v>
      </c>
      <c r="S43" s="154">
        <f t="shared" si="8"/>
        <v>0</v>
      </c>
      <c r="T43" s="169">
        <f t="shared" si="9"/>
        <v>0</v>
      </c>
      <c r="U43" s="153">
        <f t="shared" si="11"/>
        <v>1.44</v>
      </c>
      <c r="V43" s="166">
        <f t="shared" si="3"/>
        <v>0.66</v>
      </c>
      <c r="W43" s="167">
        <f t="shared" si="4"/>
        <v>0.2</v>
      </c>
      <c r="X43" s="168">
        <f t="shared" si="5"/>
        <v>0.2</v>
      </c>
      <c r="Y43" s="14"/>
    </row>
    <row r="44" spans="1:25" s="7" customFormat="1" ht="12.75" customHeight="1">
      <c r="A44" s="67">
        <v>40369</v>
      </c>
      <c r="B44" s="48">
        <v>557</v>
      </c>
      <c r="C44" s="20" t="s">
        <v>203</v>
      </c>
      <c r="D44" s="20" t="s">
        <v>158</v>
      </c>
      <c r="E44" s="26">
        <v>30</v>
      </c>
      <c r="F44" s="28" t="s">
        <v>204</v>
      </c>
      <c r="G44" s="202">
        <v>37</v>
      </c>
      <c r="H44" s="202">
        <f t="shared" si="1"/>
        <v>1110</v>
      </c>
      <c r="I44" s="309">
        <v>3.5</v>
      </c>
      <c r="J44" s="152">
        <v>5.77</v>
      </c>
      <c r="K44" s="154">
        <v>1.4</v>
      </c>
      <c r="L44" s="169">
        <v>0.21</v>
      </c>
      <c r="M44" s="153">
        <f t="shared" si="10"/>
        <v>7.17</v>
      </c>
      <c r="N44" s="166">
        <v>0.33</v>
      </c>
      <c r="O44" s="167">
        <v>0.1</v>
      </c>
      <c r="P44" s="168">
        <v>0.1</v>
      </c>
      <c r="Q44" s="309">
        <f t="shared" si="6"/>
        <v>105</v>
      </c>
      <c r="R44" s="152">
        <f t="shared" si="7"/>
        <v>173.1</v>
      </c>
      <c r="S44" s="154">
        <f t="shared" si="8"/>
        <v>42</v>
      </c>
      <c r="T44" s="169">
        <f t="shared" si="9"/>
        <v>6.3</v>
      </c>
      <c r="U44" s="153">
        <f t="shared" si="11"/>
        <v>215.1</v>
      </c>
      <c r="V44" s="166">
        <f t="shared" si="3"/>
        <v>9.9</v>
      </c>
      <c r="W44" s="167">
        <f t="shared" si="4"/>
        <v>3</v>
      </c>
      <c r="X44" s="168">
        <f t="shared" si="5"/>
        <v>3</v>
      </c>
      <c r="Y44" s="14"/>
    </row>
    <row r="45" spans="1:25" s="7" customFormat="1" ht="12.75" customHeight="1">
      <c r="A45" s="67"/>
      <c r="B45" s="48"/>
      <c r="C45" s="20" t="s">
        <v>203</v>
      </c>
      <c r="D45" s="20" t="s">
        <v>158</v>
      </c>
      <c r="E45" s="26">
        <v>15</v>
      </c>
      <c r="F45" s="28" t="s">
        <v>205</v>
      </c>
      <c r="G45" s="202">
        <v>12.5</v>
      </c>
      <c r="H45" s="202">
        <f t="shared" si="1"/>
        <v>187.5</v>
      </c>
      <c r="I45" s="309">
        <v>1</v>
      </c>
      <c r="J45" s="152">
        <v>1.51</v>
      </c>
      <c r="K45" s="154">
        <v>1.8</v>
      </c>
      <c r="L45" s="169">
        <v>0.27</v>
      </c>
      <c r="M45" s="153">
        <f t="shared" si="10"/>
        <v>3.31</v>
      </c>
      <c r="N45" s="166">
        <v>0.28999999999999998</v>
      </c>
      <c r="O45" s="167">
        <v>0.1</v>
      </c>
      <c r="P45" s="168">
        <v>0.1</v>
      </c>
      <c r="Q45" s="309">
        <f t="shared" si="6"/>
        <v>15</v>
      </c>
      <c r="R45" s="152">
        <f t="shared" si="7"/>
        <v>22.65</v>
      </c>
      <c r="S45" s="154">
        <f t="shared" si="8"/>
        <v>27</v>
      </c>
      <c r="T45" s="169">
        <f t="shared" si="9"/>
        <v>4.0500000000000007</v>
      </c>
      <c r="U45" s="153">
        <f t="shared" si="11"/>
        <v>49.65</v>
      </c>
      <c r="V45" s="166">
        <f t="shared" si="3"/>
        <v>4.3499999999999996</v>
      </c>
      <c r="W45" s="167">
        <f t="shared" si="4"/>
        <v>1.5</v>
      </c>
      <c r="X45" s="168">
        <f t="shared" si="5"/>
        <v>1.5</v>
      </c>
      <c r="Y45" s="14"/>
    </row>
    <row r="46" spans="1:25" s="7" customFormat="1" ht="12.75" customHeight="1">
      <c r="A46" s="67">
        <v>40373</v>
      </c>
      <c r="B46" s="48">
        <v>558</v>
      </c>
      <c r="C46" s="20" t="s">
        <v>206</v>
      </c>
      <c r="D46" s="20" t="s">
        <v>206</v>
      </c>
      <c r="E46" s="26">
        <v>3</v>
      </c>
      <c r="F46" s="28" t="s">
        <v>207</v>
      </c>
      <c r="G46" s="202">
        <v>36</v>
      </c>
      <c r="H46" s="202">
        <f t="shared" si="1"/>
        <v>108</v>
      </c>
      <c r="I46" s="309">
        <v>3.5</v>
      </c>
      <c r="J46" s="152">
        <v>6.75</v>
      </c>
      <c r="K46" s="154">
        <v>3.6</v>
      </c>
      <c r="L46" s="169">
        <v>0.54</v>
      </c>
      <c r="M46" s="153">
        <f t="shared" si="10"/>
        <v>10.35</v>
      </c>
      <c r="N46" s="166">
        <v>0.33</v>
      </c>
      <c r="O46" s="167">
        <v>0.1</v>
      </c>
      <c r="P46" s="168">
        <v>0.1</v>
      </c>
      <c r="Q46" s="309">
        <f t="shared" si="6"/>
        <v>10.5</v>
      </c>
      <c r="R46" s="152">
        <f t="shared" si="7"/>
        <v>20.25</v>
      </c>
      <c r="S46" s="154">
        <f t="shared" si="8"/>
        <v>10.8</v>
      </c>
      <c r="T46" s="169">
        <f t="shared" si="9"/>
        <v>1.62</v>
      </c>
      <c r="U46" s="153">
        <f t="shared" si="11"/>
        <v>31.049999999999997</v>
      </c>
      <c r="V46" s="166">
        <f t="shared" si="3"/>
        <v>0.99</v>
      </c>
      <c r="W46" s="167">
        <f t="shared" si="4"/>
        <v>0.30000000000000004</v>
      </c>
      <c r="X46" s="168">
        <f t="shared" si="5"/>
        <v>0.30000000000000004</v>
      </c>
      <c r="Y46" s="14"/>
    </row>
    <row r="47" spans="1:25" s="7" customFormat="1" ht="12.75" customHeight="1">
      <c r="A47" s="67"/>
      <c r="B47" s="48"/>
      <c r="C47" s="20" t="s">
        <v>206</v>
      </c>
      <c r="D47" s="20" t="s">
        <v>206</v>
      </c>
      <c r="E47" s="26">
        <v>3</v>
      </c>
      <c r="F47" s="28" t="s">
        <v>208</v>
      </c>
      <c r="G47" s="202">
        <v>36</v>
      </c>
      <c r="H47" s="202">
        <f t="shared" si="1"/>
        <v>108</v>
      </c>
      <c r="I47" s="309">
        <v>3.5</v>
      </c>
      <c r="J47" s="152">
        <v>6.75</v>
      </c>
      <c r="K47" s="154">
        <v>3.6</v>
      </c>
      <c r="L47" s="169">
        <v>0.54</v>
      </c>
      <c r="M47" s="153">
        <f t="shared" si="10"/>
        <v>10.35</v>
      </c>
      <c r="N47" s="166">
        <v>0.33</v>
      </c>
      <c r="O47" s="167">
        <v>0.1</v>
      </c>
      <c r="P47" s="168">
        <v>0.1</v>
      </c>
      <c r="Q47" s="309">
        <f t="shared" si="6"/>
        <v>10.5</v>
      </c>
      <c r="R47" s="152">
        <f t="shared" si="7"/>
        <v>20.25</v>
      </c>
      <c r="S47" s="154">
        <f t="shared" si="8"/>
        <v>10.8</v>
      </c>
      <c r="T47" s="169">
        <f t="shared" si="9"/>
        <v>1.62</v>
      </c>
      <c r="U47" s="153">
        <f t="shared" si="11"/>
        <v>31.049999999999997</v>
      </c>
      <c r="V47" s="166">
        <f t="shared" si="3"/>
        <v>0.99</v>
      </c>
      <c r="W47" s="167">
        <f t="shared" si="4"/>
        <v>0.30000000000000004</v>
      </c>
      <c r="X47" s="168">
        <f t="shared" si="5"/>
        <v>0.30000000000000004</v>
      </c>
      <c r="Y47" s="14"/>
    </row>
    <row r="48" spans="1:25" s="7" customFormat="1" ht="12.75" customHeight="1">
      <c r="A48" s="67">
        <v>40373</v>
      </c>
      <c r="B48" s="48">
        <v>559</v>
      </c>
      <c r="C48" s="20" t="s">
        <v>209</v>
      </c>
      <c r="D48" s="20" t="s">
        <v>210</v>
      </c>
      <c r="E48" s="26">
        <v>9</v>
      </c>
      <c r="F48" s="28" t="s">
        <v>211</v>
      </c>
      <c r="G48" s="202">
        <v>69</v>
      </c>
      <c r="H48" s="202">
        <f t="shared" si="1"/>
        <v>621</v>
      </c>
      <c r="I48" s="309">
        <v>6.5</v>
      </c>
      <c r="J48" s="178">
        <v>21.35</v>
      </c>
      <c r="K48" s="154">
        <v>1.3</v>
      </c>
      <c r="L48" s="169">
        <v>0.2</v>
      </c>
      <c r="M48" s="153">
        <f t="shared" si="10"/>
        <v>22.650000000000002</v>
      </c>
      <c r="N48" s="166">
        <v>1.25</v>
      </c>
      <c r="O48" s="167">
        <v>0.1</v>
      </c>
      <c r="P48" s="168">
        <v>0.1</v>
      </c>
      <c r="Q48" s="309">
        <f t="shared" si="6"/>
        <v>58.5</v>
      </c>
      <c r="R48" s="152">
        <f t="shared" si="7"/>
        <v>192.15</v>
      </c>
      <c r="S48" s="154">
        <f t="shared" si="8"/>
        <v>11.700000000000001</v>
      </c>
      <c r="T48" s="169">
        <f t="shared" si="9"/>
        <v>1.8</v>
      </c>
      <c r="U48" s="153">
        <f t="shared" si="11"/>
        <v>203.85000000000002</v>
      </c>
      <c r="V48" s="166">
        <f t="shared" si="3"/>
        <v>11.25</v>
      </c>
      <c r="W48" s="167">
        <f t="shared" si="4"/>
        <v>0.9</v>
      </c>
      <c r="X48" s="168">
        <f t="shared" si="5"/>
        <v>0.9</v>
      </c>
      <c r="Y48" s="14"/>
    </row>
    <row r="49" spans="1:25" s="7" customFormat="1" ht="12.75" customHeight="1">
      <c r="A49" s="67">
        <v>40374</v>
      </c>
      <c r="B49" s="48">
        <v>560</v>
      </c>
      <c r="C49" s="20" t="s">
        <v>212</v>
      </c>
      <c r="D49" s="20" t="s">
        <v>213</v>
      </c>
      <c r="E49" s="26">
        <v>30</v>
      </c>
      <c r="F49" s="28" t="s">
        <v>214</v>
      </c>
      <c r="G49" s="202">
        <v>80</v>
      </c>
      <c r="H49" s="202">
        <f t="shared" si="1"/>
        <v>2400</v>
      </c>
      <c r="I49" s="309">
        <v>8.5</v>
      </c>
      <c r="J49" s="178">
        <v>14.7</v>
      </c>
      <c r="K49" s="154">
        <v>3.5</v>
      </c>
      <c r="L49" s="169">
        <v>0.53</v>
      </c>
      <c r="M49" s="153">
        <f t="shared" si="10"/>
        <v>18.2</v>
      </c>
      <c r="N49" s="166">
        <v>1.1299999999999999</v>
      </c>
      <c r="O49" s="167">
        <v>1</v>
      </c>
      <c r="P49" s="168">
        <v>0.05</v>
      </c>
      <c r="Q49" s="309">
        <f t="shared" si="6"/>
        <v>255</v>
      </c>
      <c r="R49" s="152">
        <f t="shared" si="7"/>
        <v>441</v>
      </c>
      <c r="S49" s="154">
        <f t="shared" si="8"/>
        <v>105</v>
      </c>
      <c r="T49" s="169">
        <f t="shared" si="9"/>
        <v>15.9</v>
      </c>
      <c r="U49" s="153">
        <f t="shared" si="11"/>
        <v>546</v>
      </c>
      <c r="V49" s="166">
        <f t="shared" si="3"/>
        <v>33.9</v>
      </c>
      <c r="W49" s="167">
        <f t="shared" si="4"/>
        <v>30</v>
      </c>
      <c r="X49" s="168">
        <f t="shared" si="5"/>
        <v>1.5</v>
      </c>
      <c r="Y49" s="14"/>
    </row>
    <row r="50" spans="1:25" s="7" customFormat="1" ht="12.75" customHeight="1">
      <c r="A50" s="67"/>
      <c r="B50" s="48"/>
      <c r="C50" s="20" t="s">
        <v>212</v>
      </c>
      <c r="D50" s="20" t="s">
        <v>213</v>
      </c>
      <c r="E50" s="26">
        <v>30</v>
      </c>
      <c r="F50" s="28" t="s">
        <v>215</v>
      </c>
      <c r="G50" s="202">
        <v>85</v>
      </c>
      <c r="H50" s="202">
        <f t="shared" si="1"/>
        <v>2550</v>
      </c>
      <c r="I50" s="309">
        <v>8.5</v>
      </c>
      <c r="J50" s="178">
        <v>16.399999999999999</v>
      </c>
      <c r="K50" s="154">
        <v>3.5</v>
      </c>
      <c r="L50" s="169">
        <v>0.53</v>
      </c>
      <c r="M50" s="153">
        <f t="shared" si="10"/>
        <v>19.899999999999999</v>
      </c>
      <c r="N50" s="166">
        <v>1.1299999999999999</v>
      </c>
      <c r="O50" s="167">
        <v>1</v>
      </c>
      <c r="P50" s="168">
        <v>0.05</v>
      </c>
      <c r="Q50" s="309">
        <f t="shared" si="6"/>
        <v>255</v>
      </c>
      <c r="R50" s="152">
        <f t="shared" si="7"/>
        <v>491.99999999999994</v>
      </c>
      <c r="S50" s="154">
        <f t="shared" si="8"/>
        <v>105</v>
      </c>
      <c r="T50" s="169">
        <f t="shared" si="9"/>
        <v>15.9</v>
      </c>
      <c r="U50" s="153">
        <f t="shared" si="11"/>
        <v>597</v>
      </c>
      <c r="V50" s="166">
        <f t="shared" si="3"/>
        <v>33.9</v>
      </c>
      <c r="W50" s="167">
        <f t="shared" si="4"/>
        <v>30</v>
      </c>
      <c r="X50" s="168">
        <f t="shared" si="5"/>
        <v>1.5</v>
      </c>
      <c r="Y50" s="14"/>
    </row>
    <row r="51" spans="1:25" s="7" customFormat="1" ht="12.75" customHeight="1">
      <c r="A51" s="67">
        <v>40374</v>
      </c>
      <c r="B51" s="48">
        <v>561</v>
      </c>
      <c r="C51" s="20" t="s">
        <v>23</v>
      </c>
      <c r="D51" s="20" t="s">
        <v>24</v>
      </c>
      <c r="E51" s="26">
        <v>450</v>
      </c>
      <c r="F51" s="28" t="s">
        <v>216</v>
      </c>
      <c r="G51" s="202">
        <v>7.95</v>
      </c>
      <c r="H51" s="202">
        <f t="shared" si="1"/>
        <v>3577.5</v>
      </c>
      <c r="I51" s="309">
        <v>1</v>
      </c>
      <c r="J51" s="152">
        <v>1.4</v>
      </c>
      <c r="K51" s="154">
        <v>1.5</v>
      </c>
      <c r="L51" s="169">
        <v>0.23</v>
      </c>
      <c r="M51" s="153">
        <f t="shared" si="10"/>
        <v>2.9</v>
      </c>
      <c r="N51" s="166">
        <v>0.13</v>
      </c>
      <c r="O51" s="167">
        <v>0.1</v>
      </c>
      <c r="P51" s="168">
        <v>0.1</v>
      </c>
      <c r="Q51" s="309">
        <f t="shared" si="6"/>
        <v>450</v>
      </c>
      <c r="R51" s="152">
        <f t="shared" si="7"/>
        <v>630</v>
      </c>
      <c r="S51" s="154">
        <f t="shared" si="8"/>
        <v>675</v>
      </c>
      <c r="T51" s="169">
        <f t="shared" si="9"/>
        <v>103.5</v>
      </c>
      <c r="U51" s="179">
        <f t="shared" si="11"/>
        <v>1305</v>
      </c>
      <c r="V51" s="166">
        <f t="shared" si="3"/>
        <v>58.5</v>
      </c>
      <c r="W51" s="167">
        <f t="shared" si="4"/>
        <v>45</v>
      </c>
      <c r="X51" s="168">
        <f t="shared" si="5"/>
        <v>45</v>
      </c>
      <c r="Y51" s="14"/>
    </row>
    <row r="52" spans="1:25" s="7" customFormat="1" ht="12.75" customHeight="1">
      <c r="A52" s="67"/>
      <c r="B52" s="48"/>
      <c r="C52" s="20" t="s">
        <v>23</v>
      </c>
      <c r="D52" s="20" t="s">
        <v>24</v>
      </c>
      <c r="E52" s="26">
        <v>450</v>
      </c>
      <c r="F52" s="28" t="s">
        <v>217</v>
      </c>
      <c r="G52" s="202">
        <v>9.5</v>
      </c>
      <c r="H52" s="202">
        <f t="shared" si="1"/>
        <v>4275</v>
      </c>
      <c r="I52" s="309">
        <v>1.1000000000000001</v>
      </c>
      <c r="J52" s="152">
        <v>2.2999999999999998</v>
      </c>
      <c r="K52" s="154">
        <v>0.5</v>
      </c>
      <c r="L52" s="169">
        <v>0.23</v>
      </c>
      <c r="M52" s="153">
        <f t="shared" si="10"/>
        <v>2.8</v>
      </c>
      <c r="N52" s="166">
        <v>0.13</v>
      </c>
      <c r="O52" s="167">
        <v>0.1</v>
      </c>
      <c r="P52" s="168">
        <v>0.1</v>
      </c>
      <c r="Q52" s="309">
        <f t="shared" si="6"/>
        <v>495.00000000000006</v>
      </c>
      <c r="R52" s="178">
        <f t="shared" si="7"/>
        <v>1035</v>
      </c>
      <c r="S52" s="154">
        <f t="shared" si="8"/>
        <v>225</v>
      </c>
      <c r="T52" s="169">
        <f t="shared" si="9"/>
        <v>103.5</v>
      </c>
      <c r="U52" s="179">
        <f t="shared" si="11"/>
        <v>1260</v>
      </c>
      <c r="V52" s="166">
        <f t="shared" si="3"/>
        <v>58.5</v>
      </c>
      <c r="W52" s="167">
        <f t="shared" si="4"/>
        <v>45</v>
      </c>
      <c r="X52" s="168">
        <f t="shared" si="5"/>
        <v>45</v>
      </c>
      <c r="Y52" s="14"/>
    </row>
    <row r="53" spans="1:25" s="7" customFormat="1" ht="12.75" customHeight="1">
      <c r="A53" s="67"/>
      <c r="B53" s="48"/>
      <c r="C53" s="20" t="s">
        <v>23</v>
      </c>
      <c r="D53" s="20" t="s">
        <v>24</v>
      </c>
      <c r="E53" s="26">
        <v>450</v>
      </c>
      <c r="F53" s="28" t="s">
        <v>218</v>
      </c>
      <c r="G53" s="202">
        <v>6.55</v>
      </c>
      <c r="H53" s="202">
        <f t="shared" si="1"/>
        <v>2947.5</v>
      </c>
      <c r="I53" s="309">
        <v>1</v>
      </c>
      <c r="J53" s="152">
        <v>0.89</v>
      </c>
      <c r="K53" s="154">
        <v>1.25</v>
      </c>
      <c r="L53" s="169">
        <v>0.19</v>
      </c>
      <c r="M53" s="153">
        <f t="shared" si="10"/>
        <v>2.14</v>
      </c>
      <c r="N53" s="166">
        <v>0.08</v>
      </c>
      <c r="O53" s="167">
        <v>0.1</v>
      </c>
      <c r="P53" s="168">
        <v>0.1</v>
      </c>
      <c r="Q53" s="309">
        <f t="shared" si="6"/>
        <v>450</v>
      </c>
      <c r="R53" s="152">
        <f t="shared" si="7"/>
        <v>400.5</v>
      </c>
      <c r="S53" s="154">
        <f t="shared" si="8"/>
        <v>562.5</v>
      </c>
      <c r="T53" s="169">
        <f t="shared" si="9"/>
        <v>85.5</v>
      </c>
      <c r="U53" s="153">
        <f t="shared" si="11"/>
        <v>963</v>
      </c>
      <c r="V53" s="166">
        <f t="shared" si="3"/>
        <v>36</v>
      </c>
      <c r="W53" s="167">
        <f t="shared" si="4"/>
        <v>45</v>
      </c>
      <c r="X53" s="168">
        <f t="shared" si="5"/>
        <v>45</v>
      </c>
      <c r="Y53" s="14"/>
    </row>
    <row r="54" spans="1:25" s="7" customFormat="1" ht="12.75" customHeight="1">
      <c r="A54" s="67">
        <v>40374</v>
      </c>
      <c r="B54" s="48">
        <v>562</v>
      </c>
      <c r="C54" s="20" t="s">
        <v>219</v>
      </c>
      <c r="D54" s="20" t="s">
        <v>42</v>
      </c>
      <c r="E54" s="26">
        <v>5</v>
      </c>
      <c r="F54" s="28" t="s">
        <v>220</v>
      </c>
      <c r="G54" s="202">
        <v>34</v>
      </c>
      <c r="H54" s="202">
        <f t="shared" si="1"/>
        <v>170</v>
      </c>
      <c r="I54" s="309">
        <v>3.5</v>
      </c>
      <c r="J54" s="152">
        <v>2.74</v>
      </c>
      <c r="K54" s="154">
        <v>0.8</v>
      </c>
      <c r="L54" s="169">
        <v>0.12</v>
      </c>
      <c r="M54" s="153">
        <f t="shared" si="10"/>
        <v>3.54</v>
      </c>
      <c r="N54" s="166">
        <v>0.33</v>
      </c>
      <c r="O54" s="167">
        <v>0.1</v>
      </c>
      <c r="P54" s="168">
        <v>0.1</v>
      </c>
      <c r="Q54" s="309">
        <f t="shared" si="6"/>
        <v>17.5</v>
      </c>
      <c r="R54" s="152">
        <f t="shared" si="7"/>
        <v>13.700000000000001</v>
      </c>
      <c r="S54" s="154">
        <f t="shared" si="8"/>
        <v>4</v>
      </c>
      <c r="T54" s="169">
        <f t="shared" si="9"/>
        <v>0.6</v>
      </c>
      <c r="U54" s="153">
        <f t="shared" si="11"/>
        <v>17.7</v>
      </c>
      <c r="V54" s="166">
        <f t="shared" si="3"/>
        <v>1.6500000000000001</v>
      </c>
      <c r="W54" s="167">
        <f t="shared" si="4"/>
        <v>0.5</v>
      </c>
      <c r="X54" s="168">
        <f t="shared" si="5"/>
        <v>0.5</v>
      </c>
      <c r="Y54" s="14"/>
    </row>
    <row r="55" spans="1:25" s="7" customFormat="1" ht="12.75" customHeight="1">
      <c r="A55" s="67"/>
      <c r="B55" s="48"/>
      <c r="C55" s="20" t="s">
        <v>219</v>
      </c>
      <c r="D55" s="20" t="s">
        <v>42</v>
      </c>
      <c r="E55" s="26">
        <v>3</v>
      </c>
      <c r="F55" s="28" t="s">
        <v>221</v>
      </c>
      <c r="G55" s="202">
        <v>30</v>
      </c>
      <c r="H55" s="202">
        <f t="shared" si="1"/>
        <v>90</v>
      </c>
      <c r="I55" s="309">
        <v>3.5</v>
      </c>
      <c r="J55" s="152">
        <v>4.3</v>
      </c>
      <c r="K55" s="154">
        <v>0.8</v>
      </c>
      <c r="L55" s="169">
        <v>0.12</v>
      </c>
      <c r="M55" s="153">
        <f t="shared" si="10"/>
        <v>5.0999999999999996</v>
      </c>
      <c r="N55" s="166">
        <v>0.33</v>
      </c>
      <c r="O55" s="167">
        <v>0.1</v>
      </c>
      <c r="P55" s="168">
        <v>0.1</v>
      </c>
      <c r="Q55" s="309">
        <f t="shared" si="6"/>
        <v>10.5</v>
      </c>
      <c r="R55" s="152">
        <f t="shared" si="7"/>
        <v>12.899999999999999</v>
      </c>
      <c r="S55" s="154">
        <f t="shared" si="8"/>
        <v>2.4000000000000004</v>
      </c>
      <c r="T55" s="169">
        <f t="shared" si="9"/>
        <v>0.36</v>
      </c>
      <c r="U55" s="153">
        <f t="shared" si="11"/>
        <v>15.299999999999999</v>
      </c>
      <c r="V55" s="166">
        <f t="shared" si="3"/>
        <v>0.99</v>
      </c>
      <c r="W55" s="167">
        <f t="shared" si="4"/>
        <v>0.30000000000000004</v>
      </c>
      <c r="X55" s="168">
        <f t="shared" si="5"/>
        <v>0.30000000000000004</v>
      </c>
      <c r="Y55" s="14"/>
    </row>
    <row r="56" spans="1:25" s="7" customFormat="1" ht="12.75" customHeight="1">
      <c r="A56" s="67">
        <v>40374</v>
      </c>
      <c r="B56" s="48">
        <v>563</v>
      </c>
      <c r="C56" s="20" t="s">
        <v>222</v>
      </c>
      <c r="D56" s="20" t="s">
        <v>168</v>
      </c>
      <c r="E56" s="26">
        <v>8</v>
      </c>
      <c r="F56" s="28" t="s">
        <v>223</v>
      </c>
      <c r="G56" s="202">
        <v>45</v>
      </c>
      <c r="H56" s="202">
        <f t="shared" si="1"/>
        <v>360</v>
      </c>
      <c r="I56" s="309">
        <v>3.5</v>
      </c>
      <c r="J56" s="152">
        <v>7.34</v>
      </c>
      <c r="K56" s="154">
        <v>2.5</v>
      </c>
      <c r="L56" s="169">
        <v>0.38</v>
      </c>
      <c r="M56" s="153">
        <f t="shared" si="10"/>
        <v>9.84</v>
      </c>
      <c r="N56" s="166">
        <v>0.33</v>
      </c>
      <c r="O56" s="167">
        <v>0.25</v>
      </c>
      <c r="P56" s="168">
        <v>0.1</v>
      </c>
      <c r="Q56" s="309">
        <f t="shared" si="6"/>
        <v>28</v>
      </c>
      <c r="R56" s="152">
        <f t="shared" si="7"/>
        <v>58.72</v>
      </c>
      <c r="S56" s="154">
        <f t="shared" si="8"/>
        <v>20</v>
      </c>
      <c r="T56" s="169">
        <f t="shared" si="9"/>
        <v>3.04</v>
      </c>
      <c r="U56" s="153">
        <f t="shared" si="11"/>
        <v>78.72</v>
      </c>
      <c r="V56" s="166">
        <f t="shared" si="3"/>
        <v>2.64</v>
      </c>
      <c r="W56" s="167">
        <f t="shared" si="4"/>
        <v>2</v>
      </c>
      <c r="X56" s="168">
        <f t="shared" si="5"/>
        <v>0.8</v>
      </c>
      <c r="Y56" s="14"/>
    </row>
    <row r="57" spans="1:25" s="7" customFormat="1" ht="12.75" customHeight="1">
      <c r="A57" s="67"/>
      <c r="B57" s="48"/>
      <c r="C57" s="20" t="s">
        <v>222</v>
      </c>
      <c r="D57" s="20" t="s">
        <v>168</v>
      </c>
      <c r="E57" s="26">
        <v>1</v>
      </c>
      <c r="F57" s="28" t="s">
        <v>224</v>
      </c>
      <c r="G57" s="202">
        <v>45</v>
      </c>
      <c r="H57" s="202">
        <f t="shared" si="1"/>
        <v>45</v>
      </c>
      <c r="I57" s="309">
        <v>3.5</v>
      </c>
      <c r="J57" s="152">
        <v>9.0399999999999991</v>
      </c>
      <c r="K57" s="154">
        <v>2.5</v>
      </c>
      <c r="L57" s="169">
        <v>0.38</v>
      </c>
      <c r="M57" s="153">
        <f t="shared" si="10"/>
        <v>11.54</v>
      </c>
      <c r="N57" s="166">
        <v>0.33</v>
      </c>
      <c r="O57" s="167">
        <v>0.25</v>
      </c>
      <c r="P57" s="168">
        <v>0.1</v>
      </c>
      <c r="Q57" s="309">
        <f t="shared" si="6"/>
        <v>3.5</v>
      </c>
      <c r="R57" s="152">
        <f t="shared" si="7"/>
        <v>9.0399999999999991</v>
      </c>
      <c r="S57" s="154">
        <f t="shared" si="8"/>
        <v>2.5</v>
      </c>
      <c r="T57" s="169">
        <f t="shared" si="9"/>
        <v>0.38</v>
      </c>
      <c r="U57" s="153">
        <f t="shared" si="11"/>
        <v>11.54</v>
      </c>
      <c r="V57" s="166">
        <f t="shared" si="3"/>
        <v>0.33</v>
      </c>
      <c r="W57" s="167">
        <f t="shared" si="4"/>
        <v>0.25</v>
      </c>
      <c r="X57" s="168">
        <f t="shared" si="5"/>
        <v>0.1</v>
      </c>
      <c r="Y57" s="14"/>
    </row>
    <row r="58" spans="1:25" ht="12.75" customHeight="1">
      <c r="A58" s="67"/>
      <c r="B58" s="48"/>
      <c r="C58" s="20" t="s">
        <v>222</v>
      </c>
      <c r="D58" s="20" t="s">
        <v>168</v>
      </c>
      <c r="E58" s="26">
        <v>1</v>
      </c>
      <c r="F58" s="28" t="s">
        <v>225</v>
      </c>
      <c r="G58" s="202">
        <v>45</v>
      </c>
      <c r="H58" s="202">
        <f t="shared" si="1"/>
        <v>45</v>
      </c>
      <c r="I58" s="309">
        <v>3.5</v>
      </c>
      <c r="J58" s="152">
        <v>7.34</v>
      </c>
      <c r="K58" s="154">
        <v>2.8</v>
      </c>
      <c r="L58" s="169">
        <v>0.38</v>
      </c>
      <c r="M58" s="153">
        <f t="shared" si="10"/>
        <v>10.14</v>
      </c>
      <c r="N58" s="166">
        <v>0.33</v>
      </c>
      <c r="O58" s="167">
        <v>0.25</v>
      </c>
      <c r="P58" s="168">
        <v>0.1</v>
      </c>
      <c r="Q58" s="309">
        <f t="shared" si="6"/>
        <v>3.5</v>
      </c>
      <c r="R58" s="152">
        <f t="shared" si="7"/>
        <v>7.34</v>
      </c>
      <c r="S58" s="154">
        <f t="shared" si="8"/>
        <v>2.8</v>
      </c>
      <c r="T58" s="169">
        <f t="shared" si="9"/>
        <v>0.38</v>
      </c>
      <c r="U58" s="153">
        <f t="shared" si="11"/>
        <v>10.14</v>
      </c>
      <c r="V58" s="166">
        <f t="shared" si="3"/>
        <v>0.33</v>
      </c>
      <c r="W58" s="167">
        <f t="shared" si="4"/>
        <v>0.25</v>
      </c>
      <c r="X58" s="168">
        <f t="shared" si="5"/>
        <v>0.1</v>
      </c>
      <c r="Y58" s="14"/>
    </row>
    <row r="59" spans="1:25" ht="12.75" customHeight="1">
      <c r="A59" s="67"/>
      <c r="B59" s="48"/>
      <c r="C59" s="20" t="s">
        <v>222</v>
      </c>
      <c r="D59" s="20" t="s">
        <v>168</v>
      </c>
      <c r="E59" s="26">
        <v>9</v>
      </c>
      <c r="F59" s="28" t="s">
        <v>226</v>
      </c>
      <c r="G59" s="202">
        <v>55</v>
      </c>
      <c r="H59" s="202">
        <f t="shared" si="1"/>
        <v>495</v>
      </c>
      <c r="I59" s="309">
        <v>4.5</v>
      </c>
      <c r="J59" s="152">
        <v>2.8</v>
      </c>
      <c r="K59" s="154">
        <v>0</v>
      </c>
      <c r="L59" s="169">
        <v>0</v>
      </c>
      <c r="M59" s="153">
        <f t="shared" si="10"/>
        <v>2.8</v>
      </c>
      <c r="N59" s="166">
        <v>0.6</v>
      </c>
      <c r="O59" s="167">
        <v>0.2</v>
      </c>
      <c r="P59" s="168">
        <v>0.2</v>
      </c>
      <c r="Q59" s="309">
        <f t="shared" si="6"/>
        <v>40.5</v>
      </c>
      <c r="R59" s="152">
        <f t="shared" si="7"/>
        <v>25.2</v>
      </c>
      <c r="S59" s="154">
        <f t="shared" si="8"/>
        <v>0</v>
      </c>
      <c r="T59" s="169">
        <f t="shared" si="9"/>
        <v>0</v>
      </c>
      <c r="U59" s="153">
        <f t="shared" si="11"/>
        <v>25.2</v>
      </c>
      <c r="V59" s="166">
        <f t="shared" si="3"/>
        <v>5.3999999999999995</v>
      </c>
      <c r="W59" s="167">
        <f t="shared" si="4"/>
        <v>1.8</v>
      </c>
      <c r="X59" s="168">
        <f t="shared" si="5"/>
        <v>1.8</v>
      </c>
      <c r="Y59" s="14"/>
    </row>
    <row r="60" spans="1:25" ht="12.75" customHeight="1">
      <c r="A60" s="67"/>
      <c r="B60" s="48"/>
      <c r="C60" s="20" t="s">
        <v>222</v>
      </c>
      <c r="D60" s="20" t="s">
        <v>168</v>
      </c>
      <c r="E60" s="26">
        <v>1</v>
      </c>
      <c r="F60" s="28" t="s">
        <v>227</v>
      </c>
      <c r="G60" s="202">
        <v>55</v>
      </c>
      <c r="H60" s="202">
        <f t="shared" si="1"/>
        <v>55</v>
      </c>
      <c r="I60" s="309">
        <v>4.5</v>
      </c>
      <c r="J60" s="152">
        <v>0.8</v>
      </c>
      <c r="K60" s="154">
        <v>0</v>
      </c>
      <c r="L60" s="169">
        <v>0</v>
      </c>
      <c r="M60" s="153">
        <f t="shared" si="10"/>
        <v>0.8</v>
      </c>
      <c r="N60" s="166">
        <v>0.6</v>
      </c>
      <c r="O60" s="167">
        <v>0.2</v>
      </c>
      <c r="P60" s="168">
        <v>0.2</v>
      </c>
      <c r="Q60" s="309">
        <f t="shared" si="6"/>
        <v>4.5</v>
      </c>
      <c r="R60" s="152">
        <f t="shared" si="7"/>
        <v>0.8</v>
      </c>
      <c r="S60" s="154">
        <f t="shared" si="8"/>
        <v>0</v>
      </c>
      <c r="T60" s="169">
        <f t="shared" si="9"/>
        <v>0</v>
      </c>
      <c r="U60" s="153">
        <f t="shared" si="11"/>
        <v>0.8</v>
      </c>
      <c r="V60" s="166">
        <f t="shared" si="3"/>
        <v>0.6</v>
      </c>
      <c r="W60" s="167">
        <f t="shared" si="4"/>
        <v>0.2</v>
      </c>
      <c r="X60" s="168">
        <f t="shared" si="5"/>
        <v>0.2</v>
      </c>
      <c r="Y60" s="14"/>
    </row>
    <row r="61" spans="1:25" ht="12.75" customHeight="1">
      <c r="A61" s="67"/>
      <c r="B61" s="48"/>
      <c r="C61" s="20" t="s">
        <v>222</v>
      </c>
      <c r="D61" s="20" t="s">
        <v>168</v>
      </c>
      <c r="E61" s="26">
        <v>1</v>
      </c>
      <c r="F61" s="28" t="s">
        <v>228</v>
      </c>
      <c r="G61" s="202">
        <v>55</v>
      </c>
      <c r="H61" s="202">
        <f t="shared" si="1"/>
        <v>55</v>
      </c>
      <c r="I61" s="309">
        <v>4.5</v>
      </c>
      <c r="J61" s="152">
        <v>5.3</v>
      </c>
      <c r="K61" s="154">
        <v>0</v>
      </c>
      <c r="L61" s="169">
        <v>0</v>
      </c>
      <c r="M61" s="153">
        <f t="shared" si="10"/>
        <v>5.3</v>
      </c>
      <c r="N61" s="166">
        <v>0.6</v>
      </c>
      <c r="O61" s="167">
        <v>0.2</v>
      </c>
      <c r="P61" s="168">
        <v>0.2</v>
      </c>
      <c r="Q61" s="309">
        <f t="shared" si="6"/>
        <v>4.5</v>
      </c>
      <c r="R61" s="152">
        <f t="shared" si="7"/>
        <v>5.3</v>
      </c>
      <c r="S61" s="154">
        <f t="shared" si="8"/>
        <v>0</v>
      </c>
      <c r="T61" s="169">
        <f t="shared" si="9"/>
        <v>0</v>
      </c>
      <c r="U61" s="153">
        <f t="shared" si="11"/>
        <v>5.3</v>
      </c>
      <c r="V61" s="166">
        <f t="shared" si="3"/>
        <v>0.6</v>
      </c>
      <c r="W61" s="167">
        <f t="shared" si="4"/>
        <v>0.2</v>
      </c>
      <c r="X61" s="168">
        <f t="shared" si="5"/>
        <v>0.2</v>
      </c>
      <c r="Y61" s="14"/>
    </row>
    <row r="62" spans="1:25" ht="12.75" customHeight="1">
      <c r="A62" s="67">
        <v>40375</v>
      </c>
      <c r="B62" s="48">
        <v>564</v>
      </c>
      <c r="C62" s="20" t="s">
        <v>229</v>
      </c>
      <c r="D62" s="20" t="s">
        <v>230</v>
      </c>
      <c r="E62" s="26">
        <v>100</v>
      </c>
      <c r="F62" s="28" t="s">
        <v>231</v>
      </c>
      <c r="G62" s="202">
        <v>45</v>
      </c>
      <c r="H62" s="202">
        <f t="shared" si="1"/>
        <v>4500</v>
      </c>
      <c r="I62" s="309">
        <v>3.5</v>
      </c>
      <c r="J62" s="152">
        <v>1.5</v>
      </c>
      <c r="K62" s="154">
        <v>9</v>
      </c>
      <c r="L62" s="169">
        <v>1.35</v>
      </c>
      <c r="M62" s="153">
        <f t="shared" si="10"/>
        <v>10.5</v>
      </c>
      <c r="N62" s="166">
        <v>0.33</v>
      </c>
      <c r="O62" s="167">
        <v>0.25</v>
      </c>
      <c r="P62" s="168">
        <v>0.1</v>
      </c>
      <c r="Q62" s="309">
        <f t="shared" si="6"/>
        <v>350</v>
      </c>
      <c r="R62" s="152">
        <f t="shared" si="7"/>
        <v>150</v>
      </c>
      <c r="S62" s="154">
        <f t="shared" si="8"/>
        <v>900</v>
      </c>
      <c r="T62" s="169">
        <f t="shared" si="9"/>
        <v>135</v>
      </c>
      <c r="U62" s="179">
        <f t="shared" si="11"/>
        <v>1050</v>
      </c>
      <c r="V62" s="166">
        <f t="shared" si="3"/>
        <v>33</v>
      </c>
      <c r="W62" s="167">
        <f t="shared" si="4"/>
        <v>25</v>
      </c>
      <c r="X62" s="168">
        <f t="shared" si="5"/>
        <v>10</v>
      </c>
      <c r="Y62" s="14"/>
    </row>
    <row r="63" spans="1:25" ht="12.75" customHeight="1">
      <c r="A63" s="67">
        <v>40375</v>
      </c>
      <c r="B63" s="46">
        <v>565</v>
      </c>
      <c r="C63" s="20"/>
      <c r="D63" s="20" t="s">
        <v>232</v>
      </c>
      <c r="E63" s="26">
        <v>60</v>
      </c>
      <c r="F63" s="28" t="s">
        <v>233</v>
      </c>
      <c r="G63" s="202">
        <v>45</v>
      </c>
      <c r="H63" s="202">
        <f t="shared" si="1"/>
        <v>2700</v>
      </c>
      <c r="I63" s="309">
        <v>5.5</v>
      </c>
      <c r="J63" s="178">
        <v>15.66</v>
      </c>
      <c r="K63" s="154">
        <v>0.8</v>
      </c>
      <c r="L63" s="169">
        <v>0.12</v>
      </c>
      <c r="M63" s="153">
        <f t="shared" si="10"/>
        <v>16.46</v>
      </c>
      <c r="N63" s="166">
        <v>0.63</v>
      </c>
      <c r="O63" s="167">
        <v>0.1</v>
      </c>
      <c r="P63" s="168">
        <v>0.1</v>
      </c>
      <c r="Q63" s="309">
        <f t="shared" si="6"/>
        <v>330</v>
      </c>
      <c r="R63" s="152">
        <f t="shared" si="7"/>
        <v>939.6</v>
      </c>
      <c r="S63" s="154">
        <f t="shared" si="8"/>
        <v>48</v>
      </c>
      <c r="T63" s="169">
        <f t="shared" si="9"/>
        <v>7.1999999999999993</v>
      </c>
      <c r="U63" s="153">
        <f t="shared" si="11"/>
        <v>987.6</v>
      </c>
      <c r="V63" s="166">
        <f t="shared" si="3"/>
        <v>37.799999999999997</v>
      </c>
      <c r="W63" s="167">
        <f t="shared" si="4"/>
        <v>6</v>
      </c>
      <c r="X63" s="168">
        <f t="shared" si="5"/>
        <v>6</v>
      </c>
      <c r="Y63" s="14"/>
    </row>
    <row r="64" spans="1:25" ht="12.75" customHeight="1">
      <c r="A64" s="67">
        <v>40375</v>
      </c>
      <c r="B64" s="48">
        <v>566</v>
      </c>
      <c r="C64" s="20" t="s">
        <v>183</v>
      </c>
      <c r="D64" s="20" t="s">
        <v>42</v>
      </c>
      <c r="E64" s="26">
        <v>26</v>
      </c>
      <c r="F64" s="28" t="s">
        <v>234</v>
      </c>
      <c r="G64" s="202">
        <v>13.85</v>
      </c>
      <c r="H64" s="202">
        <f t="shared" si="1"/>
        <v>360.09999999999997</v>
      </c>
      <c r="I64" s="309">
        <v>1</v>
      </c>
      <c r="J64" s="152">
        <v>1.68</v>
      </c>
      <c r="K64" s="154">
        <v>1.8</v>
      </c>
      <c r="L64" s="169">
        <v>0.27</v>
      </c>
      <c r="M64" s="153">
        <f t="shared" si="10"/>
        <v>3.48</v>
      </c>
      <c r="N64" s="166">
        <v>0.28999999999999998</v>
      </c>
      <c r="O64" s="167">
        <v>0.1</v>
      </c>
      <c r="P64" s="168">
        <v>0.1</v>
      </c>
      <c r="Q64" s="309">
        <f t="shared" si="6"/>
        <v>26</v>
      </c>
      <c r="R64" s="152">
        <f t="shared" si="7"/>
        <v>43.68</v>
      </c>
      <c r="S64" s="154">
        <f t="shared" si="8"/>
        <v>46.800000000000004</v>
      </c>
      <c r="T64" s="169">
        <f t="shared" si="9"/>
        <v>7.0200000000000005</v>
      </c>
      <c r="U64" s="153">
        <f t="shared" si="11"/>
        <v>90.48</v>
      </c>
      <c r="V64" s="166">
        <f t="shared" si="3"/>
        <v>7.5399999999999991</v>
      </c>
      <c r="W64" s="167">
        <f t="shared" si="4"/>
        <v>2.6</v>
      </c>
      <c r="X64" s="168">
        <f t="shared" si="5"/>
        <v>2.6</v>
      </c>
      <c r="Y64" s="14"/>
    </row>
    <row r="65" spans="1:25" ht="12.75" customHeight="1">
      <c r="A65" s="67">
        <v>40375</v>
      </c>
      <c r="B65" s="48">
        <v>567</v>
      </c>
      <c r="C65" s="20" t="s">
        <v>235</v>
      </c>
      <c r="D65" s="20" t="s">
        <v>236</v>
      </c>
      <c r="E65" s="26">
        <v>19</v>
      </c>
      <c r="F65" s="28" t="s">
        <v>237</v>
      </c>
      <c r="G65" s="202">
        <v>70</v>
      </c>
      <c r="H65" s="202">
        <f t="shared" si="1"/>
        <v>1330</v>
      </c>
      <c r="I65" s="309">
        <v>3.5</v>
      </c>
      <c r="J65" s="178">
        <v>29.17</v>
      </c>
      <c r="K65" s="154">
        <v>1</v>
      </c>
      <c r="L65" s="169">
        <v>0.15</v>
      </c>
      <c r="M65" s="153">
        <f t="shared" si="10"/>
        <v>30.17</v>
      </c>
      <c r="N65" s="166">
        <v>0.33</v>
      </c>
      <c r="O65" s="167">
        <v>0.25</v>
      </c>
      <c r="P65" s="168">
        <v>0.1</v>
      </c>
      <c r="Q65" s="309">
        <f t="shared" si="6"/>
        <v>66.5</v>
      </c>
      <c r="R65" s="152">
        <f t="shared" si="7"/>
        <v>554.23</v>
      </c>
      <c r="S65" s="154">
        <f t="shared" si="8"/>
        <v>19</v>
      </c>
      <c r="T65" s="169">
        <f t="shared" si="9"/>
        <v>2.85</v>
      </c>
      <c r="U65" s="153">
        <f t="shared" si="11"/>
        <v>573.23</v>
      </c>
      <c r="V65" s="166">
        <f t="shared" si="3"/>
        <v>6.2700000000000005</v>
      </c>
      <c r="W65" s="167">
        <f t="shared" si="4"/>
        <v>4.75</v>
      </c>
      <c r="X65" s="168">
        <f t="shared" si="5"/>
        <v>1.9000000000000001</v>
      </c>
      <c r="Y65" s="14"/>
    </row>
    <row r="66" spans="1:25" ht="12.75" customHeight="1">
      <c r="A66" s="67"/>
      <c r="B66" s="48"/>
      <c r="C66" s="20" t="s">
        <v>235</v>
      </c>
      <c r="D66" s="20" t="s">
        <v>236</v>
      </c>
      <c r="E66" s="26">
        <v>8</v>
      </c>
      <c r="F66" s="28" t="s">
        <v>238</v>
      </c>
      <c r="G66" s="202">
        <v>70</v>
      </c>
      <c r="H66" s="202">
        <f t="shared" si="1"/>
        <v>560</v>
      </c>
      <c r="I66" s="309">
        <v>3.5</v>
      </c>
      <c r="J66" s="178">
        <v>34.67</v>
      </c>
      <c r="K66" s="154">
        <v>1</v>
      </c>
      <c r="L66" s="169">
        <v>0.15</v>
      </c>
      <c r="M66" s="153">
        <f t="shared" si="10"/>
        <v>35.67</v>
      </c>
      <c r="N66" s="166">
        <v>0.33</v>
      </c>
      <c r="O66" s="167">
        <v>0.25</v>
      </c>
      <c r="P66" s="168">
        <v>0.1</v>
      </c>
      <c r="Q66" s="309">
        <f t="shared" si="6"/>
        <v>28</v>
      </c>
      <c r="R66" s="152">
        <f t="shared" si="7"/>
        <v>277.36</v>
      </c>
      <c r="S66" s="154">
        <f t="shared" si="8"/>
        <v>8</v>
      </c>
      <c r="T66" s="169">
        <f t="shared" si="9"/>
        <v>1.2</v>
      </c>
      <c r="U66" s="153">
        <f t="shared" si="11"/>
        <v>285.36</v>
      </c>
      <c r="V66" s="166">
        <f t="shared" si="3"/>
        <v>2.64</v>
      </c>
      <c r="W66" s="167">
        <f t="shared" si="4"/>
        <v>2</v>
      </c>
      <c r="X66" s="168">
        <f t="shared" si="5"/>
        <v>0.8</v>
      </c>
      <c r="Y66" s="14"/>
    </row>
    <row r="67" spans="1:25" ht="12.75" customHeight="1">
      <c r="A67" s="67">
        <v>40378</v>
      </c>
      <c r="B67" s="48">
        <v>568</v>
      </c>
      <c r="C67" s="20" t="s">
        <v>239</v>
      </c>
      <c r="D67" s="20" t="s">
        <v>240</v>
      </c>
      <c r="E67" s="26">
        <v>1</v>
      </c>
      <c r="F67" s="28" t="s">
        <v>241</v>
      </c>
      <c r="G67" s="202">
        <v>60</v>
      </c>
      <c r="H67" s="202">
        <f t="shared" si="1"/>
        <v>60</v>
      </c>
      <c r="I67" s="309">
        <v>6.5</v>
      </c>
      <c r="J67" s="178">
        <v>19.829999999999998</v>
      </c>
      <c r="K67" s="154">
        <v>2.8</v>
      </c>
      <c r="L67" s="169">
        <v>0.42</v>
      </c>
      <c r="M67" s="153">
        <f t="shared" si="10"/>
        <v>22.63</v>
      </c>
      <c r="N67" s="166">
        <v>0.83</v>
      </c>
      <c r="O67" s="167">
        <v>0.1</v>
      </c>
      <c r="P67" s="168">
        <v>2</v>
      </c>
      <c r="Q67" s="309">
        <f t="shared" si="6"/>
        <v>6.5</v>
      </c>
      <c r="R67" s="152">
        <f t="shared" si="7"/>
        <v>19.829999999999998</v>
      </c>
      <c r="S67" s="154">
        <f t="shared" si="8"/>
        <v>2.8</v>
      </c>
      <c r="T67" s="169">
        <f t="shared" si="9"/>
        <v>0.42</v>
      </c>
      <c r="U67" s="153">
        <f t="shared" si="11"/>
        <v>22.63</v>
      </c>
      <c r="V67" s="166">
        <f t="shared" si="3"/>
        <v>0.83</v>
      </c>
      <c r="W67" s="167">
        <f t="shared" si="4"/>
        <v>0.1</v>
      </c>
      <c r="X67" s="168">
        <f t="shared" si="5"/>
        <v>2</v>
      </c>
      <c r="Y67" s="14"/>
    </row>
    <row r="68" spans="1:25" ht="12.75" customHeight="1">
      <c r="A68" s="67">
        <v>40379</v>
      </c>
      <c r="B68" s="48">
        <v>569</v>
      </c>
      <c r="C68" s="20"/>
      <c r="D68" s="20" t="s">
        <v>242</v>
      </c>
      <c r="E68" s="26">
        <v>20</v>
      </c>
      <c r="F68" s="28" t="s">
        <v>243</v>
      </c>
      <c r="G68" s="202">
        <v>13.5</v>
      </c>
      <c r="H68" s="202">
        <f t="shared" si="1"/>
        <v>270</v>
      </c>
      <c r="I68" s="309">
        <v>1</v>
      </c>
      <c r="J68" s="152">
        <v>0.72</v>
      </c>
      <c r="K68" s="154">
        <v>3.3</v>
      </c>
      <c r="L68" s="169">
        <v>0.5</v>
      </c>
      <c r="M68" s="153">
        <f t="shared" si="10"/>
        <v>4.0199999999999996</v>
      </c>
      <c r="N68" s="166">
        <v>0.28999999999999998</v>
      </c>
      <c r="O68" s="167">
        <v>0.1</v>
      </c>
      <c r="P68" s="168">
        <v>0.1</v>
      </c>
      <c r="Q68" s="309">
        <f t="shared" si="6"/>
        <v>20</v>
      </c>
      <c r="R68" s="152">
        <f t="shared" si="7"/>
        <v>14.399999999999999</v>
      </c>
      <c r="S68" s="154">
        <f t="shared" si="8"/>
        <v>66</v>
      </c>
      <c r="T68" s="169">
        <f t="shared" si="9"/>
        <v>10</v>
      </c>
      <c r="U68" s="153">
        <f t="shared" si="11"/>
        <v>80.399999999999991</v>
      </c>
      <c r="V68" s="166">
        <f t="shared" si="3"/>
        <v>5.8</v>
      </c>
      <c r="W68" s="167">
        <f t="shared" si="4"/>
        <v>2</v>
      </c>
      <c r="X68" s="168">
        <f t="shared" si="5"/>
        <v>2</v>
      </c>
      <c r="Y68" s="14"/>
    </row>
    <row r="69" spans="1:25" ht="12.75" customHeight="1">
      <c r="A69" s="67">
        <v>40381</v>
      </c>
      <c r="B69" s="48">
        <v>570</v>
      </c>
      <c r="C69" s="20" t="s">
        <v>244</v>
      </c>
      <c r="D69" s="20" t="s">
        <v>245</v>
      </c>
      <c r="E69" s="26">
        <v>50</v>
      </c>
      <c r="F69" s="28" t="s">
        <v>246</v>
      </c>
      <c r="G69" s="202">
        <v>27</v>
      </c>
      <c r="H69" s="202">
        <f t="shared" si="1"/>
        <v>1350</v>
      </c>
      <c r="I69" s="309">
        <v>1.5</v>
      </c>
      <c r="J69" s="152">
        <v>1.97</v>
      </c>
      <c r="K69" s="204">
        <v>10.5</v>
      </c>
      <c r="L69" s="169">
        <v>1.58</v>
      </c>
      <c r="M69" s="153">
        <f t="shared" si="10"/>
        <v>12.47</v>
      </c>
      <c r="N69" s="166">
        <v>0.21</v>
      </c>
      <c r="O69" s="167">
        <v>0.1</v>
      </c>
      <c r="P69" s="168">
        <v>0.1</v>
      </c>
      <c r="Q69" s="309">
        <f t="shared" si="6"/>
        <v>75</v>
      </c>
      <c r="R69" s="152">
        <f t="shared" si="7"/>
        <v>98.5</v>
      </c>
      <c r="S69" s="154">
        <f t="shared" si="8"/>
        <v>525</v>
      </c>
      <c r="T69" s="169">
        <f t="shared" si="9"/>
        <v>79</v>
      </c>
      <c r="U69" s="153">
        <f t="shared" si="11"/>
        <v>623.5</v>
      </c>
      <c r="V69" s="166">
        <f t="shared" si="3"/>
        <v>10.5</v>
      </c>
      <c r="W69" s="167">
        <f t="shared" si="4"/>
        <v>5</v>
      </c>
      <c r="X69" s="168">
        <f t="shared" si="5"/>
        <v>5</v>
      </c>
      <c r="Y69" s="14"/>
    </row>
    <row r="70" spans="1:25" ht="12.75" customHeight="1">
      <c r="A70" s="67">
        <v>40382</v>
      </c>
      <c r="B70" s="48">
        <v>571</v>
      </c>
      <c r="C70" s="20" t="s">
        <v>209</v>
      </c>
      <c r="D70" s="20" t="s">
        <v>210</v>
      </c>
      <c r="E70" s="26">
        <v>95</v>
      </c>
      <c r="F70" s="28" t="s">
        <v>247</v>
      </c>
      <c r="G70" s="202">
        <v>63.5</v>
      </c>
      <c r="H70" s="202">
        <f t="shared" si="1"/>
        <v>6032.5</v>
      </c>
      <c r="I70" s="309">
        <v>6.5</v>
      </c>
      <c r="J70" s="152">
        <v>9.5500000000000007</v>
      </c>
      <c r="K70" s="154">
        <v>5</v>
      </c>
      <c r="L70" s="169">
        <v>0.75</v>
      </c>
      <c r="M70" s="153">
        <f t="shared" si="10"/>
        <v>14.55</v>
      </c>
      <c r="N70" s="166">
        <v>0.83</v>
      </c>
      <c r="O70" s="167">
        <v>0.1</v>
      </c>
      <c r="P70" s="168">
        <v>0.2</v>
      </c>
      <c r="Q70" s="309">
        <f t="shared" si="6"/>
        <v>617.5</v>
      </c>
      <c r="R70" s="152">
        <f t="shared" si="7"/>
        <v>907.25000000000011</v>
      </c>
      <c r="S70" s="154">
        <f t="shared" si="8"/>
        <v>475</v>
      </c>
      <c r="T70" s="169">
        <f t="shared" si="9"/>
        <v>71.25</v>
      </c>
      <c r="U70" s="179">
        <f t="shared" si="11"/>
        <v>1382.25</v>
      </c>
      <c r="V70" s="166">
        <f t="shared" si="3"/>
        <v>78.849999999999994</v>
      </c>
      <c r="W70" s="167">
        <f t="shared" si="4"/>
        <v>9.5</v>
      </c>
      <c r="X70" s="168">
        <f t="shared" si="5"/>
        <v>19</v>
      </c>
      <c r="Y70" s="14"/>
    </row>
    <row r="71" spans="1:25" ht="12.75" customHeight="1">
      <c r="A71" s="67"/>
      <c r="B71" s="48"/>
      <c r="C71" s="20" t="s">
        <v>209</v>
      </c>
      <c r="D71" s="20" t="s">
        <v>210</v>
      </c>
      <c r="E71" s="26">
        <v>95</v>
      </c>
      <c r="F71" s="28" t="s">
        <v>248</v>
      </c>
      <c r="G71" s="202">
        <v>44.8</v>
      </c>
      <c r="H71" s="202">
        <f t="shared" si="1"/>
        <v>4256</v>
      </c>
      <c r="I71" s="309">
        <v>3.5</v>
      </c>
      <c r="J71" s="152">
        <v>6.23</v>
      </c>
      <c r="K71" s="154">
        <v>5</v>
      </c>
      <c r="L71" s="169">
        <v>0.75</v>
      </c>
      <c r="M71" s="153">
        <f t="shared" si="10"/>
        <v>11.23</v>
      </c>
      <c r="N71" s="166">
        <v>0.33</v>
      </c>
      <c r="O71" s="167">
        <v>0.1</v>
      </c>
      <c r="P71" s="168">
        <v>0.1</v>
      </c>
      <c r="Q71" s="309">
        <f t="shared" si="6"/>
        <v>332.5</v>
      </c>
      <c r="R71" s="152">
        <f t="shared" si="7"/>
        <v>591.85</v>
      </c>
      <c r="S71" s="154">
        <f t="shared" si="8"/>
        <v>475</v>
      </c>
      <c r="T71" s="169">
        <f t="shared" si="9"/>
        <v>71.25</v>
      </c>
      <c r="U71" s="179">
        <f t="shared" si="11"/>
        <v>1066.8500000000001</v>
      </c>
      <c r="V71" s="166">
        <f t="shared" si="3"/>
        <v>31.35</v>
      </c>
      <c r="W71" s="167">
        <f t="shared" si="4"/>
        <v>9.5</v>
      </c>
      <c r="X71" s="168">
        <f t="shared" si="5"/>
        <v>9.5</v>
      </c>
      <c r="Y71" s="14"/>
    </row>
    <row r="72" spans="1:25" ht="12.75" customHeight="1">
      <c r="A72" s="67"/>
      <c r="B72" s="48"/>
      <c r="C72" s="20" t="s">
        <v>209</v>
      </c>
      <c r="D72" s="20" t="s">
        <v>210</v>
      </c>
      <c r="E72" s="26">
        <v>95</v>
      </c>
      <c r="F72" s="28" t="s">
        <v>249</v>
      </c>
      <c r="G72" s="202">
        <v>12.5</v>
      </c>
      <c r="H72" s="202">
        <f t="shared" si="1"/>
        <v>1187.5</v>
      </c>
      <c r="I72" s="309">
        <v>1.5</v>
      </c>
      <c r="J72" s="152">
        <v>2.81</v>
      </c>
      <c r="K72" s="154">
        <v>1.06</v>
      </c>
      <c r="L72" s="169">
        <v>1.06</v>
      </c>
      <c r="M72" s="153">
        <f t="shared" si="10"/>
        <v>3.87</v>
      </c>
      <c r="N72" s="166">
        <v>0.16</v>
      </c>
      <c r="O72" s="167">
        <v>0.1</v>
      </c>
      <c r="P72" s="168">
        <v>0.1</v>
      </c>
      <c r="Q72" s="309">
        <f t="shared" si="6"/>
        <v>142.5</v>
      </c>
      <c r="R72" s="152">
        <f t="shared" si="7"/>
        <v>266.95</v>
      </c>
      <c r="S72" s="154">
        <f t="shared" si="8"/>
        <v>100.7</v>
      </c>
      <c r="T72" s="169">
        <f t="shared" si="9"/>
        <v>100.7</v>
      </c>
      <c r="U72" s="153">
        <f t="shared" ref="U72:U93" si="12">E72*M72</f>
        <v>367.65000000000003</v>
      </c>
      <c r="V72" s="166">
        <f t="shared" si="3"/>
        <v>15.200000000000001</v>
      </c>
      <c r="W72" s="167">
        <f t="shared" si="4"/>
        <v>9.5</v>
      </c>
      <c r="X72" s="168">
        <f t="shared" si="5"/>
        <v>9.5</v>
      </c>
      <c r="Y72" s="14"/>
    </row>
    <row r="73" spans="1:25" ht="12.75" customHeight="1">
      <c r="A73" s="67">
        <v>40385</v>
      </c>
      <c r="B73" s="48">
        <v>572</v>
      </c>
      <c r="C73" s="20"/>
      <c r="D73" s="20" t="s">
        <v>242</v>
      </c>
      <c r="E73" s="26">
        <v>60</v>
      </c>
      <c r="F73" s="28" t="s">
        <v>250</v>
      </c>
      <c r="G73" s="202">
        <v>43.5</v>
      </c>
      <c r="H73" s="202">
        <f t="shared" si="1"/>
        <v>2610</v>
      </c>
      <c r="I73" s="309">
        <v>3.5</v>
      </c>
      <c r="J73" s="178">
        <v>12.45</v>
      </c>
      <c r="K73" s="154">
        <v>3.5</v>
      </c>
      <c r="L73" s="169">
        <v>0.53</v>
      </c>
      <c r="M73" s="153">
        <f t="shared" si="10"/>
        <v>15.95</v>
      </c>
      <c r="N73" s="166">
        <v>0.33</v>
      </c>
      <c r="O73" s="167">
        <v>0.25</v>
      </c>
      <c r="P73" s="168">
        <v>0.1</v>
      </c>
      <c r="Q73" s="309">
        <f t="shared" si="6"/>
        <v>210</v>
      </c>
      <c r="R73" s="152">
        <f t="shared" si="7"/>
        <v>747</v>
      </c>
      <c r="S73" s="154">
        <f t="shared" si="8"/>
        <v>210</v>
      </c>
      <c r="T73" s="169">
        <f t="shared" si="9"/>
        <v>31.8</v>
      </c>
      <c r="U73" s="153">
        <f t="shared" si="12"/>
        <v>957</v>
      </c>
      <c r="V73" s="166">
        <f t="shared" si="3"/>
        <v>19.8</v>
      </c>
      <c r="W73" s="167">
        <f t="shared" si="4"/>
        <v>15</v>
      </c>
      <c r="X73" s="168">
        <f t="shared" si="5"/>
        <v>6</v>
      </c>
      <c r="Y73" s="14"/>
    </row>
    <row r="74" spans="1:25" ht="12.75" customHeight="1">
      <c r="A74" s="67">
        <v>40385</v>
      </c>
      <c r="B74" s="48">
        <v>573</v>
      </c>
      <c r="C74" s="20" t="s">
        <v>251</v>
      </c>
      <c r="D74" s="20"/>
      <c r="E74" s="26">
        <f>56+6</f>
        <v>62</v>
      </c>
      <c r="F74" s="28" t="s">
        <v>252</v>
      </c>
      <c r="G74" s="202">
        <v>90</v>
      </c>
      <c r="H74" s="202">
        <f t="shared" ref="H74:H93" si="13">E74*G74</f>
        <v>5580</v>
      </c>
      <c r="I74" s="309">
        <v>6.5</v>
      </c>
      <c r="J74" s="178">
        <v>19.350000000000001</v>
      </c>
      <c r="K74" s="154">
        <v>3</v>
      </c>
      <c r="L74" s="169">
        <v>0.45</v>
      </c>
      <c r="M74" s="153">
        <f t="shared" si="10"/>
        <v>22.35</v>
      </c>
      <c r="N74" s="166">
        <v>1.67</v>
      </c>
      <c r="O74" s="167">
        <v>0.1</v>
      </c>
      <c r="P74" s="168">
        <v>0.2</v>
      </c>
      <c r="Q74" s="309">
        <f t="shared" ref="Q74:Q93" si="14">E74*I74</f>
        <v>403</v>
      </c>
      <c r="R74" s="178">
        <f t="shared" ref="R74:R93" si="15">E74*J74</f>
        <v>1199.7</v>
      </c>
      <c r="S74" s="154">
        <f t="shared" ref="S74:S93" si="16">E74*K74</f>
        <v>186</v>
      </c>
      <c r="T74" s="169">
        <f t="shared" ref="T74:T93" si="17">E74*L74</f>
        <v>27.900000000000002</v>
      </c>
      <c r="U74" s="179">
        <f t="shared" si="12"/>
        <v>1385.7</v>
      </c>
      <c r="V74" s="166">
        <f t="shared" ref="V74:V93" si="18">N74*E74</f>
        <v>103.53999999999999</v>
      </c>
      <c r="W74" s="167">
        <f t="shared" ref="W74:W93" si="19">O74*E74</f>
        <v>6.2</v>
      </c>
      <c r="X74" s="168">
        <f t="shared" ref="X74:X93" si="20">P74*E74</f>
        <v>12.4</v>
      </c>
      <c r="Y74" s="14"/>
    </row>
    <row r="75" spans="1:25" ht="12.75" customHeight="1">
      <c r="A75" s="67">
        <v>40386</v>
      </c>
      <c r="B75" s="48">
        <v>574</v>
      </c>
      <c r="C75" s="20" t="s">
        <v>253</v>
      </c>
      <c r="D75" s="20" t="s">
        <v>42</v>
      </c>
      <c r="E75" s="26">
        <v>8</v>
      </c>
      <c r="F75" s="28" t="s">
        <v>254</v>
      </c>
      <c r="G75" s="202">
        <v>47</v>
      </c>
      <c r="H75" s="202">
        <f t="shared" si="13"/>
        <v>376</v>
      </c>
      <c r="I75" s="309">
        <v>6.5</v>
      </c>
      <c r="J75" s="178">
        <v>10.58</v>
      </c>
      <c r="K75" s="154">
        <v>1.6</v>
      </c>
      <c r="L75" s="169">
        <v>0.24</v>
      </c>
      <c r="M75" s="153">
        <f t="shared" ref="M75:M93" si="21">J75+K75</f>
        <v>12.18</v>
      </c>
      <c r="N75" s="166">
        <v>0.63</v>
      </c>
      <c r="O75" s="167">
        <v>0.1</v>
      </c>
      <c r="P75" s="168">
        <v>0.1</v>
      </c>
      <c r="Q75" s="309">
        <f t="shared" si="14"/>
        <v>52</v>
      </c>
      <c r="R75" s="152">
        <f t="shared" si="15"/>
        <v>84.64</v>
      </c>
      <c r="S75" s="154">
        <f t="shared" si="16"/>
        <v>12.8</v>
      </c>
      <c r="T75" s="169">
        <f t="shared" si="17"/>
        <v>1.92</v>
      </c>
      <c r="U75" s="153">
        <f t="shared" si="12"/>
        <v>97.44</v>
      </c>
      <c r="V75" s="166">
        <f t="shared" si="18"/>
        <v>5.04</v>
      </c>
      <c r="W75" s="167">
        <f t="shared" si="19"/>
        <v>0.8</v>
      </c>
      <c r="X75" s="168">
        <f t="shared" si="20"/>
        <v>0.8</v>
      </c>
      <c r="Y75" s="14"/>
    </row>
    <row r="76" spans="1:25" ht="12.75" customHeight="1">
      <c r="A76" s="67">
        <v>40387</v>
      </c>
      <c r="B76" s="48">
        <v>575</v>
      </c>
      <c r="C76" s="20" t="s">
        <v>255</v>
      </c>
      <c r="D76" s="20"/>
      <c r="E76" s="26">
        <v>2</v>
      </c>
      <c r="F76" s="28" t="s">
        <v>256</v>
      </c>
      <c r="G76" s="202">
        <v>45</v>
      </c>
      <c r="H76" s="202">
        <f t="shared" si="13"/>
        <v>90</v>
      </c>
      <c r="I76" s="309">
        <v>3.5</v>
      </c>
      <c r="J76" s="152">
        <v>5.57</v>
      </c>
      <c r="K76" s="154">
        <v>0</v>
      </c>
      <c r="L76" s="169">
        <v>0</v>
      </c>
      <c r="M76" s="153">
        <f t="shared" si="21"/>
        <v>5.57</v>
      </c>
      <c r="N76" s="166">
        <v>0.33</v>
      </c>
      <c r="O76" s="167">
        <v>0.1</v>
      </c>
      <c r="P76" s="168">
        <v>0.1</v>
      </c>
      <c r="Q76" s="309">
        <f t="shared" si="14"/>
        <v>7</v>
      </c>
      <c r="R76" s="152">
        <f t="shared" si="15"/>
        <v>11.14</v>
      </c>
      <c r="S76" s="154">
        <f t="shared" si="16"/>
        <v>0</v>
      </c>
      <c r="T76" s="169">
        <f t="shared" si="17"/>
        <v>0</v>
      </c>
      <c r="U76" s="153">
        <f t="shared" si="12"/>
        <v>11.14</v>
      </c>
      <c r="V76" s="166">
        <f t="shared" si="18"/>
        <v>0.66</v>
      </c>
      <c r="W76" s="167">
        <f t="shared" si="19"/>
        <v>0.2</v>
      </c>
      <c r="X76" s="168">
        <f t="shared" si="20"/>
        <v>0.2</v>
      </c>
      <c r="Y76" s="14"/>
    </row>
    <row r="77" spans="1:25" ht="12.75" customHeight="1">
      <c r="A77" s="67"/>
      <c r="B77" s="48"/>
      <c r="C77" s="20" t="s">
        <v>255</v>
      </c>
      <c r="D77" s="20"/>
      <c r="E77" s="26">
        <v>1</v>
      </c>
      <c r="F77" s="28" t="s">
        <v>257</v>
      </c>
      <c r="G77" s="202">
        <v>45</v>
      </c>
      <c r="H77" s="202">
        <f t="shared" si="13"/>
        <v>45</v>
      </c>
      <c r="I77" s="309">
        <v>3.5</v>
      </c>
      <c r="J77" s="152">
        <v>5.57</v>
      </c>
      <c r="K77" s="154">
        <v>0</v>
      </c>
      <c r="L77" s="169">
        <v>0</v>
      </c>
      <c r="M77" s="153">
        <f t="shared" si="21"/>
        <v>5.57</v>
      </c>
      <c r="N77" s="166">
        <v>0.33</v>
      </c>
      <c r="O77" s="167">
        <v>0.1</v>
      </c>
      <c r="P77" s="168">
        <v>0.1</v>
      </c>
      <c r="Q77" s="309">
        <f t="shared" si="14"/>
        <v>3.5</v>
      </c>
      <c r="R77" s="152">
        <f t="shared" si="15"/>
        <v>5.57</v>
      </c>
      <c r="S77" s="154">
        <f t="shared" si="16"/>
        <v>0</v>
      </c>
      <c r="T77" s="169">
        <f t="shared" si="17"/>
        <v>0</v>
      </c>
      <c r="U77" s="153">
        <f t="shared" si="12"/>
        <v>5.57</v>
      </c>
      <c r="V77" s="166">
        <f t="shared" si="18"/>
        <v>0.33</v>
      </c>
      <c r="W77" s="167">
        <f t="shared" si="19"/>
        <v>0.1</v>
      </c>
      <c r="X77" s="168">
        <f t="shared" si="20"/>
        <v>0.1</v>
      </c>
      <c r="Y77" s="14"/>
    </row>
    <row r="78" spans="1:25" ht="12.75" customHeight="1">
      <c r="A78" s="67"/>
      <c r="B78" s="48"/>
      <c r="C78" s="20" t="s">
        <v>255</v>
      </c>
      <c r="D78" s="20"/>
      <c r="E78" s="26">
        <v>1</v>
      </c>
      <c r="F78" s="28" t="s">
        <v>258</v>
      </c>
      <c r="G78" s="202">
        <v>45</v>
      </c>
      <c r="H78" s="202">
        <f t="shared" si="13"/>
        <v>45</v>
      </c>
      <c r="I78" s="309">
        <v>3.5</v>
      </c>
      <c r="J78" s="152">
        <v>5.57</v>
      </c>
      <c r="K78" s="154">
        <v>0</v>
      </c>
      <c r="L78" s="169">
        <v>0</v>
      </c>
      <c r="M78" s="153">
        <f t="shared" si="21"/>
        <v>5.57</v>
      </c>
      <c r="N78" s="166">
        <v>0.33</v>
      </c>
      <c r="O78" s="167">
        <v>0.1</v>
      </c>
      <c r="P78" s="168">
        <v>0.1</v>
      </c>
      <c r="Q78" s="309">
        <f t="shared" si="14"/>
        <v>3.5</v>
      </c>
      <c r="R78" s="152">
        <f t="shared" si="15"/>
        <v>5.57</v>
      </c>
      <c r="S78" s="154">
        <f t="shared" si="16"/>
        <v>0</v>
      </c>
      <c r="T78" s="169">
        <f t="shared" si="17"/>
        <v>0</v>
      </c>
      <c r="U78" s="153">
        <f t="shared" si="12"/>
        <v>5.57</v>
      </c>
      <c r="V78" s="166">
        <f t="shared" si="18"/>
        <v>0.33</v>
      </c>
      <c r="W78" s="167">
        <f t="shared" si="19"/>
        <v>0.1</v>
      </c>
      <c r="X78" s="168">
        <f t="shared" si="20"/>
        <v>0.1</v>
      </c>
      <c r="Y78" s="14"/>
    </row>
    <row r="79" spans="1:25" ht="12.75" customHeight="1">
      <c r="A79" s="67">
        <v>40388</v>
      </c>
      <c r="B79" s="48">
        <v>576</v>
      </c>
      <c r="C79" s="20" t="s">
        <v>259</v>
      </c>
      <c r="D79" s="20" t="s">
        <v>113</v>
      </c>
      <c r="E79" s="26">
        <v>30</v>
      </c>
      <c r="F79" s="28" t="s">
        <v>260</v>
      </c>
      <c r="G79" s="202">
        <v>59.5</v>
      </c>
      <c r="H79" s="202">
        <f t="shared" si="13"/>
        <v>1785</v>
      </c>
      <c r="I79" s="309">
        <v>8</v>
      </c>
      <c r="J79" s="178">
        <v>13.19</v>
      </c>
      <c r="K79" s="154">
        <v>4.4000000000000004</v>
      </c>
      <c r="L79" s="169">
        <v>0.66</v>
      </c>
      <c r="M79" s="153">
        <f t="shared" si="21"/>
        <v>17.59</v>
      </c>
      <c r="N79" s="166">
        <v>1.25</v>
      </c>
      <c r="O79" s="167">
        <v>0.1</v>
      </c>
      <c r="P79" s="168">
        <v>0.1</v>
      </c>
      <c r="Q79" s="309">
        <f t="shared" si="14"/>
        <v>240</v>
      </c>
      <c r="R79" s="152">
        <f t="shared" si="15"/>
        <v>395.7</v>
      </c>
      <c r="S79" s="154">
        <f t="shared" si="16"/>
        <v>132</v>
      </c>
      <c r="T79" s="169">
        <f t="shared" si="17"/>
        <v>19.8</v>
      </c>
      <c r="U79" s="153">
        <f t="shared" si="12"/>
        <v>527.70000000000005</v>
      </c>
      <c r="V79" s="166">
        <f t="shared" si="18"/>
        <v>37.5</v>
      </c>
      <c r="W79" s="167">
        <f t="shared" si="19"/>
        <v>3</v>
      </c>
      <c r="X79" s="168">
        <f t="shared" si="20"/>
        <v>3</v>
      </c>
      <c r="Y79" s="14"/>
    </row>
    <row r="80" spans="1:25" ht="12.75" customHeight="1">
      <c r="A80" s="67"/>
      <c r="B80" s="48"/>
      <c r="C80" s="20" t="s">
        <v>259</v>
      </c>
      <c r="D80" s="20" t="s">
        <v>113</v>
      </c>
      <c r="E80" s="26">
        <v>100</v>
      </c>
      <c r="F80" s="28" t="s">
        <v>261</v>
      </c>
      <c r="G80" s="202">
        <v>45.5</v>
      </c>
      <c r="H80" s="202">
        <f t="shared" si="13"/>
        <v>4550</v>
      </c>
      <c r="I80" s="309">
        <v>5.5</v>
      </c>
      <c r="J80" s="152">
        <v>5.97</v>
      </c>
      <c r="K80" s="154">
        <v>4.5</v>
      </c>
      <c r="L80" s="169">
        <v>0.67</v>
      </c>
      <c r="M80" s="153">
        <f t="shared" si="21"/>
        <v>10.469999999999999</v>
      </c>
      <c r="N80" s="166">
        <v>0.63</v>
      </c>
      <c r="O80" s="167">
        <v>0.1</v>
      </c>
      <c r="P80" s="168">
        <v>0.1</v>
      </c>
      <c r="Q80" s="309">
        <f t="shared" si="14"/>
        <v>550</v>
      </c>
      <c r="R80" s="152">
        <f t="shared" si="15"/>
        <v>597</v>
      </c>
      <c r="S80" s="154">
        <f t="shared" si="16"/>
        <v>450</v>
      </c>
      <c r="T80" s="169">
        <f t="shared" si="17"/>
        <v>67</v>
      </c>
      <c r="U80" s="179">
        <f t="shared" si="12"/>
        <v>1047</v>
      </c>
      <c r="V80" s="166">
        <f t="shared" si="18"/>
        <v>63</v>
      </c>
      <c r="W80" s="167">
        <f t="shared" si="19"/>
        <v>10</v>
      </c>
      <c r="X80" s="168">
        <f t="shared" si="20"/>
        <v>10</v>
      </c>
      <c r="Y80" s="14"/>
    </row>
    <row r="81" spans="1:25" ht="12.75" customHeight="1">
      <c r="A81" s="67"/>
      <c r="B81" s="48"/>
      <c r="C81" s="20" t="s">
        <v>259</v>
      </c>
      <c r="D81" s="20" t="s">
        <v>113</v>
      </c>
      <c r="E81" s="26">
        <v>30</v>
      </c>
      <c r="F81" s="28" t="s">
        <v>262</v>
      </c>
      <c r="G81" s="202">
        <v>100</v>
      </c>
      <c r="H81" s="202">
        <f t="shared" si="13"/>
        <v>3000</v>
      </c>
      <c r="I81" s="309">
        <v>8</v>
      </c>
      <c r="J81" s="178">
        <v>13.19</v>
      </c>
      <c r="K81" s="154">
        <v>4.4000000000000004</v>
      </c>
      <c r="L81" s="169">
        <v>0.66</v>
      </c>
      <c r="M81" s="153">
        <f t="shared" si="21"/>
        <v>17.59</v>
      </c>
      <c r="N81" s="166">
        <v>1.25</v>
      </c>
      <c r="O81" s="167">
        <v>0.1</v>
      </c>
      <c r="P81" s="168">
        <v>0.1</v>
      </c>
      <c r="Q81" s="309">
        <f t="shared" si="14"/>
        <v>240</v>
      </c>
      <c r="R81" s="152">
        <f t="shared" si="15"/>
        <v>395.7</v>
      </c>
      <c r="S81" s="154">
        <f t="shared" si="16"/>
        <v>132</v>
      </c>
      <c r="T81" s="169">
        <f t="shared" si="17"/>
        <v>19.8</v>
      </c>
      <c r="U81" s="153">
        <f t="shared" si="12"/>
        <v>527.70000000000005</v>
      </c>
      <c r="V81" s="166">
        <f t="shared" si="18"/>
        <v>37.5</v>
      </c>
      <c r="W81" s="167">
        <f t="shared" si="19"/>
        <v>3</v>
      </c>
      <c r="X81" s="168">
        <f t="shared" si="20"/>
        <v>3</v>
      </c>
      <c r="Y81" s="14"/>
    </row>
    <row r="82" spans="1:25" ht="12.75" customHeight="1">
      <c r="A82" s="67"/>
      <c r="B82" s="48"/>
      <c r="C82" s="20" t="s">
        <v>259</v>
      </c>
      <c r="D82" s="20" t="s">
        <v>113</v>
      </c>
      <c r="E82" s="26">
        <v>500</v>
      </c>
      <c r="F82" s="28" t="s">
        <v>263</v>
      </c>
      <c r="G82" s="202">
        <v>12.5</v>
      </c>
      <c r="H82" s="202">
        <f t="shared" si="13"/>
        <v>6250</v>
      </c>
      <c r="I82" s="309">
        <v>1</v>
      </c>
      <c r="J82" s="152">
        <v>1.82</v>
      </c>
      <c r="K82" s="154">
        <v>1.4</v>
      </c>
      <c r="L82" s="169">
        <v>0.21</v>
      </c>
      <c r="M82" s="153">
        <f t="shared" si="21"/>
        <v>3.2199999999999998</v>
      </c>
      <c r="N82" s="166">
        <v>0.28999999999999998</v>
      </c>
      <c r="O82" s="167">
        <v>0.1</v>
      </c>
      <c r="P82" s="168">
        <v>0.1</v>
      </c>
      <c r="Q82" s="309">
        <f t="shared" si="14"/>
        <v>500</v>
      </c>
      <c r="R82" s="152">
        <f t="shared" si="15"/>
        <v>910</v>
      </c>
      <c r="S82" s="154">
        <f t="shared" si="16"/>
        <v>700</v>
      </c>
      <c r="T82" s="169">
        <f t="shared" si="17"/>
        <v>105</v>
      </c>
      <c r="U82" s="179">
        <f t="shared" si="12"/>
        <v>1609.9999999999998</v>
      </c>
      <c r="V82" s="166">
        <f t="shared" si="18"/>
        <v>145</v>
      </c>
      <c r="W82" s="167">
        <f t="shared" si="19"/>
        <v>50</v>
      </c>
      <c r="X82" s="168">
        <f t="shared" si="20"/>
        <v>50</v>
      </c>
      <c r="Y82" s="14"/>
    </row>
    <row r="83" spans="1:25" ht="12.75" customHeight="1">
      <c r="A83" s="67"/>
      <c r="B83" s="48"/>
      <c r="C83" s="20" t="s">
        <v>259</v>
      </c>
      <c r="D83" s="20" t="s">
        <v>113</v>
      </c>
      <c r="E83" s="26">
        <v>900</v>
      </c>
      <c r="F83" s="28" t="s">
        <v>264</v>
      </c>
      <c r="G83" s="202">
        <v>3.45</v>
      </c>
      <c r="H83" s="202">
        <f t="shared" si="13"/>
        <v>3105</v>
      </c>
      <c r="I83" s="309">
        <v>0.25</v>
      </c>
      <c r="J83" s="152">
        <v>0.2</v>
      </c>
      <c r="K83" s="154">
        <v>0.9</v>
      </c>
      <c r="L83" s="169">
        <v>0.14000000000000001</v>
      </c>
      <c r="M83" s="153">
        <f t="shared" si="21"/>
        <v>1.1000000000000001</v>
      </c>
      <c r="N83" s="166">
        <v>0</v>
      </c>
      <c r="O83" s="167">
        <v>0.03</v>
      </c>
      <c r="P83" s="168">
        <v>0.03</v>
      </c>
      <c r="Q83" s="309">
        <f t="shared" si="14"/>
        <v>225</v>
      </c>
      <c r="R83" s="152">
        <f t="shared" si="15"/>
        <v>180</v>
      </c>
      <c r="S83" s="154">
        <f t="shared" si="16"/>
        <v>810</v>
      </c>
      <c r="T83" s="169">
        <f t="shared" si="17"/>
        <v>126.00000000000001</v>
      </c>
      <c r="U83" s="153">
        <f t="shared" si="12"/>
        <v>990.00000000000011</v>
      </c>
      <c r="V83" s="166">
        <f t="shared" si="18"/>
        <v>0</v>
      </c>
      <c r="W83" s="167">
        <f t="shared" si="19"/>
        <v>27</v>
      </c>
      <c r="X83" s="168">
        <f t="shared" si="20"/>
        <v>27</v>
      </c>
      <c r="Y83" s="14"/>
    </row>
    <row r="84" spans="1:25" ht="12.75" customHeight="1">
      <c r="A84" s="67">
        <v>40389</v>
      </c>
      <c r="B84" s="48">
        <v>577</v>
      </c>
      <c r="C84" s="20" t="s">
        <v>265</v>
      </c>
      <c r="D84" s="20" t="s">
        <v>266</v>
      </c>
      <c r="E84" s="26">
        <f>33+5</f>
        <v>38</v>
      </c>
      <c r="F84" s="28" t="s">
        <v>267</v>
      </c>
      <c r="G84" s="202">
        <v>34</v>
      </c>
      <c r="H84" s="202">
        <f t="shared" si="13"/>
        <v>1292</v>
      </c>
      <c r="I84" s="309">
        <v>3.5</v>
      </c>
      <c r="J84" s="152">
        <v>4.24</v>
      </c>
      <c r="K84" s="154">
        <v>1</v>
      </c>
      <c r="L84" s="169">
        <v>0.15</v>
      </c>
      <c r="M84" s="153">
        <f t="shared" si="21"/>
        <v>5.24</v>
      </c>
      <c r="N84" s="166">
        <v>0.33</v>
      </c>
      <c r="O84" s="167">
        <v>0.1</v>
      </c>
      <c r="P84" s="168">
        <v>0.1</v>
      </c>
      <c r="Q84" s="309">
        <f t="shared" si="14"/>
        <v>133</v>
      </c>
      <c r="R84" s="152">
        <f t="shared" si="15"/>
        <v>161.12</v>
      </c>
      <c r="S84" s="154">
        <f t="shared" si="16"/>
        <v>38</v>
      </c>
      <c r="T84" s="169">
        <f t="shared" si="17"/>
        <v>5.7</v>
      </c>
      <c r="U84" s="153">
        <f t="shared" si="12"/>
        <v>199.12</v>
      </c>
      <c r="V84" s="166">
        <f t="shared" si="18"/>
        <v>12.540000000000001</v>
      </c>
      <c r="W84" s="167">
        <f t="shared" si="19"/>
        <v>3.8000000000000003</v>
      </c>
      <c r="X84" s="168">
        <f t="shared" si="20"/>
        <v>3.8000000000000003</v>
      </c>
      <c r="Y84" s="14"/>
    </row>
    <row r="85" spans="1:25" ht="12.75" customHeight="1">
      <c r="A85" s="67"/>
      <c r="B85" s="48"/>
      <c r="C85" s="20" t="s">
        <v>265</v>
      </c>
      <c r="D85" s="20" t="s">
        <v>266</v>
      </c>
      <c r="E85" s="26">
        <f>56+5</f>
        <v>61</v>
      </c>
      <c r="F85" s="28" t="s">
        <v>268</v>
      </c>
      <c r="G85" s="202">
        <v>30</v>
      </c>
      <c r="H85" s="202">
        <f t="shared" si="13"/>
        <v>1830</v>
      </c>
      <c r="I85" s="309">
        <v>3.5</v>
      </c>
      <c r="J85" s="152">
        <v>4.24</v>
      </c>
      <c r="K85" s="154">
        <v>1</v>
      </c>
      <c r="L85" s="169">
        <v>0.15</v>
      </c>
      <c r="M85" s="153">
        <f>J85+K85</f>
        <v>5.24</v>
      </c>
      <c r="N85" s="166">
        <v>0.33</v>
      </c>
      <c r="O85" s="167">
        <v>0.1</v>
      </c>
      <c r="P85" s="168">
        <v>0.1</v>
      </c>
      <c r="Q85" s="309">
        <f t="shared" si="14"/>
        <v>213.5</v>
      </c>
      <c r="R85" s="152">
        <f t="shared" si="15"/>
        <v>258.64</v>
      </c>
      <c r="S85" s="154">
        <f t="shared" si="16"/>
        <v>61</v>
      </c>
      <c r="T85" s="169">
        <f t="shared" si="17"/>
        <v>9.15</v>
      </c>
      <c r="U85" s="153">
        <f t="shared" si="12"/>
        <v>319.64</v>
      </c>
      <c r="V85" s="166">
        <f t="shared" si="18"/>
        <v>20.130000000000003</v>
      </c>
      <c r="W85" s="167">
        <f t="shared" si="19"/>
        <v>6.1000000000000005</v>
      </c>
      <c r="X85" s="168">
        <f t="shared" si="20"/>
        <v>6.1000000000000005</v>
      </c>
      <c r="Y85" s="14"/>
    </row>
    <row r="86" spans="1:25" ht="12.75" customHeight="1">
      <c r="A86" s="67">
        <v>40389</v>
      </c>
      <c r="B86" s="48">
        <v>578</v>
      </c>
      <c r="C86" s="20" t="s">
        <v>269</v>
      </c>
      <c r="D86" s="20" t="s">
        <v>135</v>
      </c>
      <c r="E86" s="26">
        <v>4</v>
      </c>
      <c r="F86" s="28" t="s">
        <v>270</v>
      </c>
      <c r="G86" s="202">
        <v>150</v>
      </c>
      <c r="H86" s="202">
        <f t="shared" si="13"/>
        <v>600</v>
      </c>
      <c r="I86" s="309">
        <v>0</v>
      </c>
      <c r="J86" s="152">
        <v>0</v>
      </c>
      <c r="K86" s="154">
        <v>0</v>
      </c>
      <c r="L86" s="169">
        <v>0</v>
      </c>
      <c r="M86" s="153">
        <f>J86+K86</f>
        <v>0</v>
      </c>
      <c r="N86" s="166">
        <v>0</v>
      </c>
      <c r="O86" s="167">
        <v>0</v>
      </c>
      <c r="P86" s="168">
        <v>0</v>
      </c>
      <c r="Q86" s="309">
        <f t="shared" si="14"/>
        <v>0</v>
      </c>
      <c r="R86" s="152">
        <f t="shared" si="15"/>
        <v>0</v>
      </c>
      <c r="S86" s="154">
        <f t="shared" si="16"/>
        <v>0</v>
      </c>
      <c r="T86" s="169">
        <f t="shared" si="17"/>
        <v>0</v>
      </c>
      <c r="U86" s="153">
        <f t="shared" si="12"/>
        <v>0</v>
      </c>
      <c r="V86" s="166">
        <f t="shared" si="18"/>
        <v>0</v>
      </c>
      <c r="W86" s="167">
        <f t="shared" si="19"/>
        <v>0</v>
      </c>
      <c r="X86" s="168">
        <f t="shared" si="20"/>
        <v>0</v>
      </c>
      <c r="Y86" s="14"/>
    </row>
    <row r="87" spans="1:25" ht="12.75" customHeight="1">
      <c r="A87" s="67"/>
      <c r="B87" s="48"/>
      <c r="C87" s="20" t="s">
        <v>269</v>
      </c>
      <c r="D87" s="20" t="s">
        <v>135</v>
      </c>
      <c r="E87" s="26">
        <v>4</v>
      </c>
      <c r="F87" s="28" t="s">
        <v>271</v>
      </c>
      <c r="G87" s="202">
        <v>42.5</v>
      </c>
      <c r="H87" s="202">
        <f t="shared" si="13"/>
        <v>170</v>
      </c>
      <c r="I87" s="309">
        <v>3.5</v>
      </c>
      <c r="J87" s="152">
        <v>4.24</v>
      </c>
      <c r="K87" s="154">
        <v>1</v>
      </c>
      <c r="L87" s="169">
        <v>0.15</v>
      </c>
      <c r="M87" s="153">
        <f>J87+K87</f>
        <v>5.24</v>
      </c>
      <c r="N87" s="166">
        <v>0.33</v>
      </c>
      <c r="O87" s="167">
        <v>0.1</v>
      </c>
      <c r="P87" s="168">
        <v>0.1</v>
      </c>
      <c r="Q87" s="309">
        <f t="shared" si="14"/>
        <v>14</v>
      </c>
      <c r="R87" s="152">
        <f t="shared" si="15"/>
        <v>16.96</v>
      </c>
      <c r="S87" s="154">
        <f t="shared" si="16"/>
        <v>4</v>
      </c>
      <c r="T87" s="169">
        <f t="shared" si="17"/>
        <v>0.6</v>
      </c>
      <c r="U87" s="153">
        <f t="shared" si="12"/>
        <v>20.96</v>
      </c>
      <c r="V87" s="166">
        <f t="shared" si="18"/>
        <v>1.32</v>
      </c>
      <c r="W87" s="167">
        <f t="shared" si="19"/>
        <v>0.4</v>
      </c>
      <c r="X87" s="168">
        <f t="shared" si="20"/>
        <v>0.4</v>
      </c>
      <c r="Y87" s="14"/>
    </row>
    <row r="88" spans="1:25" ht="12.75" customHeight="1">
      <c r="A88" s="67"/>
      <c r="B88" s="48"/>
      <c r="C88" s="20" t="s">
        <v>269</v>
      </c>
      <c r="D88" s="20" t="s">
        <v>135</v>
      </c>
      <c r="E88" s="26">
        <v>4</v>
      </c>
      <c r="F88" s="28" t="s">
        <v>272</v>
      </c>
      <c r="G88" s="202">
        <v>46.5</v>
      </c>
      <c r="H88" s="202">
        <f t="shared" si="13"/>
        <v>186</v>
      </c>
      <c r="I88" s="309">
        <v>3.5</v>
      </c>
      <c r="J88" s="152">
        <v>4.24</v>
      </c>
      <c r="K88" s="154">
        <v>1</v>
      </c>
      <c r="L88" s="169">
        <v>0.15</v>
      </c>
      <c r="M88" s="153">
        <f>J88+K88</f>
        <v>5.24</v>
      </c>
      <c r="N88" s="166">
        <v>0.33</v>
      </c>
      <c r="O88" s="167">
        <v>0.1</v>
      </c>
      <c r="P88" s="168">
        <v>0.1</v>
      </c>
      <c r="Q88" s="309">
        <f t="shared" si="14"/>
        <v>14</v>
      </c>
      <c r="R88" s="152">
        <f t="shared" si="15"/>
        <v>16.96</v>
      </c>
      <c r="S88" s="154">
        <f t="shared" si="16"/>
        <v>4</v>
      </c>
      <c r="T88" s="169">
        <f t="shared" si="17"/>
        <v>0.6</v>
      </c>
      <c r="U88" s="153">
        <f t="shared" si="12"/>
        <v>20.96</v>
      </c>
      <c r="V88" s="166">
        <f t="shared" si="18"/>
        <v>1.32</v>
      </c>
      <c r="W88" s="167">
        <f t="shared" si="19"/>
        <v>0.4</v>
      </c>
      <c r="X88" s="168">
        <f t="shared" si="20"/>
        <v>0.4</v>
      </c>
      <c r="Y88" s="14"/>
    </row>
    <row r="89" spans="1:25" ht="12.75" customHeight="1">
      <c r="A89" s="67"/>
      <c r="B89" s="48"/>
      <c r="C89" s="20" t="s">
        <v>269</v>
      </c>
      <c r="D89" s="20" t="s">
        <v>135</v>
      </c>
      <c r="E89" s="26">
        <v>3</v>
      </c>
      <c r="F89" s="28" t="s">
        <v>273</v>
      </c>
      <c r="G89" s="202">
        <v>150</v>
      </c>
      <c r="H89" s="202">
        <f t="shared" si="13"/>
        <v>450</v>
      </c>
      <c r="I89" s="309">
        <v>8.5</v>
      </c>
      <c r="J89" s="178">
        <v>43.9</v>
      </c>
      <c r="K89" s="154">
        <v>2</v>
      </c>
      <c r="L89" s="169">
        <v>0.3</v>
      </c>
      <c r="M89" s="153">
        <f t="shared" si="21"/>
        <v>45.9</v>
      </c>
      <c r="N89" s="166">
        <v>1.67</v>
      </c>
      <c r="O89" s="167">
        <v>0.1</v>
      </c>
      <c r="P89" s="168">
        <v>0.1</v>
      </c>
      <c r="Q89" s="309">
        <f t="shared" si="14"/>
        <v>25.5</v>
      </c>
      <c r="R89" s="152">
        <f t="shared" si="15"/>
        <v>131.69999999999999</v>
      </c>
      <c r="S89" s="154">
        <f t="shared" si="16"/>
        <v>6</v>
      </c>
      <c r="T89" s="169">
        <f t="shared" si="17"/>
        <v>0.89999999999999991</v>
      </c>
      <c r="U89" s="153">
        <f t="shared" si="12"/>
        <v>137.69999999999999</v>
      </c>
      <c r="V89" s="166">
        <f t="shared" si="18"/>
        <v>5.01</v>
      </c>
      <c r="W89" s="167">
        <f t="shared" si="19"/>
        <v>0.30000000000000004</v>
      </c>
      <c r="X89" s="168">
        <f t="shared" si="20"/>
        <v>0.30000000000000004</v>
      </c>
      <c r="Y89" s="14"/>
    </row>
    <row r="90" spans="1:25" ht="12.75" customHeight="1">
      <c r="A90" s="67">
        <v>40389</v>
      </c>
      <c r="B90" s="48">
        <v>579</v>
      </c>
      <c r="C90" s="20" t="s">
        <v>269</v>
      </c>
      <c r="D90" s="20" t="s">
        <v>135</v>
      </c>
      <c r="E90" s="26">
        <v>13</v>
      </c>
      <c r="F90" s="28" t="s">
        <v>274</v>
      </c>
      <c r="G90" s="202">
        <v>150</v>
      </c>
      <c r="H90" s="202">
        <f t="shared" si="13"/>
        <v>1950</v>
      </c>
      <c r="I90" s="309">
        <v>8.5</v>
      </c>
      <c r="J90" s="178">
        <v>43.9</v>
      </c>
      <c r="K90" s="154">
        <v>2</v>
      </c>
      <c r="L90" s="169">
        <v>0.3</v>
      </c>
      <c r="M90" s="153">
        <f>J90+K90</f>
        <v>45.9</v>
      </c>
      <c r="N90" s="166">
        <v>1.67</v>
      </c>
      <c r="O90" s="167">
        <v>0.1</v>
      </c>
      <c r="P90" s="168">
        <v>0.1</v>
      </c>
      <c r="Q90" s="309">
        <f t="shared" si="14"/>
        <v>110.5</v>
      </c>
      <c r="R90" s="152">
        <f t="shared" si="15"/>
        <v>570.69999999999993</v>
      </c>
      <c r="S90" s="154">
        <f t="shared" si="16"/>
        <v>26</v>
      </c>
      <c r="T90" s="169">
        <f t="shared" si="17"/>
        <v>3.9</v>
      </c>
      <c r="U90" s="153">
        <f t="shared" si="12"/>
        <v>596.69999999999993</v>
      </c>
      <c r="V90" s="166">
        <f t="shared" si="18"/>
        <v>21.71</v>
      </c>
      <c r="W90" s="167">
        <f t="shared" si="19"/>
        <v>1.3</v>
      </c>
      <c r="X90" s="168">
        <f t="shared" si="20"/>
        <v>1.3</v>
      </c>
      <c r="Y90" s="14"/>
    </row>
    <row r="91" spans="1:25" ht="12.75" customHeight="1">
      <c r="A91" s="67"/>
      <c r="B91" s="48"/>
      <c r="C91" s="20" t="s">
        <v>269</v>
      </c>
      <c r="D91" s="20" t="s">
        <v>135</v>
      </c>
      <c r="E91" s="26">
        <v>4</v>
      </c>
      <c r="F91" s="28" t="s">
        <v>275</v>
      </c>
      <c r="G91" s="202">
        <v>150</v>
      </c>
      <c r="H91" s="202">
        <f t="shared" si="13"/>
        <v>600</v>
      </c>
      <c r="I91" s="309">
        <v>8.5</v>
      </c>
      <c r="J91" s="178">
        <v>43.9</v>
      </c>
      <c r="K91" s="154">
        <v>2</v>
      </c>
      <c r="L91" s="169">
        <v>0.3</v>
      </c>
      <c r="M91" s="153">
        <f>J91+K91</f>
        <v>45.9</v>
      </c>
      <c r="N91" s="166">
        <v>1.67</v>
      </c>
      <c r="O91" s="167">
        <v>0.1</v>
      </c>
      <c r="P91" s="168">
        <v>0.1</v>
      </c>
      <c r="Q91" s="309">
        <f t="shared" si="14"/>
        <v>34</v>
      </c>
      <c r="R91" s="152">
        <f t="shared" si="15"/>
        <v>175.6</v>
      </c>
      <c r="S91" s="154">
        <f t="shared" si="16"/>
        <v>8</v>
      </c>
      <c r="T91" s="169">
        <f t="shared" si="17"/>
        <v>1.2</v>
      </c>
      <c r="U91" s="153">
        <f t="shared" si="12"/>
        <v>183.6</v>
      </c>
      <c r="V91" s="166">
        <f t="shared" si="18"/>
        <v>6.68</v>
      </c>
      <c r="W91" s="167">
        <f t="shared" si="19"/>
        <v>0.4</v>
      </c>
      <c r="X91" s="168">
        <f t="shared" si="20"/>
        <v>0.4</v>
      </c>
      <c r="Y91" s="14"/>
    </row>
    <row r="92" spans="1:25" ht="12.75" customHeight="1">
      <c r="A92" s="67"/>
      <c r="B92" s="48"/>
      <c r="C92" s="20" t="s">
        <v>269</v>
      </c>
      <c r="D92" s="20" t="s">
        <v>135</v>
      </c>
      <c r="E92" s="26">
        <v>1</v>
      </c>
      <c r="F92" s="28" t="s">
        <v>276</v>
      </c>
      <c r="G92" s="202">
        <v>70</v>
      </c>
      <c r="H92" s="202">
        <f t="shared" si="13"/>
        <v>70</v>
      </c>
      <c r="I92" s="309">
        <v>5.5</v>
      </c>
      <c r="J92" s="178">
        <v>33.58</v>
      </c>
      <c r="K92" s="154">
        <v>2</v>
      </c>
      <c r="L92" s="169">
        <v>0.3</v>
      </c>
      <c r="M92" s="153">
        <f t="shared" si="21"/>
        <v>35.58</v>
      </c>
      <c r="N92" s="166">
        <v>0.63</v>
      </c>
      <c r="O92" s="167">
        <v>0.1</v>
      </c>
      <c r="P92" s="168">
        <v>0.1</v>
      </c>
      <c r="Q92" s="309">
        <f t="shared" si="14"/>
        <v>5.5</v>
      </c>
      <c r="R92" s="152">
        <f t="shared" si="15"/>
        <v>33.58</v>
      </c>
      <c r="S92" s="154">
        <f t="shared" si="16"/>
        <v>2</v>
      </c>
      <c r="T92" s="169">
        <f t="shared" si="17"/>
        <v>0.3</v>
      </c>
      <c r="U92" s="153">
        <f t="shared" si="12"/>
        <v>35.58</v>
      </c>
      <c r="V92" s="166">
        <f t="shared" si="18"/>
        <v>0.63</v>
      </c>
      <c r="W92" s="167">
        <f t="shared" si="19"/>
        <v>0.1</v>
      </c>
      <c r="X92" s="168">
        <f t="shared" si="20"/>
        <v>0.1</v>
      </c>
      <c r="Y92" s="14"/>
    </row>
    <row r="93" spans="1:25" ht="12.75" customHeight="1" thickBot="1">
      <c r="A93" s="141">
        <v>40389</v>
      </c>
      <c r="B93" s="117">
        <v>580</v>
      </c>
      <c r="C93" s="107" t="s">
        <v>277</v>
      </c>
      <c r="D93" s="107"/>
      <c r="E93" s="142">
        <v>6</v>
      </c>
      <c r="F93" s="108" t="s">
        <v>278</v>
      </c>
      <c r="G93" s="203">
        <v>40</v>
      </c>
      <c r="H93" s="203">
        <f t="shared" si="13"/>
        <v>240</v>
      </c>
      <c r="I93" s="310">
        <v>3.5</v>
      </c>
      <c r="J93" s="205">
        <v>17.07</v>
      </c>
      <c r="K93" s="171">
        <v>0</v>
      </c>
      <c r="L93" s="172">
        <v>0</v>
      </c>
      <c r="M93" s="173">
        <f t="shared" si="21"/>
        <v>17.07</v>
      </c>
      <c r="N93" s="174">
        <v>0.33</v>
      </c>
      <c r="O93" s="175">
        <v>0.1</v>
      </c>
      <c r="P93" s="176">
        <v>0.1</v>
      </c>
      <c r="Q93" s="310">
        <f t="shared" si="14"/>
        <v>21</v>
      </c>
      <c r="R93" s="170">
        <f t="shared" si="15"/>
        <v>102.42</v>
      </c>
      <c r="S93" s="171">
        <f t="shared" si="16"/>
        <v>0</v>
      </c>
      <c r="T93" s="172">
        <f t="shared" si="17"/>
        <v>0</v>
      </c>
      <c r="U93" s="173">
        <f t="shared" si="12"/>
        <v>102.42</v>
      </c>
      <c r="V93" s="174">
        <f t="shared" si="18"/>
        <v>1.98</v>
      </c>
      <c r="W93" s="175">
        <f t="shared" si="19"/>
        <v>0.60000000000000009</v>
      </c>
      <c r="X93" s="176">
        <f t="shared" si="20"/>
        <v>0.60000000000000009</v>
      </c>
      <c r="Y93" s="109"/>
    </row>
    <row r="94" spans="1:25" ht="16.5" thickBot="1">
      <c r="A94" s="126"/>
      <c r="B94" s="126"/>
      <c r="C94" s="126"/>
      <c r="D94" s="126"/>
      <c r="E94" s="126"/>
      <c r="F94" s="127" t="s">
        <v>812</v>
      </c>
      <c r="G94" s="128"/>
      <c r="H94" s="366">
        <f>SUM(H8:H93)</f>
        <v>150167.70000000001</v>
      </c>
      <c r="I94" s="367"/>
      <c r="J94" s="129" t="s">
        <v>36</v>
      </c>
      <c r="K94" s="130"/>
      <c r="L94" s="131"/>
      <c r="M94" s="132">
        <f>SUM(M8:M93)</f>
        <v>1101.82</v>
      </c>
      <c r="N94" s="133"/>
      <c r="O94" s="134"/>
      <c r="P94" s="135"/>
      <c r="Q94" s="315">
        <f t="shared" ref="Q94:X94" si="22">SUM(Q8:Q93)</f>
        <v>13373</v>
      </c>
      <c r="R94" s="136">
        <f t="shared" si="22"/>
        <v>30995.35</v>
      </c>
      <c r="S94" s="137">
        <f t="shared" si="22"/>
        <v>9810.7999999999993</v>
      </c>
      <c r="T94" s="138">
        <f t="shared" si="22"/>
        <v>1637.8000000000004</v>
      </c>
      <c r="U94" s="139">
        <f t="shared" si="22"/>
        <v>40806.14999999998</v>
      </c>
      <c r="V94" s="316">
        <f t="shared" si="22"/>
        <v>1680.9999999999998</v>
      </c>
      <c r="W94" s="134">
        <f t="shared" si="22"/>
        <v>586.29999999999995</v>
      </c>
      <c r="X94" s="140">
        <f t="shared" si="22"/>
        <v>553.29999999999995</v>
      </c>
      <c r="Y94" s="126" t="s">
        <v>36</v>
      </c>
    </row>
    <row r="95" spans="1:25" ht="16.5" thickBot="1">
      <c r="A95" s="32"/>
      <c r="B95" s="32"/>
      <c r="C95" s="32"/>
      <c r="D95" s="32"/>
      <c r="E95" s="32"/>
      <c r="F95" s="127" t="s">
        <v>812</v>
      </c>
      <c r="G95" s="72"/>
      <c r="H95" s="364">
        <f>H94/7.06</f>
        <v>21270.212464589236</v>
      </c>
      <c r="I95" s="365"/>
      <c r="J95" s="78" t="s">
        <v>407</v>
      </c>
      <c r="K95" s="79"/>
      <c r="L95" s="80"/>
      <c r="M95" s="81">
        <f>M94/7.06</f>
        <v>156.06515580736544</v>
      </c>
      <c r="N95" s="73"/>
      <c r="O95" s="74"/>
      <c r="P95" s="77"/>
      <c r="Q95" s="313">
        <f t="shared" ref="Q95:X95" si="23">Q94/7.06</f>
        <v>1894.1926345609065</v>
      </c>
      <c r="R95" s="82">
        <f t="shared" si="23"/>
        <v>4390.2762039660056</v>
      </c>
      <c r="S95" s="79">
        <f t="shared" si="23"/>
        <v>1389.6317280453256</v>
      </c>
      <c r="T95" s="80">
        <f t="shared" si="23"/>
        <v>231.98300283286127</v>
      </c>
      <c r="U95" s="81">
        <f t="shared" si="23"/>
        <v>5779.9079320113287</v>
      </c>
      <c r="V95" s="73">
        <f t="shared" si="23"/>
        <v>238.10198300283284</v>
      </c>
      <c r="W95" s="88">
        <f t="shared" si="23"/>
        <v>83.04532577903683</v>
      </c>
      <c r="X95" s="89">
        <f t="shared" si="23"/>
        <v>78.371104815864015</v>
      </c>
      <c r="Y95" s="32" t="s">
        <v>407</v>
      </c>
    </row>
  </sheetData>
  <autoFilter ref="A7:Y95">
    <filterColumn colId="7"/>
    <filterColumn colId="11"/>
    <filterColumn colId="13"/>
    <filterColumn colId="14"/>
    <filterColumn colId="15"/>
    <filterColumn colId="19"/>
    <filterColumn colId="21"/>
    <filterColumn colId="22"/>
    <filterColumn colId="23"/>
  </autoFilter>
  <mergeCells count="3">
    <mergeCell ref="H94:I94"/>
    <mergeCell ref="H95:I95"/>
    <mergeCell ref="G3:K4"/>
  </mergeCells>
  <phoneticPr fontId="1" type="noConversion"/>
  <pageMargins left="0.19685039370078741" right="0.19685039370078741" top="0.39370078740157483" bottom="0.39370078740157483" header="0" footer="0"/>
  <pageSetup paperSize="5" scale="80" orientation="landscape" horizontalDpi="4294967294" verticalDpi="300" r:id="rId1"/>
  <headerFooter alignWithMargins="0"/>
  <drawing r:id="rId2"/>
</worksheet>
</file>

<file path=xl/worksheets/sheet8.xml><?xml version="1.0" encoding="utf-8"?>
<worksheet xmlns="http://schemas.openxmlformats.org/spreadsheetml/2006/main" xmlns:r="http://schemas.openxmlformats.org/officeDocument/2006/relationships">
  <sheetPr codeName="Hoja8">
    <tabColor rgb="FF500000"/>
  </sheetPr>
  <dimension ref="A1:Y105"/>
  <sheetViews>
    <sheetView topLeftCell="G1" workbookViewId="0">
      <pane ySplit="7" topLeftCell="A88" activePane="bottomLeft" state="frozen"/>
      <selection pane="bottomLeft" activeCell="W104" sqref="W104"/>
    </sheetView>
  </sheetViews>
  <sheetFormatPr baseColWidth="10" defaultRowHeight="12.75"/>
  <cols>
    <col min="1" max="1" width="8" customWidth="1"/>
    <col min="2" max="2" width="5.140625" customWidth="1"/>
    <col min="3" max="3" width="14.28515625" customWidth="1"/>
    <col min="4" max="4" width="16.42578125" customWidth="1"/>
    <col min="5" max="5" width="4.42578125" customWidth="1"/>
    <col min="6" max="6" width="42.7109375" style="68" customWidth="1"/>
    <col min="7" max="7" width="5.7109375" customWidth="1"/>
    <col min="8" max="8" width="7.5703125" customWidth="1"/>
    <col min="9" max="9" width="5.5703125" customWidth="1"/>
    <col min="10" max="10" width="6.85546875" customWidth="1"/>
    <col min="11" max="11" width="5.85546875" customWidth="1"/>
    <col min="12" max="12" width="6" customWidth="1"/>
    <col min="13" max="13" width="8" customWidth="1"/>
    <col min="14" max="16" width="5.5703125" customWidth="1"/>
    <col min="17" max="21" width="8.42578125" customWidth="1"/>
    <col min="22" max="22" width="6.7109375" customWidth="1"/>
    <col min="23" max="23" width="6.42578125" customWidth="1"/>
    <col min="24" max="24" width="6.85546875" customWidth="1"/>
    <col min="25" max="25" width="6.5703125" customWidth="1"/>
    <col min="26" max="26" width="13.42578125" customWidth="1"/>
  </cols>
  <sheetData>
    <row r="1" spans="1:25" ht="12" customHeight="1">
      <c r="A1" s="261" t="s">
        <v>12</v>
      </c>
      <c r="B1" s="3"/>
      <c r="C1" s="3"/>
      <c r="N1" s="5"/>
    </row>
    <row r="2" spans="1:25" ht="12" customHeight="1">
      <c r="A2" s="261" t="s">
        <v>13</v>
      </c>
      <c r="B2" s="3"/>
      <c r="C2" s="3"/>
      <c r="D2" s="2"/>
      <c r="N2" s="5"/>
      <c r="P2" s="4"/>
      <c r="Q2" s="4"/>
      <c r="R2" s="4"/>
      <c r="S2" s="4"/>
    </row>
    <row r="3" spans="1:25" ht="12" customHeight="1">
      <c r="A3" s="261" t="s">
        <v>14</v>
      </c>
      <c r="B3" s="3"/>
      <c r="C3" s="3"/>
      <c r="D3" s="2"/>
      <c r="E3" s="260"/>
      <c r="F3" s="260"/>
      <c r="G3" s="369" t="s">
        <v>146</v>
      </c>
      <c r="H3" s="369"/>
      <c r="I3" s="369"/>
      <c r="J3" s="369"/>
      <c r="K3" s="369"/>
      <c r="L3" s="260"/>
      <c r="M3" s="260"/>
      <c r="N3" s="5"/>
      <c r="P3" s="4"/>
      <c r="Q3" s="4"/>
      <c r="R3" s="4"/>
      <c r="S3" s="4"/>
    </row>
    <row r="4" spans="1:25" ht="12" customHeight="1">
      <c r="A4" s="261" t="s">
        <v>34</v>
      </c>
      <c r="B4" s="3"/>
      <c r="C4" s="3"/>
      <c r="D4" s="2" t="s">
        <v>16</v>
      </c>
      <c r="E4" s="260"/>
      <c r="F4" s="260"/>
      <c r="G4" s="369"/>
      <c r="H4" s="369"/>
      <c r="I4" s="369"/>
      <c r="J4" s="369"/>
      <c r="K4" s="369"/>
      <c r="L4" s="260"/>
      <c r="M4" s="260"/>
      <c r="N4" s="5"/>
      <c r="P4" s="4"/>
      <c r="Q4" s="4"/>
      <c r="R4" s="4"/>
      <c r="S4" s="4"/>
    </row>
    <row r="5" spans="1:25" ht="12" customHeight="1">
      <c r="A5" s="261" t="s">
        <v>15</v>
      </c>
      <c r="B5" s="3"/>
      <c r="C5" s="3"/>
      <c r="D5" s="2"/>
      <c r="E5" s="6"/>
      <c r="F5" s="69"/>
      <c r="G5" s="6"/>
      <c r="H5" s="6"/>
      <c r="I5" s="6"/>
      <c r="N5" s="5"/>
      <c r="P5" s="4"/>
      <c r="Q5" s="4"/>
      <c r="R5" s="4"/>
      <c r="S5" s="4"/>
    </row>
    <row r="6" spans="1:25" ht="24.75" customHeight="1" thickBot="1">
      <c r="A6" s="255" t="s">
        <v>1746</v>
      </c>
      <c r="D6" s="1"/>
      <c r="N6" s="5"/>
    </row>
    <row r="7" spans="1:25" s="13" customFormat="1" ht="26.25" customHeight="1" thickBot="1">
      <c r="A7" s="9" t="s">
        <v>0</v>
      </c>
      <c r="B7" s="10" t="s">
        <v>1</v>
      </c>
      <c r="C7" s="9" t="s">
        <v>19</v>
      </c>
      <c r="D7" s="11" t="s">
        <v>18</v>
      </c>
      <c r="E7" s="12" t="s">
        <v>9</v>
      </c>
      <c r="F7" s="9" t="s">
        <v>2</v>
      </c>
      <c r="G7" s="8" t="s">
        <v>20</v>
      </c>
      <c r="H7" s="8" t="s">
        <v>405</v>
      </c>
      <c r="I7" s="305" t="s">
        <v>3</v>
      </c>
      <c r="J7" s="31" t="s">
        <v>10</v>
      </c>
      <c r="K7" s="61" t="s">
        <v>11</v>
      </c>
      <c r="L7" s="62" t="s">
        <v>29</v>
      </c>
      <c r="M7" s="16" t="s">
        <v>6</v>
      </c>
      <c r="N7" s="63" t="s">
        <v>147</v>
      </c>
      <c r="O7" s="64" t="s">
        <v>148</v>
      </c>
      <c r="P7" s="65" t="s">
        <v>149</v>
      </c>
      <c r="Q7" s="311" t="s">
        <v>8</v>
      </c>
      <c r="R7" s="31" t="s">
        <v>4</v>
      </c>
      <c r="S7" s="61" t="s">
        <v>5</v>
      </c>
      <c r="T7" s="62" t="s">
        <v>31</v>
      </c>
      <c r="U7" s="9" t="s">
        <v>7</v>
      </c>
      <c r="V7" s="63" t="s">
        <v>150</v>
      </c>
      <c r="W7" s="64" t="s">
        <v>151</v>
      </c>
      <c r="X7" s="65" t="s">
        <v>152</v>
      </c>
      <c r="Y7" s="9" t="s">
        <v>22</v>
      </c>
    </row>
    <row r="8" spans="1:25" s="7" customFormat="1" ht="13.5" customHeight="1">
      <c r="A8" s="90">
        <v>40392</v>
      </c>
      <c r="B8" s="91">
        <v>581</v>
      </c>
      <c r="C8" s="92" t="s">
        <v>279</v>
      </c>
      <c r="D8" s="92" t="s">
        <v>280</v>
      </c>
      <c r="E8" s="41">
        <v>23</v>
      </c>
      <c r="F8" s="93" t="s">
        <v>281</v>
      </c>
      <c r="G8" s="94">
        <v>42.5</v>
      </c>
      <c r="H8" s="94">
        <f>E8*G8</f>
        <v>977.5</v>
      </c>
      <c r="I8" s="308">
        <v>3.5</v>
      </c>
      <c r="J8" s="162">
        <v>10.3</v>
      </c>
      <c r="K8" s="163">
        <v>1.3</v>
      </c>
      <c r="L8" s="164">
        <v>0.2</v>
      </c>
      <c r="M8" s="158">
        <f>J8+K8</f>
        <v>11.600000000000001</v>
      </c>
      <c r="N8" s="159">
        <v>0.33</v>
      </c>
      <c r="O8" s="160">
        <v>0.1</v>
      </c>
      <c r="P8" s="161">
        <v>0.1</v>
      </c>
      <c r="Q8" s="308">
        <f>E8*I8</f>
        <v>80.5</v>
      </c>
      <c r="R8" s="162">
        <f>E8*J8</f>
        <v>236.9</v>
      </c>
      <c r="S8" s="163">
        <f>E8*K8</f>
        <v>29.900000000000002</v>
      </c>
      <c r="T8" s="164">
        <f>E8*L8</f>
        <v>4.6000000000000005</v>
      </c>
      <c r="U8" s="158">
        <f>E8*M8</f>
        <v>266.8</v>
      </c>
      <c r="V8" s="159">
        <f>N8*E8</f>
        <v>7.5900000000000007</v>
      </c>
      <c r="W8" s="160">
        <f>O8*E8</f>
        <v>2.3000000000000003</v>
      </c>
      <c r="X8" s="161">
        <f>P8*E8</f>
        <v>2.3000000000000003</v>
      </c>
      <c r="Y8" s="17"/>
    </row>
    <row r="9" spans="1:25" s="7" customFormat="1" ht="13.5" customHeight="1">
      <c r="A9" s="67"/>
      <c r="B9" s="86"/>
      <c r="C9" s="20" t="s">
        <v>279</v>
      </c>
      <c r="D9" s="20" t="s">
        <v>280</v>
      </c>
      <c r="E9" s="26">
        <v>2</v>
      </c>
      <c r="F9" s="70" t="s">
        <v>282</v>
      </c>
      <c r="G9" s="37">
        <v>42.5</v>
      </c>
      <c r="H9" s="37">
        <f>E9*G9</f>
        <v>85</v>
      </c>
      <c r="I9" s="309">
        <v>3.5</v>
      </c>
      <c r="J9" s="152">
        <v>15.47</v>
      </c>
      <c r="K9" s="154">
        <v>1.3</v>
      </c>
      <c r="L9" s="169">
        <v>0.2</v>
      </c>
      <c r="M9" s="165">
        <f>J9+K9</f>
        <v>16.77</v>
      </c>
      <c r="N9" s="166">
        <v>0.33</v>
      </c>
      <c r="O9" s="167">
        <v>0.1</v>
      </c>
      <c r="P9" s="168">
        <v>1</v>
      </c>
      <c r="Q9" s="309">
        <f>E9*I9</f>
        <v>7</v>
      </c>
      <c r="R9" s="152">
        <f>E9*J9</f>
        <v>30.94</v>
      </c>
      <c r="S9" s="154">
        <f>E9*K9</f>
        <v>2.6</v>
      </c>
      <c r="T9" s="169">
        <f>E9*L9</f>
        <v>0.4</v>
      </c>
      <c r="U9" s="165">
        <f t="shared" ref="U9:U71" si="0">E9*M9</f>
        <v>33.54</v>
      </c>
      <c r="V9" s="166">
        <f>N9*E9</f>
        <v>0.66</v>
      </c>
      <c r="W9" s="167">
        <f>O9*E9</f>
        <v>0.2</v>
      </c>
      <c r="X9" s="168">
        <f>P9*E9</f>
        <v>2</v>
      </c>
      <c r="Y9" s="15"/>
    </row>
    <row r="10" spans="1:25" s="7" customFormat="1" ht="13.5" customHeight="1">
      <c r="A10" s="67"/>
      <c r="B10" s="86"/>
      <c r="C10" s="20" t="s">
        <v>279</v>
      </c>
      <c r="D10" s="20" t="s">
        <v>280</v>
      </c>
      <c r="E10" s="26">
        <v>23</v>
      </c>
      <c r="F10" s="70" t="s">
        <v>283</v>
      </c>
      <c r="G10" s="37">
        <v>42.5</v>
      </c>
      <c r="H10" s="37">
        <f t="shared" ref="H10:H73" si="1">E10*G10</f>
        <v>977.5</v>
      </c>
      <c r="I10" s="309">
        <v>3.5</v>
      </c>
      <c r="J10" s="152">
        <v>10.3</v>
      </c>
      <c r="K10" s="154">
        <v>1.3</v>
      </c>
      <c r="L10" s="169">
        <v>0.2</v>
      </c>
      <c r="M10" s="165">
        <f t="shared" ref="M10:M73" si="2">J10+K10</f>
        <v>11.600000000000001</v>
      </c>
      <c r="N10" s="166">
        <v>0.33</v>
      </c>
      <c r="O10" s="167">
        <v>0.1</v>
      </c>
      <c r="P10" s="168">
        <v>0.1</v>
      </c>
      <c r="Q10" s="309">
        <f>E10*I10</f>
        <v>80.5</v>
      </c>
      <c r="R10" s="152">
        <f>E10*J10</f>
        <v>236.9</v>
      </c>
      <c r="S10" s="154">
        <f>E10*K10</f>
        <v>29.900000000000002</v>
      </c>
      <c r="T10" s="169">
        <f>E10*L10</f>
        <v>4.6000000000000005</v>
      </c>
      <c r="U10" s="153">
        <f t="shared" si="0"/>
        <v>266.8</v>
      </c>
      <c r="V10" s="166">
        <f t="shared" ref="V10:V73" si="3">N10*E10</f>
        <v>7.5900000000000007</v>
      </c>
      <c r="W10" s="167">
        <f t="shared" ref="W10:W73" si="4">O10*E10</f>
        <v>2.3000000000000003</v>
      </c>
      <c r="X10" s="168">
        <f t="shared" ref="X10:X73" si="5">P10*E10</f>
        <v>2.3000000000000003</v>
      </c>
      <c r="Y10" s="14"/>
    </row>
    <row r="11" spans="1:25" s="7" customFormat="1" ht="13.5" customHeight="1">
      <c r="A11" s="67"/>
      <c r="B11" s="86"/>
      <c r="C11" s="20" t="s">
        <v>279</v>
      </c>
      <c r="D11" s="20" t="s">
        <v>280</v>
      </c>
      <c r="E11" s="26">
        <v>2</v>
      </c>
      <c r="F11" s="70" t="s">
        <v>284</v>
      </c>
      <c r="G11" s="37">
        <v>42.5</v>
      </c>
      <c r="H11" s="37">
        <f t="shared" si="1"/>
        <v>85</v>
      </c>
      <c r="I11" s="309">
        <v>3.5</v>
      </c>
      <c r="J11" s="152">
        <v>15.47</v>
      </c>
      <c r="K11" s="154">
        <v>1.3</v>
      </c>
      <c r="L11" s="169">
        <v>0.2</v>
      </c>
      <c r="M11" s="165">
        <f t="shared" si="2"/>
        <v>16.77</v>
      </c>
      <c r="N11" s="166">
        <v>0.33</v>
      </c>
      <c r="O11" s="167">
        <v>0.1</v>
      </c>
      <c r="P11" s="168">
        <v>0.1</v>
      </c>
      <c r="Q11" s="309">
        <f t="shared" ref="Q11:Q74" si="6">E11*I11</f>
        <v>7</v>
      </c>
      <c r="R11" s="152">
        <f t="shared" ref="R11:R74" si="7">E11*J11</f>
        <v>30.94</v>
      </c>
      <c r="S11" s="154">
        <f t="shared" ref="S11:S74" si="8">E11*K11</f>
        <v>2.6</v>
      </c>
      <c r="T11" s="169">
        <f t="shared" ref="T11:T74" si="9">E11*L11</f>
        <v>0.4</v>
      </c>
      <c r="U11" s="153">
        <f t="shared" si="0"/>
        <v>33.54</v>
      </c>
      <c r="V11" s="166">
        <f t="shared" si="3"/>
        <v>0.66</v>
      </c>
      <c r="W11" s="167">
        <f t="shared" si="4"/>
        <v>0.2</v>
      </c>
      <c r="X11" s="168">
        <f t="shared" si="5"/>
        <v>0.2</v>
      </c>
      <c r="Y11" s="14"/>
    </row>
    <row r="12" spans="1:25" s="7" customFormat="1" ht="13.5" customHeight="1">
      <c r="A12" s="67">
        <v>40392</v>
      </c>
      <c r="B12" s="86">
        <v>582</v>
      </c>
      <c r="C12" s="20" t="s">
        <v>285</v>
      </c>
      <c r="D12" s="20" t="s">
        <v>286</v>
      </c>
      <c r="E12" s="26">
        <v>600</v>
      </c>
      <c r="F12" s="70" t="s">
        <v>287</v>
      </c>
      <c r="G12" s="37">
        <v>12.5</v>
      </c>
      <c r="H12" s="37">
        <f t="shared" si="1"/>
        <v>7500</v>
      </c>
      <c r="I12" s="309">
        <v>1</v>
      </c>
      <c r="J12" s="152">
        <v>1.97</v>
      </c>
      <c r="K12" s="154">
        <v>1.4</v>
      </c>
      <c r="L12" s="169">
        <v>0.21</v>
      </c>
      <c r="M12" s="165">
        <f t="shared" si="2"/>
        <v>3.37</v>
      </c>
      <c r="N12" s="166">
        <v>0.28999999999999998</v>
      </c>
      <c r="O12" s="167">
        <v>0.1</v>
      </c>
      <c r="P12" s="168">
        <v>0.1</v>
      </c>
      <c r="Q12" s="309">
        <f t="shared" si="6"/>
        <v>600</v>
      </c>
      <c r="R12" s="178">
        <f t="shared" si="7"/>
        <v>1182</v>
      </c>
      <c r="S12" s="154">
        <f t="shared" si="8"/>
        <v>840</v>
      </c>
      <c r="T12" s="169">
        <f t="shared" si="9"/>
        <v>126</v>
      </c>
      <c r="U12" s="179">
        <f t="shared" si="0"/>
        <v>2022</v>
      </c>
      <c r="V12" s="166">
        <f t="shared" si="3"/>
        <v>174</v>
      </c>
      <c r="W12" s="167">
        <f t="shared" si="4"/>
        <v>60</v>
      </c>
      <c r="X12" s="168">
        <f t="shared" si="5"/>
        <v>60</v>
      </c>
      <c r="Y12" s="14"/>
    </row>
    <row r="13" spans="1:25" s="7" customFormat="1" ht="13.5" customHeight="1">
      <c r="A13" s="67">
        <v>40392</v>
      </c>
      <c r="B13" s="86">
        <v>583</v>
      </c>
      <c r="C13" s="20" t="s">
        <v>288</v>
      </c>
      <c r="D13" s="20" t="s">
        <v>289</v>
      </c>
      <c r="E13" s="26">
        <v>6</v>
      </c>
      <c r="F13" s="70" t="s">
        <v>290</v>
      </c>
      <c r="G13" s="37">
        <v>55</v>
      </c>
      <c r="H13" s="37">
        <f t="shared" si="1"/>
        <v>330</v>
      </c>
      <c r="I13" s="309">
        <v>1.5</v>
      </c>
      <c r="J13" s="152">
        <v>29.45</v>
      </c>
      <c r="K13" s="154">
        <v>0.8</v>
      </c>
      <c r="L13" s="169">
        <v>0.12</v>
      </c>
      <c r="M13" s="165">
        <f t="shared" si="2"/>
        <v>30.25</v>
      </c>
      <c r="N13" s="166">
        <v>0.21</v>
      </c>
      <c r="O13" s="167">
        <v>0.1</v>
      </c>
      <c r="P13" s="168">
        <v>0.1</v>
      </c>
      <c r="Q13" s="309">
        <f t="shared" si="6"/>
        <v>9</v>
      </c>
      <c r="R13" s="152">
        <f t="shared" si="7"/>
        <v>176.7</v>
      </c>
      <c r="S13" s="154">
        <f t="shared" si="8"/>
        <v>4.8000000000000007</v>
      </c>
      <c r="T13" s="169">
        <f t="shared" si="9"/>
        <v>0.72</v>
      </c>
      <c r="U13" s="153">
        <f t="shared" si="0"/>
        <v>181.5</v>
      </c>
      <c r="V13" s="166">
        <f t="shared" si="3"/>
        <v>1.26</v>
      </c>
      <c r="W13" s="167">
        <f t="shared" si="4"/>
        <v>0.60000000000000009</v>
      </c>
      <c r="X13" s="168">
        <f t="shared" si="5"/>
        <v>0.60000000000000009</v>
      </c>
      <c r="Y13" s="14"/>
    </row>
    <row r="14" spans="1:25" s="7" customFormat="1" ht="13.5" customHeight="1">
      <c r="A14" s="67"/>
      <c r="B14" s="86"/>
      <c r="C14" s="20" t="s">
        <v>288</v>
      </c>
      <c r="D14" s="20" t="s">
        <v>289</v>
      </c>
      <c r="E14" s="26">
        <v>6</v>
      </c>
      <c r="F14" s="70" t="s">
        <v>291</v>
      </c>
      <c r="G14" s="37">
        <v>55</v>
      </c>
      <c r="H14" s="37">
        <f t="shared" si="1"/>
        <v>330</v>
      </c>
      <c r="I14" s="309">
        <v>1.5</v>
      </c>
      <c r="J14" s="152">
        <v>29.95</v>
      </c>
      <c r="K14" s="154">
        <v>0.8</v>
      </c>
      <c r="L14" s="169">
        <v>0.12</v>
      </c>
      <c r="M14" s="165">
        <f t="shared" si="2"/>
        <v>30.75</v>
      </c>
      <c r="N14" s="166">
        <v>0.21</v>
      </c>
      <c r="O14" s="167">
        <v>0.1</v>
      </c>
      <c r="P14" s="168">
        <v>0.1</v>
      </c>
      <c r="Q14" s="309">
        <f t="shared" si="6"/>
        <v>9</v>
      </c>
      <c r="R14" s="152">
        <f t="shared" si="7"/>
        <v>179.7</v>
      </c>
      <c r="S14" s="154">
        <f t="shared" si="8"/>
        <v>4.8000000000000007</v>
      </c>
      <c r="T14" s="169">
        <f t="shared" si="9"/>
        <v>0.72</v>
      </c>
      <c r="U14" s="153">
        <f t="shared" si="0"/>
        <v>184.5</v>
      </c>
      <c r="V14" s="166">
        <f t="shared" si="3"/>
        <v>1.26</v>
      </c>
      <c r="W14" s="167">
        <f t="shared" si="4"/>
        <v>0.60000000000000009</v>
      </c>
      <c r="X14" s="168">
        <f t="shared" si="5"/>
        <v>0.60000000000000009</v>
      </c>
      <c r="Y14" s="14"/>
    </row>
    <row r="15" spans="1:25" s="7" customFormat="1" ht="13.5" customHeight="1">
      <c r="A15" s="67"/>
      <c r="B15" s="86"/>
      <c r="C15" s="20" t="s">
        <v>288</v>
      </c>
      <c r="D15" s="20" t="s">
        <v>289</v>
      </c>
      <c r="E15" s="26">
        <v>6</v>
      </c>
      <c r="F15" s="70" t="s">
        <v>292</v>
      </c>
      <c r="G15" s="37">
        <v>34</v>
      </c>
      <c r="H15" s="37">
        <f t="shared" si="1"/>
        <v>204</v>
      </c>
      <c r="I15" s="309">
        <v>3.5</v>
      </c>
      <c r="J15" s="152">
        <v>1.81</v>
      </c>
      <c r="K15" s="154">
        <v>0.8</v>
      </c>
      <c r="L15" s="169">
        <v>0.12</v>
      </c>
      <c r="M15" s="165">
        <f t="shared" si="2"/>
        <v>2.6100000000000003</v>
      </c>
      <c r="N15" s="166">
        <v>0.33</v>
      </c>
      <c r="O15" s="167">
        <v>0.25</v>
      </c>
      <c r="P15" s="168">
        <v>0.1</v>
      </c>
      <c r="Q15" s="309">
        <f t="shared" si="6"/>
        <v>21</v>
      </c>
      <c r="R15" s="152">
        <f t="shared" si="7"/>
        <v>10.86</v>
      </c>
      <c r="S15" s="154">
        <f t="shared" si="8"/>
        <v>4.8000000000000007</v>
      </c>
      <c r="T15" s="169">
        <f t="shared" si="9"/>
        <v>0.72</v>
      </c>
      <c r="U15" s="153">
        <f t="shared" si="0"/>
        <v>15.660000000000002</v>
      </c>
      <c r="V15" s="166">
        <f t="shared" si="3"/>
        <v>1.98</v>
      </c>
      <c r="W15" s="167">
        <f t="shared" si="4"/>
        <v>1.5</v>
      </c>
      <c r="X15" s="168">
        <f t="shared" si="5"/>
        <v>0.60000000000000009</v>
      </c>
      <c r="Y15" s="14"/>
    </row>
    <row r="16" spans="1:25" s="7" customFormat="1" ht="13.5" customHeight="1">
      <c r="A16" s="67"/>
      <c r="B16" s="86"/>
      <c r="C16" s="20" t="s">
        <v>288</v>
      </c>
      <c r="D16" s="20" t="s">
        <v>289</v>
      </c>
      <c r="E16" s="26">
        <v>6</v>
      </c>
      <c r="F16" s="70" t="s">
        <v>293</v>
      </c>
      <c r="G16" s="37">
        <v>34</v>
      </c>
      <c r="H16" s="37">
        <f t="shared" si="1"/>
        <v>204</v>
      </c>
      <c r="I16" s="309">
        <v>3.5</v>
      </c>
      <c r="J16" s="152">
        <v>1.81</v>
      </c>
      <c r="K16" s="154">
        <v>0.8</v>
      </c>
      <c r="L16" s="169">
        <v>0.12</v>
      </c>
      <c r="M16" s="165">
        <f t="shared" si="2"/>
        <v>2.6100000000000003</v>
      </c>
      <c r="N16" s="166">
        <v>0.33</v>
      </c>
      <c r="O16" s="167">
        <v>0.25</v>
      </c>
      <c r="P16" s="168">
        <v>0.1</v>
      </c>
      <c r="Q16" s="309">
        <f t="shared" si="6"/>
        <v>21</v>
      </c>
      <c r="R16" s="152">
        <f t="shared" si="7"/>
        <v>10.86</v>
      </c>
      <c r="S16" s="154">
        <f t="shared" si="8"/>
        <v>4.8000000000000007</v>
      </c>
      <c r="T16" s="169">
        <f t="shared" si="9"/>
        <v>0.72</v>
      </c>
      <c r="U16" s="153">
        <f t="shared" si="0"/>
        <v>15.660000000000002</v>
      </c>
      <c r="V16" s="166">
        <f t="shared" si="3"/>
        <v>1.98</v>
      </c>
      <c r="W16" s="167">
        <f t="shared" si="4"/>
        <v>1.5</v>
      </c>
      <c r="X16" s="168">
        <f t="shared" si="5"/>
        <v>0.60000000000000009</v>
      </c>
      <c r="Y16" s="14"/>
    </row>
    <row r="17" spans="1:25" s="7" customFormat="1" ht="13.5" customHeight="1">
      <c r="A17" s="67"/>
      <c r="B17" s="86"/>
      <c r="C17" s="20" t="s">
        <v>288</v>
      </c>
      <c r="D17" s="20" t="s">
        <v>289</v>
      </c>
      <c r="E17" s="26">
        <v>12</v>
      </c>
      <c r="F17" s="70" t="s">
        <v>294</v>
      </c>
      <c r="G17" s="37">
        <v>12.5</v>
      </c>
      <c r="H17" s="37">
        <f t="shared" si="1"/>
        <v>150</v>
      </c>
      <c r="I17" s="309">
        <v>1</v>
      </c>
      <c r="J17" s="152">
        <v>2.66</v>
      </c>
      <c r="K17" s="154">
        <v>0.8</v>
      </c>
      <c r="L17" s="169">
        <v>0.12</v>
      </c>
      <c r="M17" s="165">
        <f t="shared" si="2"/>
        <v>3.46</v>
      </c>
      <c r="N17" s="166">
        <v>0.28999999999999998</v>
      </c>
      <c r="O17" s="167">
        <v>0.1</v>
      </c>
      <c r="P17" s="168">
        <v>0.1</v>
      </c>
      <c r="Q17" s="309">
        <f t="shared" si="6"/>
        <v>12</v>
      </c>
      <c r="R17" s="152">
        <f t="shared" si="7"/>
        <v>31.92</v>
      </c>
      <c r="S17" s="154">
        <f t="shared" si="8"/>
        <v>9.6000000000000014</v>
      </c>
      <c r="T17" s="169">
        <f t="shared" si="9"/>
        <v>1.44</v>
      </c>
      <c r="U17" s="153">
        <f t="shared" si="0"/>
        <v>41.519999999999996</v>
      </c>
      <c r="V17" s="166">
        <f t="shared" si="3"/>
        <v>3.4799999999999995</v>
      </c>
      <c r="W17" s="167">
        <f t="shared" si="4"/>
        <v>1.2000000000000002</v>
      </c>
      <c r="X17" s="168">
        <f t="shared" si="5"/>
        <v>1.2000000000000002</v>
      </c>
      <c r="Y17" s="14"/>
    </row>
    <row r="18" spans="1:25" s="7" customFormat="1" ht="13.5" customHeight="1">
      <c r="A18" s="67">
        <v>40394</v>
      </c>
      <c r="B18" s="86">
        <v>584</v>
      </c>
      <c r="C18" s="20" t="s">
        <v>157</v>
      </c>
      <c r="D18" s="20" t="s">
        <v>158</v>
      </c>
      <c r="E18" s="26">
        <v>60</v>
      </c>
      <c r="F18" s="70" t="s">
        <v>295</v>
      </c>
      <c r="G18" s="37">
        <v>35</v>
      </c>
      <c r="H18" s="37">
        <f t="shared" si="1"/>
        <v>2100</v>
      </c>
      <c r="I18" s="309">
        <v>3.5</v>
      </c>
      <c r="J18" s="152">
        <v>4.79</v>
      </c>
      <c r="K18" s="154">
        <v>1.25</v>
      </c>
      <c r="L18" s="169">
        <v>0.19</v>
      </c>
      <c r="M18" s="165">
        <f t="shared" si="2"/>
        <v>6.04</v>
      </c>
      <c r="N18" s="166">
        <v>0.33</v>
      </c>
      <c r="O18" s="167">
        <v>0.2</v>
      </c>
      <c r="P18" s="168">
        <v>0.1</v>
      </c>
      <c r="Q18" s="309">
        <f t="shared" si="6"/>
        <v>210</v>
      </c>
      <c r="R18" s="152">
        <f t="shared" si="7"/>
        <v>287.39999999999998</v>
      </c>
      <c r="S18" s="154">
        <f t="shared" si="8"/>
        <v>75</v>
      </c>
      <c r="T18" s="169">
        <f t="shared" si="9"/>
        <v>11.4</v>
      </c>
      <c r="U18" s="153">
        <f t="shared" si="0"/>
        <v>362.4</v>
      </c>
      <c r="V18" s="166">
        <f t="shared" si="3"/>
        <v>19.8</v>
      </c>
      <c r="W18" s="167">
        <f t="shared" si="4"/>
        <v>12</v>
      </c>
      <c r="X18" s="168">
        <f t="shared" si="5"/>
        <v>6</v>
      </c>
      <c r="Y18" s="14"/>
    </row>
    <row r="19" spans="1:25" s="7" customFormat="1" ht="13.5" customHeight="1">
      <c r="A19" s="67"/>
      <c r="B19" s="86"/>
      <c r="C19" s="20" t="s">
        <v>157</v>
      </c>
      <c r="D19" s="20" t="s">
        <v>158</v>
      </c>
      <c r="E19" s="26">
        <v>60</v>
      </c>
      <c r="F19" s="70" t="s">
        <v>296</v>
      </c>
      <c r="G19" s="37">
        <v>36</v>
      </c>
      <c r="H19" s="37">
        <f t="shared" si="1"/>
        <v>2160</v>
      </c>
      <c r="I19" s="309">
        <v>6.5</v>
      </c>
      <c r="J19" s="152">
        <v>8.84</v>
      </c>
      <c r="K19" s="154">
        <v>0.8</v>
      </c>
      <c r="L19" s="169">
        <v>0.12</v>
      </c>
      <c r="M19" s="165">
        <f t="shared" si="2"/>
        <v>9.64</v>
      </c>
      <c r="N19" s="166">
        <v>0.57999999999999996</v>
      </c>
      <c r="O19" s="167">
        <v>0.15</v>
      </c>
      <c r="P19" s="168">
        <v>0.2</v>
      </c>
      <c r="Q19" s="309">
        <f t="shared" si="6"/>
        <v>390</v>
      </c>
      <c r="R19" s="152">
        <f t="shared" si="7"/>
        <v>530.4</v>
      </c>
      <c r="S19" s="154">
        <f t="shared" si="8"/>
        <v>48</v>
      </c>
      <c r="T19" s="169">
        <f t="shared" si="9"/>
        <v>7.1999999999999993</v>
      </c>
      <c r="U19" s="153">
        <f t="shared" si="0"/>
        <v>578.40000000000009</v>
      </c>
      <c r="V19" s="166">
        <f t="shared" si="3"/>
        <v>34.799999999999997</v>
      </c>
      <c r="W19" s="167">
        <f t="shared" si="4"/>
        <v>9</v>
      </c>
      <c r="X19" s="168">
        <f t="shared" si="5"/>
        <v>12</v>
      </c>
      <c r="Y19" s="14"/>
    </row>
    <row r="20" spans="1:25" s="7" customFormat="1" ht="13.5" customHeight="1">
      <c r="A20" s="95"/>
      <c r="B20" s="86"/>
      <c r="C20" s="20" t="s">
        <v>157</v>
      </c>
      <c r="D20" s="20" t="s">
        <v>158</v>
      </c>
      <c r="E20" s="26">
        <v>45</v>
      </c>
      <c r="F20" s="70" t="s">
        <v>297</v>
      </c>
      <c r="G20" s="37">
        <v>35</v>
      </c>
      <c r="H20" s="37">
        <f t="shared" si="1"/>
        <v>1575</v>
      </c>
      <c r="I20" s="309">
        <v>3.5</v>
      </c>
      <c r="J20" s="152">
        <v>5.31</v>
      </c>
      <c r="K20" s="154">
        <v>0.8</v>
      </c>
      <c r="L20" s="169">
        <v>0.12</v>
      </c>
      <c r="M20" s="165">
        <f t="shared" si="2"/>
        <v>6.1099999999999994</v>
      </c>
      <c r="N20" s="166">
        <v>0.33</v>
      </c>
      <c r="O20" s="167">
        <v>0.2</v>
      </c>
      <c r="P20" s="168">
        <v>0.1</v>
      </c>
      <c r="Q20" s="309">
        <f t="shared" si="6"/>
        <v>157.5</v>
      </c>
      <c r="R20" s="152">
        <f t="shared" si="7"/>
        <v>238.95</v>
      </c>
      <c r="S20" s="154">
        <f t="shared" si="8"/>
        <v>36</v>
      </c>
      <c r="T20" s="169">
        <f t="shared" si="9"/>
        <v>5.3999999999999995</v>
      </c>
      <c r="U20" s="153">
        <f t="shared" si="0"/>
        <v>274.95</v>
      </c>
      <c r="V20" s="166">
        <f t="shared" si="3"/>
        <v>14.850000000000001</v>
      </c>
      <c r="W20" s="167">
        <f t="shared" si="4"/>
        <v>9</v>
      </c>
      <c r="X20" s="168">
        <f t="shared" si="5"/>
        <v>4.5</v>
      </c>
      <c r="Y20" s="14"/>
    </row>
    <row r="21" spans="1:25" s="7" customFormat="1" ht="13.5" customHeight="1">
      <c r="A21" s="95"/>
      <c r="B21" s="86"/>
      <c r="C21" s="20" t="s">
        <v>157</v>
      </c>
      <c r="D21" s="20" t="s">
        <v>158</v>
      </c>
      <c r="E21" s="26">
        <v>45</v>
      </c>
      <c r="F21" s="70" t="s">
        <v>298</v>
      </c>
      <c r="G21" s="28">
        <v>36</v>
      </c>
      <c r="H21" s="37">
        <f t="shared" si="1"/>
        <v>1620</v>
      </c>
      <c r="I21" s="309">
        <v>6.5</v>
      </c>
      <c r="J21" s="152">
        <v>8.32</v>
      </c>
      <c r="K21" s="154">
        <v>1.25</v>
      </c>
      <c r="L21" s="169">
        <v>0.19</v>
      </c>
      <c r="M21" s="165">
        <f t="shared" si="2"/>
        <v>9.57</v>
      </c>
      <c r="N21" s="166">
        <v>0.57999999999999996</v>
      </c>
      <c r="O21" s="167">
        <v>0.15</v>
      </c>
      <c r="P21" s="168">
        <v>0.2</v>
      </c>
      <c r="Q21" s="309">
        <f t="shared" si="6"/>
        <v>292.5</v>
      </c>
      <c r="R21" s="152">
        <f t="shared" si="7"/>
        <v>374.40000000000003</v>
      </c>
      <c r="S21" s="154">
        <f t="shared" si="8"/>
        <v>56.25</v>
      </c>
      <c r="T21" s="169">
        <f t="shared" si="9"/>
        <v>8.5500000000000007</v>
      </c>
      <c r="U21" s="153">
        <f t="shared" si="0"/>
        <v>430.65000000000003</v>
      </c>
      <c r="V21" s="166">
        <f t="shared" si="3"/>
        <v>26.099999999999998</v>
      </c>
      <c r="W21" s="167">
        <f t="shared" si="4"/>
        <v>6.75</v>
      </c>
      <c r="X21" s="168">
        <f t="shared" si="5"/>
        <v>9</v>
      </c>
      <c r="Y21" s="14"/>
    </row>
    <row r="22" spans="1:25" s="7" customFormat="1" ht="13.5" customHeight="1">
      <c r="A22" s="95"/>
      <c r="B22" s="86"/>
      <c r="C22" s="20" t="s">
        <v>157</v>
      </c>
      <c r="D22" s="20" t="s">
        <v>158</v>
      </c>
      <c r="E22" s="26">
        <v>35</v>
      </c>
      <c r="F22" s="70" t="s">
        <v>299</v>
      </c>
      <c r="G22" s="28">
        <v>12.5</v>
      </c>
      <c r="H22" s="37">
        <f t="shared" si="1"/>
        <v>437.5</v>
      </c>
      <c r="I22" s="309">
        <v>1</v>
      </c>
      <c r="J22" s="152">
        <v>2.14</v>
      </c>
      <c r="K22" s="154">
        <v>1.25</v>
      </c>
      <c r="L22" s="169">
        <v>0.19</v>
      </c>
      <c r="M22" s="165">
        <f t="shared" si="2"/>
        <v>3.39</v>
      </c>
      <c r="N22" s="166">
        <v>0.28999999999999998</v>
      </c>
      <c r="O22" s="167">
        <v>0.1</v>
      </c>
      <c r="P22" s="168">
        <v>0.1</v>
      </c>
      <c r="Q22" s="309">
        <f t="shared" si="6"/>
        <v>35</v>
      </c>
      <c r="R22" s="152">
        <f t="shared" si="7"/>
        <v>74.900000000000006</v>
      </c>
      <c r="S22" s="154">
        <f t="shared" si="8"/>
        <v>43.75</v>
      </c>
      <c r="T22" s="169">
        <f t="shared" si="9"/>
        <v>6.65</v>
      </c>
      <c r="U22" s="153">
        <f t="shared" si="0"/>
        <v>118.65</v>
      </c>
      <c r="V22" s="166">
        <f t="shared" si="3"/>
        <v>10.149999999999999</v>
      </c>
      <c r="W22" s="167">
        <f t="shared" si="4"/>
        <v>3.5</v>
      </c>
      <c r="X22" s="168">
        <f t="shared" si="5"/>
        <v>3.5</v>
      </c>
      <c r="Y22" s="14"/>
    </row>
    <row r="23" spans="1:25" s="7" customFormat="1" ht="13.5" customHeight="1">
      <c r="A23" s="95"/>
      <c r="B23" s="86"/>
      <c r="C23" s="20" t="s">
        <v>157</v>
      </c>
      <c r="D23" s="20" t="s">
        <v>158</v>
      </c>
      <c r="E23" s="28">
        <v>25</v>
      </c>
      <c r="F23" s="70" t="s">
        <v>300</v>
      </c>
      <c r="G23" s="28">
        <v>12.5</v>
      </c>
      <c r="H23" s="37">
        <f t="shared" si="1"/>
        <v>312.5</v>
      </c>
      <c r="I23" s="309">
        <v>1</v>
      </c>
      <c r="J23" s="152">
        <v>2.66</v>
      </c>
      <c r="K23" s="154">
        <v>0.8</v>
      </c>
      <c r="L23" s="169">
        <v>0.12</v>
      </c>
      <c r="M23" s="165">
        <f t="shared" si="2"/>
        <v>3.46</v>
      </c>
      <c r="N23" s="166">
        <v>0.28999999999999998</v>
      </c>
      <c r="O23" s="167">
        <v>0.1</v>
      </c>
      <c r="P23" s="168">
        <v>0.1</v>
      </c>
      <c r="Q23" s="309">
        <f t="shared" si="6"/>
        <v>25</v>
      </c>
      <c r="R23" s="152">
        <f t="shared" si="7"/>
        <v>66.5</v>
      </c>
      <c r="S23" s="154">
        <f t="shared" si="8"/>
        <v>20</v>
      </c>
      <c r="T23" s="169">
        <f t="shared" si="9"/>
        <v>3</v>
      </c>
      <c r="U23" s="153">
        <f t="shared" si="0"/>
        <v>86.5</v>
      </c>
      <c r="V23" s="166">
        <f t="shared" si="3"/>
        <v>7.2499999999999991</v>
      </c>
      <c r="W23" s="167">
        <f t="shared" si="4"/>
        <v>2.5</v>
      </c>
      <c r="X23" s="168">
        <f t="shared" si="5"/>
        <v>2.5</v>
      </c>
      <c r="Y23" s="14"/>
    </row>
    <row r="24" spans="1:25" s="7" customFormat="1" ht="13.5" customHeight="1">
      <c r="A24" s="95">
        <v>40395</v>
      </c>
      <c r="B24" s="86">
        <v>585</v>
      </c>
      <c r="C24" s="20" t="s">
        <v>251</v>
      </c>
      <c r="D24" s="20" t="s">
        <v>251</v>
      </c>
      <c r="E24" s="28">
        <v>60</v>
      </c>
      <c r="F24" s="70" t="s">
        <v>301</v>
      </c>
      <c r="G24" s="28">
        <v>90</v>
      </c>
      <c r="H24" s="37">
        <f t="shared" si="1"/>
        <v>5400</v>
      </c>
      <c r="I24" s="309">
        <v>6.5</v>
      </c>
      <c r="J24" s="152">
        <v>17.579999999999998</v>
      </c>
      <c r="K24" s="154">
        <v>3</v>
      </c>
      <c r="L24" s="169">
        <v>0.45</v>
      </c>
      <c r="M24" s="165">
        <f t="shared" si="2"/>
        <v>20.58</v>
      </c>
      <c r="N24" s="166">
        <v>1.67</v>
      </c>
      <c r="O24" s="167">
        <v>0.1</v>
      </c>
      <c r="P24" s="168">
        <v>0.1</v>
      </c>
      <c r="Q24" s="309">
        <f t="shared" si="6"/>
        <v>390</v>
      </c>
      <c r="R24" s="178">
        <f t="shared" si="7"/>
        <v>1054.8</v>
      </c>
      <c r="S24" s="154">
        <f t="shared" si="8"/>
        <v>180</v>
      </c>
      <c r="T24" s="169">
        <f t="shared" si="9"/>
        <v>27</v>
      </c>
      <c r="U24" s="179">
        <f t="shared" si="0"/>
        <v>1234.8</v>
      </c>
      <c r="V24" s="166">
        <f t="shared" si="3"/>
        <v>100.19999999999999</v>
      </c>
      <c r="W24" s="167">
        <f t="shared" si="4"/>
        <v>6</v>
      </c>
      <c r="X24" s="168">
        <f t="shared" si="5"/>
        <v>6</v>
      </c>
      <c r="Y24" s="14"/>
    </row>
    <row r="25" spans="1:25" s="7" customFormat="1" ht="13.5" customHeight="1">
      <c r="A25" s="95">
        <v>40397</v>
      </c>
      <c r="B25" s="86">
        <v>586</v>
      </c>
      <c r="C25" s="20" t="s">
        <v>222</v>
      </c>
      <c r="D25" s="20" t="s">
        <v>168</v>
      </c>
      <c r="E25" s="28">
        <f>3+1</f>
        <v>4</v>
      </c>
      <c r="F25" s="70" t="s">
        <v>302</v>
      </c>
      <c r="G25" s="28">
        <v>40</v>
      </c>
      <c r="H25" s="37">
        <f t="shared" si="1"/>
        <v>160</v>
      </c>
      <c r="I25" s="309">
        <v>3.5</v>
      </c>
      <c r="J25" s="152">
        <v>6.69</v>
      </c>
      <c r="K25" s="154">
        <v>2.5</v>
      </c>
      <c r="L25" s="169">
        <v>0.38</v>
      </c>
      <c r="M25" s="165">
        <f t="shared" si="2"/>
        <v>9.1900000000000013</v>
      </c>
      <c r="N25" s="166">
        <v>0.33</v>
      </c>
      <c r="O25" s="167">
        <v>0.2</v>
      </c>
      <c r="P25" s="168">
        <v>0.1</v>
      </c>
      <c r="Q25" s="309">
        <f t="shared" si="6"/>
        <v>14</v>
      </c>
      <c r="R25" s="152">
        <f t="shared" si="7"/>
        <v>26.76</v>
      </c>
      <c r="S25" s="154">
        <f t="shared" si="8"/>
        <v>10</v>
      </c>
      <c r="T25" s="169">
        <f t="shared" si="9"/>
        <v>1.52</v>
      </c>
      <c r="U25" s="153">
        <f t="shared" si="0"/>
        <v>36.760000000000005</v>
      </c>
      <c r="V25" s="166">
        <f t="shared" si="3"/>
        <v>1.32</v>
      </c>
      <c r="W25" s="167">
        <f t="shared" si="4"/>
        <v>0.8</v>
      </c>
      <c r="X25" s="168">
        <f t="shared" si="5"/>
        <v>0.4</v>
      </c>
      <c r="Y25" s="14"/>
    </row>
    <row r="26" spans="1:25" s="7" customFormat="1" ht="13.5" customHeight="1">
      <c r="A26" s="95"/>
      <c r="B26" s="86"/>
      <c r="C26" s="20" t="s">
        <v>222</v>
      </c>
      <c r="D26" s="20" t="s">
        <v>168</v>
      </c>
      <c r="E26" s="28">
        <f>3+1</f>
        <v>4</v>
      </c>
      <c r="F26" s="70" t="s">
        <v>303</v>
      </c>
      <c r="G26" s="28">
        <v>40</v>
      </c>
      <c r="H26" s="37">
        <f t="shared" si="1"/>
        <v>160</v>
      </c>
      <c r="I26" s="309">
        <v>3.5</v>
      </c>
      <c r="J26" s="152">
        <v>6.69</v>
      </c>
      <c r="K26" s="154">
        <v>2.5</v>
      </c>
      <c r="L26" s="169">
        <v>0.38</v>
      </c>
      <c r="M26" s="165">
        <f t="shared" si="2"/>
        <v>9.1900000000000013</v>
      </c>
      <c r="N26" s="166">
        <v>0.33</v>
      </c>
      <c r="O26" s="167">
        <v>0.2</v>
      </c>
      <c r="P26" s="168">
        <v>0.1</v>
      </c>
      <c r="Q26" s="309">
        <f t="shared" si="6"/>
        <v>14</v>
      </c>
      <c r="R26" s="152">
        <f t="shared" si="7"/>
        <v>26.76</v>
      </c>
      <c r="S26" s="154">
        <f t="shared" si="8"/>
        <v>10</v>
      </c>
      <c r="T26" s="169">
        <f t="shared" si="9"/>
        <v>1.52</v>
      </c>
      <c r="U26" s="153">
        <f t="shared" si="0"/>
        <v>36.760000000000005</v>
      </c>
      <c r="V26" s="166">
        <f t="shared" si="3"/>
        <v>1.32</v>
      </c>
      <c r="W26" s="167">
        <f t="shared" si="4"/>
        <v>0.8</v>
      </c>
      <c r="X26" s="168">
        <f t="shared" si="5"/>
        <v>0.4</v>
      </c>
      <c r="Y26" s="14"/>
    </row>
    <row r="27" spans="1:25" s="7" customFormat="1" ht="13.5" customHeight="1">
      <c r="A27" s="95">
        <v>40395</v>
      </c>
      <c r="B27" s="86">
        <v>587</v>
      </c>
      <c r="C27" s="20" t="s">
        <v>304</v>
      </c>
      <c r="D27" s="20" t="s">
        <v>305</v>
      </c>
      <c r="E27" s="28">
        <v>25</v>
      </c>
      <c r="F27" s="70" t="s">
        <v>306</v>
      </c>
      <c r="G27" s="28">
        <v>29</v>
      </c>
      <c r="H27" s="37">
        <f t="shared" si="1"/>
        <v>725</v>
      </c>
      <c r="I27" s="309">
        <v>3.5</v>
      </c>
      <c r="J27" s="152">
        <v>3.55</v>
      </c>
      <c r="K27" s="154">
        <v>3.7</v>
      </c>
      <c r="L27" s="169">
        <v>0.56000000000000005</v>
      </c>
      <c r="M27" s="165">
        <f t="shared" si="2"/>
        <v>7.25</v>
      </c>
      <c r="N27" s="166">
        <v>0.25</v>
      </c>
      <c r="O27" s="167">
        <v>0.1</v>
      </c>
      <c r="P27" s="168">
        <v>0.1</v>
      </c>
      <c r="Q27" s="309">
        <f t="shared" si="6"/>
        <v>87.5</v>
      </c>
      <c r="R27" s="152">
        <f t="shared" si="7"/>
        <v>88.75</v>
      </c>
      <c r="S27" s="154">
        <f t="shared" si="8"/>
        <v>92.5</v>
      </c>
      <c r="T27" s="169">
        <f t="shared" si="9"/>
        <v>14.000000000000002</v>
      </c>
      <c r="U27" s="153">
        <f t="shared" si="0"/>
        <v>181.25</v>
      </c>
      <c r="V27" s="166">
        <f t="shared" si="3"/>
        <v>6.25</v>
      </c>
      <c r="W27" s="167">
        <f t="shared" si="4"/>
        <v>2.5</v>
      </c>
      <c r="X27" s="168">
        <f t="shared" si="5"/>
        <v>2.5</v>
      </c>
      <c r="Y27" s="14"/>
    </row>
    <row r="28" spans="1:25" s="7" customFormat="1" ht="13.5" customHeight="1">
      <c r="A28" s="95"/>
      <c r="B28" s="86"/>
      <c r="C28" s="20" t="s">
        <v>304</v>
      </c>
      <c r="D28" s="20" t="s">
        <v>305</v>
      </c>
      <c r="E28" s="28">
        <v>15</v>
      </c>
      <c r="F28" s="70" t="s">
        <v>306</v>
      </c>
      <c r="G28" s="28">
        <v>29</v>
      </c>
      <c r="H28" s="37">
        <f t="shared" si="1"/>
        <v>435</v>
      </c>
      <c r="I28" s="309">
        <v>3.5</v>
      </c>
      <c r="J28" s="152">
        <v>3.55</v>
      </c>
      <c r="K28" s="154">
        <v>3.7</v>
      </c>
      <c r="L28" s="169">
        <v>0.56000000000000005</v>
      </c>
      <c r="M28" s="165">
        <f t="shared" si="2"/>
        <v>7.25</v>
      </c>
      <c r="N28" s="166">
        <v>0.25</v>
      </c>
      <c r="O28" s="167">
        <v>0.1</v>
      </c>
      <c r="P28" s="168">
        <v>0.1</v>
      </c>
      <c r="Q28" s="309">
        <f t="shared" si="6"/>
        <v>52.5</v>
      </c>
      <c r="R28" s="152">
        <f t="shared" si="7"/>
        <v>53.25</v>
      </c>
      <c r="S28" s="154">
        <f t="shared" si="8"/>
        <v>55.5</v>
      </c>
      <c r="T28" s="169">
        <f t="shared" si="9"/>
        <v>8.4</v>
      </c>
      <c r="U28" s="153">
        <f t="shared" si="0"/>
        <v>108.75</v>
      </c>
      <c r="V28" s="166">
        <f t="shared" si="3"/>
        <v>3.75</v>
      </c>
      <c r="W28" s="167">
        <f t="shared" si="4"/>
        <v>1.5</v>
      </c>
      <c r="X28" s="168">
        <f t="shared" si="5"/>
        <v>1.5</v>
      </c>
      <c r="Y28" s="14"/>
    </row>
    <row r="29" spans="1:25" s="7" customFormat="1" ht="13.5" customHeight="1">
      <c r="A29" s="95">
        <v>40395</v>
      </c>
      <c r="B29" s="86">
        <v>588</v>
      </c>
      <c r="C29" s="20" t="s">
        <v>21</v>
      </c>
      <c r="D29" s="20" t="s">
        <v>42</v>
      </c>
      <c r="E29" s="28">
        <v>112</v>
      </c>
      <c r="F29" s="70" t="s">
        <v>307</v>
      </c>
      <c r="G29" s="28">
        <v>69.5</v>
      </c>
      <c r="H29" s="37">
        <f t="shared" si="1"/>
        <v>7784</v>
      </c>
      <c r="I29" s="309">
        <v>3.5</v>
      </c>
      <c r="J29" s="152">
        <v>3.53</v>
      </c>
      <c r="K29" s="154">
        <v>0</v>
      </c>
      <c r="L29" s="169">
        <v>0</v>
      </c>
      <c r="M29" s="165">
        <f t="shared" si="2"/>
        <v>3.53</v>
      </c>
      <c r="N29" s="166">
        <v>0</v>
      </c>
      <c r="O29" s="167">
        <v>0.1</v>
      </c>
      <c r="P29" s="168">
        <v>0.1</v>
      </c>
      <c r="Q29" s="309">
        <f t="shared" si="6"/>
        <v>392</v>
      </c>
      <c r="R29" s="152">
        <f t="shared" si="7"/>
        <v>395.35999999999996</v>
      </c>
      <c r="S29" s="154">
        <f t="shared" si="8"/>
        <v>0</v>
      </c>
      <c r="T29" s="169">
        <f t="shared" si="9"/>
        <v>0</v>
      </c>
      <c r="U29" s="153">
        <f t="shared" si="0"/>
        <v>395.35999999999996</v>
      </c>
      <c r="V29" s="166">
        <f t="shared" si="3"/>
        <v>0</v>
      </c>
      <c r="W29" s="167">
        <f t="shared" si="4"/>
        <v>11.200000000000001</v>
      </c>
      <c r="X29" s="168">
        <f t="shared" si="5"/>
        <v>11.200000000000001</v>
      </c>
      <c r="Y29" s="14"/>
    </row>
    <row r="30" spans="1:25" s="7" customFormat="1" ht="13.5" customHeight="1">
      <c r="A30" s="95">
        <v>40395</v>
      </c>
      <c r="B30" s="86">
        <v>589</v>
      </c>
      <c r="C30" s="20" t="s">
        <v>308</v>
      </c>
      <c r="D30" s="20" t="s">
        <v>309</v>
      </c>
      <c r="E30" s="28">
        <f>23+13</f>
        <v>36</v>
      </c>
      <c r="F30" s="70" t="s">
        <v>310</v>
      </c>
      <c r="G30" s="28">
        <v>58.5</v>
      </c>
      <c r="H30" s="37">
        <f t="shared" si="1"/>
        <v>2106</v>
      </c>
      <c r="I30" s="309">
        <v>4.5</v>
      </c>
      <c r="J30" s="152">
        <v>2.61</v>
      </c>
      <c r="K30" s="154">
        <v>0</v>
      </c>
      <c r="L30" s="169">
        <v>0</v>
      </c>
      <c r="M30" s="165">
        <f t="shared" si="2"/>
        <v>2.61</v>
      </c>
      <c r="N30" s="166">
        <v>0</v>
      </c>
      <c r="O30" s="167">
        <v>0.2</v>
      </c>
      <c r="P30" s="168">
        <v>0.2</v>
      </c>
      <c r="Q30" s="309">
        <f t="shared" si="6"/>
        <v>162</v>
      </c>
      <c r="R30" s="152">
        <f t="shared" si="7"/>
        <v>93.96</v>
      </c>
      <c r="S30" s="154">
        <f t="shared" si="8"/>
        <v>0</v>
      </c>
      <c r="T30" s="169">
        <f t="shared" si="9"/>
        <v>0</v>
      </c>
      <c r="U30" s="153">
        <f t="shared" si="0"/>
        <v>93.96</v>
      </c>
      <c r="V30" s="166">
        <f t="shared" si="3"/>
        <v>0</v>
      </c>
      <c r="W30" s="167">
        <f t="shared" si="4"/>
        <v>7.2</v>
      </c>
      <c r="X30" s="168">
        <f t="shared" si="5"/>
        <v>7.2</v>
      </c>
      <c r="Y30" s="14"/>
    </row>
    <row r="31" spans="1:25" s="7" customFormat="1" ht="13.5" customHeight="1">
      <c r="A31" s="95"/>
      <c r="B31" s="86"/>
      <c r="C31" s="20" t="s">
        <v>308</v>
      </c>
      <c r="D31" s="20" t="s">
        <v>309</v>
      </c>
      <c r="E31" s="28">
        <f>23+16-2</f>
        <v>37</v>
      </c>
      <c r="F31" s="70" t="s">
        <v>311</v>
      </c>
      <c r="G31" s="28">
        <v>71</v>
      </c>
      <c r="H31" s="37">
        <f t="shared" si="1"/>
        <v>2627</v>
      </c>
      <c r="I31" s="309">
        <v>3.5</v>
      </c>
      <c r="J31" s="152">
        <v>13.06</v>
      </c>
      <c r="K31" s="154">
        <v>1.2</v>
      </c>
      <c r="L31" s="169">
        <v>0.18</v>
      </c>
      <c r="M31" s="165">
        <f>J31+K31</f>
        <v>14.26</v>
      </c>
      <c r="N31" s="166">
        <v>0</v>
      </c>
      <c r="O31" s="167">
        <v>0.1</v>
      </c>
      <c r="P31" s="168">
        <v>0.1</v>
      </c>
      <c r="Q31" s="309">
        <f t="shared" si="6"/>
        <v>129.5</v>
      </c>
      <c r="R31" s="152">
        <f t="shared" si="7"/>
        <v>483.22</v>
      </c>
      <c r="S31" s="154">
        <f t="shared" si="8"/>
        <v>44.4</v>
      </c>
      <c r="T31" s="169">
        <f t="shared" si="9"/>
        <v>6.66</v>
      </c>
      <c r="U31" s="153">
        <f t="shared" si="0"/>
        <v>527.62</v>
      </c>
      <c r="V31" s="166">
        <f t="shared" si="3"/>
        <v>0</v>
      </c>
      <c r="W31" s="167">
        <f t="shared" si="4"/>
        <v>3.7</v>
      </c>
      <c r="X31" s="168">
        <f t="shared" si="5"/>
        <v>3.7</v>
      </c>
      <c r="Y31" s="14"/>
    </row>
    <row r="32" spans="1:25" s="7" customFormat="1" ht="13.5" customHeight="1">
      <c r="A32" s="95"/>
      <c r="B32" s="86"/>
      <c r="C32" s="20" t="s">
        <v>308</v>
      </c>
      <c r="D32" s="20" t="s">
        <v>309</v>
      </c>
      <c r="E32" s="28">
        <f>23+16-3</f>
        <v>36</v>
      </c>
      <c r="F32" s="70" t="s">
        <v>312</v>
      </c>
      <c r="G32" s="28">
        <v>75</v>
      </c>
      <c r="H32" s="37">
        <f t="shared" si="1"/>
        <v>2700</v>
      </c>
      <c r="I32" s="309">
        <v>5.5</v>
      </c>
      <c r="J32" s="152">
        <v>20.329999999999998</v>
      </c>
      <c r="K32" s="154">
        <v>1.2</v>
      </c>
      <c r="L32" s="169">
        <v>0.18</v>
      </c>
      <c r="M32" s="165">
        <f t="shared" si="2"/>
        <v>21.529999999999998</v>
      </c>
      <c r="N32" s="166">
        <v>0.63</v>
      </c>
      <c r="O32" s="167">
        <v>0.1</v>
      </c>
      <c r="P32" s="168">
        <v>0.1</v>
      </c>
      <c r="Q32" s="309">
        <f t="shared" si="6"/>
        <v>198</v>
      </c>
      <c r="R32" s="152">
        <f t="shared" si="7"/>
        <v>731.87999999999988</v>
      </c>
      <c r="S32" s="154">
        <f t="shared" si="8"/>
        <v>43.199999999999996</v>
      </c>
      <c r="T32" s="169">
        <f t="shared" si="9"/>
        <v>6.4799999999999995</v>
      </c>
      <c r="U32" s="153">
        <f t="shared" si="0"/>
        <v>775.07999999999993</v>
      </c>
      <c r="V32" s="166">
        <f t="shared" si="3"/>
        <v>22.68</v>
      </c>
      <c r="W32" s="167">
        <f t="shared" si="4"/>
        <v>3.6</v>
      </c>
      <c r="X32" s="168">
        <f t="shared" si="5"/>
        <v>3.6</v>
      </c>
      <c r="Y32" s="14"/>
    </row>
    <row r="33" spans="1:25" s="7" customFormat="1" ht="13.5" customHeight="1">
      <c r="A33" s="95">
        <v>40395</v>
      </c>
      <c r="B33" s="86">
        <v>590</v>
      </c>
      <c r="C33" s="20" t="s">
        <v>288</v>
      </c>
      <c r="D33" s="20" t="s">
        <v>289</v>
      </c>
      <c r="E33" s="26">
        <v>6</v>
      </c>
      <c r="F33" s="70" t="s">
        <v>313</v>
      </c>
      <c r="G33" s="28">
        <v>40</v>
      </c>
      <c r="H33" s="37">
        <f t="shared" si="1"/>
        <v>240</v>
      </c>
      <c r="I33" s="309">
        <v>5</v>
      </c>
      <c r="J33" s="152">
        <v>10.220000000000001</v>
      </c>
      <c r="K33" s="154">
        <v>0</v>
      </c>
      <c r="L33" s="169">
        <v>0</v>
      </c>
      <c r="M33" s="165">
        <f t="shared" si="2"/>
        <v>10.220000000000001</v>
      </c>
      <c r="N33" s="206">
        <v>58</v>
      </c>
      <c r="O33" s="167">
        <v>0.1</v>
      </c>
      <c r="P33" s="168">
        <v>0.1</v>
      </c>
      <c r="Q33" s="309">
        <f t="shared" si="6"/>
        <v>30</v>
      </c>
      <c r="R33" s="152">
        <f t="shared" si="7"/>
        <v>61.320000000000007</v>
      </c>
      <c r="S33" s="154">
        <f t="shared" si="8"/>
        <v>0</v>
      </c>
      <c r="T33" s="169">
        <f t="shared" si="9"/>
        <v>0</v>
      </c>
      <c r="U33" s="153">
        <f t="shared" si="0"/>
        <v>61.320000000000007</v>
      </c>
      <c r="V33" s="166">
        <f t="shared" si="3"/>
        <v>348</v>
      </c>
      <c r="W33" s="167">
        <f t="shared" si="4"/>
        <v>0.60000000000000009</v>
      </c>
      <c r="X33" s="168">
        <f t="shared" si="5"/>
        <v>0.60000000000000009</v>
      </c>
      <c r="Y33" s="14"/>
    </row>
    <row r="34" spans="1:25" s="7" customFormat="1" ht="13.5" customHeight="1">
      <c r="A34" s="95"/>
      <c r="B34" s="86"/>
      <c r="C34" s="20" t="s">
        <v>288</v>
      </c>
      <c r="D34" s="20" t="s">
        <v>289</v>
      </c>
      <c r="E34" s="39">
        <v>6</v>
      </c>
      <c r="F34" s="70" t="s">
        <v>314</v>
      </c>
      <c r="G34" s="38">
        <v>40</v>
      </c>
      <c r="H34" s="37">
        <f t="shared" si="1"/>
        <v>240</v>
      </c>
      <c r="I34" s="309">
        <v>5</v>
      </c>
      <c r="J34" s="152">
        <v>10.72</v>
      </c>
      <c r="K34" s="154">
        <v>0</v>
      </c>
      <c r="L34" s="169">
        <v>0</v>
      </c>
      <c r="M34" s="165">
        <f t="shared" si="2"/>
        <v>10.72</v>
      </c>
      <c r="N34" s="206">
        <v>58</v>
      </c>
      <c r="O34" s="167">
        <v>0.1</v>
      </c>
      <c r="P34" s="168">
        <v>0.1</v>
      </c>
      <c r="Q34" s="309">
        <f t="shared" si="6"/>
        <v>30</v>
      </c>
      <c r="R34" s="152">
        <f t="shared" si="7"/>
        <v>64.320000000000007</v>
      </c>
      <c r="S34" s="154">
        <f>E34*K34</f>
        <v>0</v>
      </c>
      <c r="T34" s="169">
        <f t="shared" si="9"/>
        <v>0</v>
      </c>
      <c r="U34" s="153">
        <f t="shared" si="0"/>
        <v>64.320000000000007</v>
      </c>
      <c r="V34" s="166">
        <f t="shared" si="3"/>
        <v>348</v>
      </c>
      <c r="W34" s="167">
        <f t="shared" si="4"/>
        <v>0.60000000000000009</v>
      </c>
      <c r="X34" s="168">
        <f t="shared" si="5"/>
        <v>0.60000000000000009</v>
      </c>
      <c r="Y34" s="14"/>
    </row>
    <row r="35" spans="1:25" s="7" customFormat="1" ht="13.5" customHeight="1">
      <c r="A35" s="95"/>
      <c r="B35" s="86"/>
      <c r="C35" s="20" t="s">
        <v>288</v>
      </c>
      <c r="D35" s="20" t="s">
        <v>289</v>
      </c>
      <c r="E35" s="39">
        <v>500</v>
      </c>
      <c r="F35" s="71" t="s">
        <v>315</v>
      </c>
      <c r="G35" s="28">
        <v>9.9499999999999993</v>
      </c>
      <c r="H35" s="37">
        <f t="shared" si="1"/>
        <v>4975</v>
      </c>
      <c r="I35" s="309">
        <v>1</v>
      </c>
      <c r="J35" s="152">
        <v>1.0900000000000001</v>
      </c>
      <c r="K35" s="154">
        <v>3.05</v>
      </c>
      <c r="L35" s="169">
        <v>0.46</v>
      </c>
      <c r="M35" s="165">
        <f t="shared" si="2"/>
        <v>4.1399999999999997</v>
      </c>
      <c r="N35" s="166">
        <v>0.13</v>
      </c>
      <c r="O35" s="167">
        <v>0.1</v>
      </c>
      <c r="P35" s="168">
        <v>0.1</v>
      </c>
      <c r="Q35" s="309">
        <f t="shared" si="6"/>
        <v>500</v>
      </c>
      <c r="R35" s="152">
        <f t="shared" si="7"/>
        <v>545</v>
      </c>
      <c r="S35" s="204">
        <f t="shared" si="8"/>
        <v>1525</v>
      </c>
      <c r="T35" s="169">
        <f t="shared" si="9"/>
        <v>230</v>
      </c>
      <c r="U35" s="179">
        <f t="shared" si="0"/>
        <v>2070</v>
      </c>
      <c r="V35" s="166">
        <f t="shared" si="3"/>
        <v>65</v>
      </c>
      <c r="W35" s="167">
        <f t="shared" si="4"/>
        <v>50</v>
      </c>
      <c r="X35" s="168">
        <f t="shared" si="5"/>
        <v>50</v>
      </c>
      <c r="Y35" s="14"/>
    </row>
    <row r="36" spans="1:25" s="7" customFormat="1" ht="13.5" customHeight="1">
      <c r="A36" s="95">
        <v>40395</v>
      </c>
      <c r="B36" s="86">
        <v>591</v>
      </c>
      <c r="C36" s="20" t="s">
        <v>316</v>
      </c>
      <c r="D36" s="20" t="s">
        <v>113</v>
      </c>
      <c r="E36" s="26">
        <f>14+18</f>
        <v>32</v>
      </c>
      <c r="F36" s="70" t="s">
        <v>317</v>
      </c>
      <c r="G36" s="28">
        <v>72.5</v>
      </c>
      <c r="H36" s="37">
        <f t="shared" si="1"/>
        <v>2320</v>
      </c>
      <c r="I36" s="309">
        <v>6.5</v>
      </c>
      <c r="J36" s="152">
        <v>21.33</v>
      </c>
      <c r="K36" s="154">
        <v>1.4</v>
      </c>
      <c r="L36" s="169">
        <v>0.21</v>
      </c>
      <c r="M36" s="153">
        <f t="shared" si="2"/>
        <v>22.729999999999997</v>
      </c>
      <c r="N36" s="166">
        <v>0.83</v>
      </c>
      <c r="O36" s="167">
        <v>0.1</v>
      </c>
      <c r="P36" s="168">
        <v>0.2</v>
      </c>
      <c r="Q36" s="309">
        <f t="shared" si="6"/>
        <v>208</v>
      </c>
      <c r="R36" s="152">
        <f t="shared" si="7"/>
        <v>682.56</v>
      </c>
      <c r="S36" s="154">
        <f t="shared" si="8"/>
        <v>44.8</v>
      </c>
      <c r="T36" s="169">
        <f t="shared" si="9"/>
        <v>6.72</v>
      </c>
      <c r="U36" s="153">
        <f t="shared" si="0"/>
        <v>727.3599999999999</v>
      </c>
      <c r="V36" s="166">
        <f t="shared" si="3"/>
        <v>26.56</v>
      </c>
      <c r="W36" s="167">
        <f t="shared" si="4"/>
        <v>3.2</v>
      </c>
      <c r="X36" s="168">
        <f t="shared" si="5"/>
        <v>6.4</v>
      </c>
      <c r="Y36" s="14"/>
    </row>
    <row r="37" spans="1:25" s="7" customFormat="1" ht="13.5" customHeight="1">
      <c r="A37" s="95">
        <v>40397</v>
      </c>
      <c r="B37" s="86">
        <v>592</v>
      </c>
      <c r="C37" s="20" t="s">
        <v>318</v>
      </c>
      <c r="D37" s="20"/>
      <c r="E37" s="26">
        <v>6</v>
      </c>
      <c r="F37" s="70" t="s">
        <v>319</v>
      </c>
      <c r="G37" s="28">
        <v>40.5</v>
      </c>
      <c r="H37" s="37">
        <f t="shared" si="1"/>
        <v>243</v>
      </c>
      <c r="I37" s="309">
        <v>3.5</v>
      </c>
      <c r="J37" s="152">
        <v>8.23</v>
      </c>
      <c r="K37" s="154">
        <v>1.4</v>
      </c>
      <c r="L37" s="169">
        <v>0.21</v>
      </c>
      <c r="M37" s="153">
        <f t="shared" si="2"/>
        <v>9.6300000000000008</v>
      </c>
      <c r="N37" s="166">
        <v>0.33</v>
      </c>
      <c r="O37" s="167">
        <v>0.2</v>
      </c>
      <c r="P37" s="168">
        <v>0.1</v>
      </c>
      <c r="Q37" s="309">
        <f t="shared" si="6"/>
        <v>21</v>
      </c>
      <c r="R37" s="152">
        <f t="shared" si="7"/>
        <v>49.38</v>
      </c>
      <c r="S37" s="154">
        <f t="shared" si="8"/>
        <v>8.3999999999999986</v>
      </c>
      <c r="T37" s="169">
        <f t="shared" si="9"/>
        <v>1.26</v>
      </c>
      <c r="U37" s="153">
        <f t="shared" si="0"/>
        <v>57.78</v>
      </c>
      <c r="V37" s="166">
        <f t="shared" si="3"/>
        <v>1.98</v>
      </c>
      <c r="W37" s="167">
        <f t="shared" si="4"/>
        <v>1.2000000000000002</v>
      </c>
      <c r="X37" s="168">
        <f t="shared" si="5"/>
        <v>0.60000000000000009</v>
      </c>
      <c r="Y37" s="14"/>
    </row>
    <row r="38" spans="1:25" s="7" customFormat="1" ht="13.5" customHeight="1">
      <c r="A38" s="95"/>
      <c r="B38" s="86"/>
      <c r="C38" s="20" t="s">
        <v>318</v>
      </c>
      <c r="D38" s="20"/>
      <c r="E38" s="26">
        <v>6</v>
      </c>
      <c r="F38" s="70" t="s">
        <v>320</v>
      </c>
      <c r="G38" s="28">
        <v>38.5</v>
      </c>
      <c r="H38" s="37">
        <f t="shared" si="1"/>
        <v>231</v>
      </c>
      <c r="I38" s="309">
        <v>3.5</v>
      </c>
      <c r="J38" s="152">
        <v>12.05</v>
      </c>
      <c r="K38" s="154">
        <v>1.4</v>
      </c>
      <c r="L38" s="169">
        <v>0.21</v>
      </c>
      <c r="M38" s="153">
        <f t="shared" si="2"/>
        <v>13.450000000000001</v>
      </c>
      <c r="N38" s="166">
        <v>0.33</v>
      </c>
      <c r="O38" s="167">
        <v>0.2</v>
      </c>
      <c r="P38" s="168">
        <v>0.1</v>
      </c>
      <c r="Q38" s="309">
        <f t="shared" si="6"/>
        <v>21</v>
      </c>
      <c r="R38" s="152">
        <f t="shared" si="7"/>
        <v>72.300000000000011</v>
      </c>
      <c r="S38" s="154">
        <f t="shared" si="8"/>
        <v>8.3999999999999986</v>
      </c>
      <c r="T38" s="169">
        <f t="shared" si="9"/>
        <v>1.26</v>
      </c>
      <c r="U38" s="153">
        <f t="shared" si="0"/>
        <v>80.7</v>
      </c>
      <c r="V38" s="166">
        <f t="shared" si="3"/>
        <v>1.98</v>
      </c>
      <c r="W38" s="167">
        <f t="shared" si="4"/>
        <v>1.2000000000000002</v>
      </c>
      <c r="X38" s="168">
        <f t="shared" si="5"/>
        <v>0.60000000000000009</v>
      </c>
      <c r="Y38" s="14"/>
    </row>
    <row r="39" spans="1:25" s="7" customFormat="1" ht="13.5" customHeight="1">
      <c r="A39" s="95">
        <v>40400</v>
      </c>
      <c r="B39" s="86">
        <v>593</v>
      </c>
      <c r="C39" s="20" t="s">
        <v>23</v>
      </c>
      <c r="D39" s="20" t="s">
        <v>24</v>
      </c>
      <c r="E39" s="26">
        <v>5</v>
      </c>
      <c r="F39" s="70" t="s">
        <v>321</v>
      </c>
      <c r="G39" s="28">
        <v>50</v>
      </c>
      <c r="H39" s="37">
        <f t="shared" si="1"/>
        <v>250</v>
      </c>
      <c r="I39" s="309">
        <v>5.5</v>
      </c>
      <c r="J39" s="152">
        <v>19.510000000000002</v>
      </c>
      <c r="K39" s="154">
        <v>1.8</v>
      </c>
      <c r="L39" s="169">
        <v>0.27</v>
      </c>
      <c r="M39" s="153">
        <f t="shared" si="2"/>
        <v>21.310000000000002</v>
      </c>
      <c r="N39" s="166">
        <v>0.63</v>
      </c>
      <c r="O39" s="167">
        <v>0.1</v>
      </c>
      <c r="P39" s="168">
        <v>0.1</v>
      </c>
      <c r="Q39" s="309">
        <f t="shared" si="6"/>
        <v>27.5</v>
      </c>
      <c r="R39" s="152">
        <f t="shared" si="7"/>
        <v>97.550000000000011</v>
      </c>
      <c r="S39" s="154">
        <f t="shared" si="8"/>
        <v>9</v>
      </c>
      <c r="T39" s="169">
        <f t="shared" si="9"/>
        <v>1.35</v>
      </c>
      <c r="U39" s="153">
        <f t="shared" si="0"/>
        <v>106.55000000000001</v>
      </c>
      <c r="V39" s="166">
        <f t="shared" si="3"/>
        <v>3.15</v>
      </c>
      <c r="W39" s="167">
        <f t="shared" si="4"/>
        <v>0.5</v>
      </c>
      <c r="X39" s="168">
        <f t="shared" si="5"/>
        <v>0.5</v>
      </c>
      <c r="Y39" s="14"/>
    </row>
    <row r="40" spans="1:25" s="7" customFormat="1" ht="13.5" customHeight="1">
      <c r="A40" s="95">
        <v>40400</v>
      </c>
      <c r="B40" s="86">
        <v>594</v>
      </c>
      <c r="C40" s="20" t="s">
        <v>322</v>
      </c>
      <c r="D40" s="20" t="s">
        <v>144</v>
      </c>
      <c r="E40" s="26">
        <v>5</v>
      </c>
      <c r="F40" s="70" t="s">
        <v>323</v>
      </c>
      <c r="G40" s="28">
        <v>36</v>
      </c>
      <c r="H40" s="37">
        <f t="shared" si="1"/>
        <v>180</v>
      </c>
      <c r="I40" s="309">
        <v>3.5</v>
      </c>
      <c r="J40" s="152">
        <v>5.15</v>
      </c>
      <c r="K40" s="154">
        <v>1.3</v>
      </c>
      <c r="L40" s="169">
        <v>0.2</v>
      </c>
      <c r="M40" s="153">
        <f t="shared" si="2"/>
        <v>6.45</v>
      </c>
      <c r="N40" s="166">
        <v>0.33</v>
      </c>
      <c r="O40" s="167">
        <v>0.1</v>
      </c>
      <c r="P40" s="168">
        <v>0.1</v>
      </c>
      <c r="Q40" s="309">
        <f t="shared" si="6"/>
        <v>17.5</v>
      </c>
      <c r="R40" s="152">
        <f t="shared" si="7"/>
        <v>25.75</v>
      </c>
      <c r="S40" s="154">
        <f t="shared" si="8"/>
        <v>6.5</v>
      </c>
      <c r="T40" s="169">
        <f t="shared" si="9"/>
        <v>1</v>
      </c>
      <c r="U40" s="153">
        <f t="shared" si="0"/>
        <v>32.25</v>
      </c>
      <c r="V40" s="166">
        <f t="shared" si="3"/>
        <v>1.6500000000000001</v>
      </c>
      <c r="W40" s="167">
        <f t="shared" si="4"/>
        <v>0.5</v>
      </c>
      <c r="X40" s="168">
        <f t="shared" si="5"/>
        <v>0.5</v>
      </c>
      <c r="Y40" s="14"/>
    </row>
    <row r="41" spans="1:25" s="7" customFormat="1" ht="13.5" customHeight="1">
      <c r="A41" s="95"/>
      <c r="B41" s="86"/>
      <c r="C41" s="20" t="s">
        <v>322</v>
      </c>
      <c r="D41" s="20" t="s">
        <v>144</v>
      </c>
      <c r="E41" s="26">
        <v>1</v>
      </c>
      <c r="F41" s="70" t="s">
        <v>324</v>
      </c>
      <c r="G41" s="28">
        <v>36</v>
      </c>
      <c r="H41" s="37">
        <f t="shared" si="1"/>
        <v>36</v>
      </c>
      <c r="I41" s="309">
        <v>3.5</v>
      </c>
      <c r="J41" s="152">
        <v>8.36</v>
      </c>
      <c r="K41" s="154">
        <v>1.3</v>
      </c>
      <c r="L41" s="169">
        <v>0.2</v>
      </c>
      <c r="M41" s="153">
        <f t="shared" si="2"/>
        <v>9.66</v>
      </c>
      <c r="N41" s="166">
        <v>0.33</v>
      </c>
      <c r="O41" s="167">
        <v>0.1</v>
      </c>
      <c r="P41" s="168">
        <v>0.1</v>
      </c>
      <c r="Q41" s="309">
        <f t="shared" si="6"/>
        <v>3.5</v>
      </c>
      <c r="R41" s="152">
        <f t="shared" si="7"/>
        <v>8.36</v>
      </c>
      <c r="S41" s="154">
        <f t="shared" si="8"/>
        <v>1.3</v>
      </c>
      <c r="T41" s="169">
        <f t="shared" si="9"/>
        <v>0.2</v>
      </c>
      <c r="U41" s="153">
        <f t="shared" si="0"/>
        <v>9.66</v>
      </c>
      <c r="V41" s="166">
        <f t="shared" si="3"/>
        <v>0.33</v>
      </c>
      <c r="W41" s="167">
        <f t="shared" si="4"/>
        <v>0.1</v>
      </c>
      <c r="X41" s="168">
        <f t="shared" si="5"/>
        <v>0.1</v>
      </c>
      <c r="Y41" s="14"/>
    </row>
    <row r="42" spans="1:25" s="7" customFormat="1" ht="13.5" customHeight="1">
      <c r="A42" s="95"/>
      <c r="B42" s="87"/>
      <c r="C42" s="20" t="s">
        <v>322</v>
      </c>
      <c r="D42" s="20" t="s">
        <v>144</v>
      </c>
      <c r="E42" s="26">
        <v>5</v>
      </c>
      <c r="F42" s="70" t="s">
        <v>325</v>
      </c>
      <c r="G42" s="28">
        <v>36</v>
      </c>
      <c r="H42" s="37">
        <f t="shared" si="1"/>
        <v>180</v>
      </c>
      <c r="I42" s="309">
        <v>3.5</v>
      </c>
      <c r="J42" s="152">
        <v>5.15</v>
      </c>
      <c r="K42" s="154">
        <v>1.3</v>
      </c>
      <c r="L42" s="169">
        <v>0.2</v>
      </c>
      <c r="M42" s="153">
        <f t="shared" si="2"/>
        <v>6.45</v>
      </c>
      <c r="N42" s="166">
        <v>0.33</v>
      </c>
      <c r="O42" s="167">
        <v>0.1</v>
      </c>
      <c r="P42" s="168">
        <v>0.1</v>
      </c>
      <c r="Q42" s="309">
        <f t="shared" si="6"/>
        <v>17.5</v>
      </c>
      <c r="R42" s="152">
        <f t="shared" si="7"/>
        <v>25.75</v>
      </c>
      <c r="S42" s="154">
        <f t="shared" si="8"/>
        <v>6.5</v>
      </c>
      <c r="T42" s="169">
        <f t="shared" si="9"/>
        <v>1</v>
      </c>
      <c r="U42" s="153">
        <f t="shared" si="0"/>
        <v>32.25</v>
      </c>
      <c r="V42" s="166">
        <f t="shared" si="3"/>
        <v>1.6500000000000001</v>
      </c>
      <c r="W42" s="167">
        <f t="shared" si="4"/>
        <v>0.5</v>
      </c>
      <c r="X42" s="168">
        <f t="shared" si="5"/>
        <v>0.5</v>
      </c>
      <c r="Y42" s="14"/>
    </row>
    <row r="43" spans="1:25" s="7" customFormat="1" ht="13.5" customHeight="1">
      <c r="A43" s="95"/>
      <c r="B43" s="87"/>
      <c r="C43" s="20" t="s">
        <v>322</v>
      </c>
      <c r="D43" s="20" t="s">
        <v>144</v>
      </c>
      <c r="E43" s="26">
        <v>1</v>
      </c>
      <c r="F43" s="70" t="s">
        <v>326</v>
      </c>
      <c r="G43" s="28">
        <v>36</v>
      </c>
      <c r="H43" s="37">
        <f t="shared" si="1"/>
        <v>36</v>
      </c>
      <c r="I43" s="309">
        <v>3.5</v>
      </c>
      <c r="J43" s="152">
        <v>8.36</v>
      </c>
      <c r="K43" s="154">
        <v>1.3</v>
      </c>
      <c r="L43" s="169">
        <v>0.2</v>
      </c>
      <c r="M43" s="153">
        <f t="shared" si="2"/>
        <v>9.66</v>
      </c>
      <c r="N43" s="166">
        <v>0.33</v>
      </c>
      <c r="O43" s="167">
        <v>0.1</v>
      </c>
      <c r="P43" s="168">
        <v>0.1</v>
      </c>
      <c r="Q43" s="309">
        <f t="shared" si="6"/>
        <v>3.5</v>
      </c>
      <c r="R43" s="152">
        <f t="shared" si="7"/>
        <v>8.36</v>
      </c>
      <c r="S43" s="154">
        <f t="shared" si="8"/>
        <v>1.3</v>
      </c>
      <c r="T43" s="169">
        <f t="shared" si="9"/>
        <v>0.2</v>
      </c>
      <c r="U43" s="153">
        <f t="shared" si="0"/>
        <v>9.66</v>
      </c>
      <c r="V43" s="166">
        <f t="shared" si="3"/>
        <v>0.33</v>
      </c>
      <c r="W43" s="167">
        <f t="shared" si="4"/>
        <v>0.1</v>
      </c>
      <c r="X43" s="168">
        <f t="shared" si="5"/>
        <v>0.1</v>
      </c>
      <c r="Y43" s="14"/>
    </row>
    <row r="44" spans="1:25" s="7" customFormat="1" ht="13.5" customHeight="1">
      <c r="A44" s="95">
        <v>40400</v>
      </c>
      <c r="B44" s="87">
        <v>595</v>
      </c>
      <c r="C44" s="20" t="s">
        <v>30</v>
      </c>
      <c r="D44" s="20" t="s">
        <v>42</v>
      </c>
      <c r="E44" s="26">
        <v>30</v>
      </c>
      <c r="F44" s="70" t="s">
        <v>327</v>
      </c>
      <c r="G44" s="28">
        <v>66</v>
      </c>
      <c r="H44" s="37">
        <f t="shared" si="1"/>
        <v>1980</v>
      </c>
      <c r="I44" s="309">
        <v>6.5</v>
      </c>
      <c r="J44" s="152">
        <v>12.38</v>
      </c>
      <c r="K44" s="154">
        <v>1.35</v>
      </c>
      <c r="L44" s="169">
        <v>0.2</v>
      </c>
      <c r="M44" s="153">
        <f t="shared" si="2"/>
        <v>13.73</v>
      </c>
      <c r="N44" s="166">
        <v>1.33</v>
      </c>
      <c r="O44" s="167">
        <v>0.1</v>
      </c>
      <c r="P44" s="168">
        <v>0.2</v>
      </c>
      <c r="Q44" s="309">
        <f t="shared" si="6"/>
        <v>195</v>
      </c>
      <c r="R44" s="152">
        <f t="shared" si="7"/>
        <v>371.40000000000003</v>
      </c>
      <c r="S44" s="154">
        <f t="shared" si="8"/>
        <v>40.5</v>
      </c>
      <c r="T44" s="169">
        <f t="shared" si="9"/>
        <v>6</v>
      </c>
      <c r="U44" s="153">
        <f t="shared" si="0"/>
        <v>411.90000000000003</v>
      </c>
      <c r="V44" s="166">
        <f t="shared" si="3"/>
        <v>39.900000000000006</v>
      </c>
      <c r="W44" s="167">
        <f t="shared" si="4"/>
        <v>3</v>
      </c>
      <c r="X44" s="168">
        <f t="shared" si="5"/>
        <v>6</v>
      </c>
      <c r="Y44" s="14"/>
    </row>
    <row r="45" spans="1:25" s="7" customFormat="1" ht="13.5" customHeight="1">
      <c r="A45" s="95"/>
      <c r="B45" s="86"/>
      <c r="C45" s="20" t="s">
        <v>30</v>
      </c>
      <c r="D45" s="20" t="s">
        <v>42</v>
      </c>
      <c r="E45" s="26">
        <v>60</v>
      </c>
      <c r="F45" s="70" t="s">
        <v>328</v>
      </c>
      <c r="G45" s="28">
        <v>61</v>
      </c>
      <c r="H45" s="37">
        <f t="shared" si="1"/>
        <v>3660</v>
      </c>
      <c r="I45" s="309">
        <v>6.5</v>
      </c>
      <c r="J45" s="152">
        <v>10.43</v>
      </c>
      <c r="K45" s="154">
        <v>1.35</v>
      </c>
      <c r="L45" s="169">
        <v>0.2</v>
      </c>
      <c r="M45" s="153">
        <f t="shared" si="2"/>
        <v>11.78</v>
      </c>
      <c r="N45" s="166">
        <v>1.33</v>
      </c>
      <c r="O45" s="167">
        <v>0.1</v>
      </c>
      <c r="P45" s="168">
        <v>0.2</v>
      </c>
      <c r="Q45" s="309">
        <f t="shared" si="6"/>
        <v>390</v>
      </c>
      <c r="R45" s="152">
        <f t="shared" si="7"/>
        <v>625.79999999999995</v>
      </c>
      <c r="S45" s="154">
        <f t="shared" si="8"/>
        <v>81</v>
      </c>
      <c r="T45" s="169">
        <f t="shared" si="9"/>
        <v>12</v>
      </c>
      <c r="U45" s="153">
        <f t="shared" si="0"/>
        <v>706.8</v>
      </c>
      <c r="V45" s="166">
        <f t="shared" si="3"/>
        <v>79.800000000000011</v>
      </c>
      <c r="W45" s="167">
        <f t="shared" si="4"/>
        <v>6</v>
      </c>
      <c r="X45" s="168">
        <f t="shared" si="5"/>
        <v>12</v>
      </c>
      <c r="Y45" s="14"/>
    </row>
    <row r="46" spans="1:25" s="7" customFormat="1" ht="13.5" customHeight="1">
      <c r="A46" s="95">
        <v>40401</v>
      </c>
      <c r="B46" s="86">
        <v>596</v>
      </c>
      <c r="C46" s="20" t="s">
        <v>21</v>
      </c>
      <c r="D46" s="20" t="s">
        <v>42</v>
      </c>
      <c r="E46" s="26">
        <v>15</v>
      </c>
      <c r="F46" s="70" t="s">
        <v>329</v>
      </c>
      <c r="G46" s="28">
        <v>114</v>
      </c>
      <c r="H46" s="37">
        <f t="shared" si="1"/>
        <v>1710</v>
      </c>
      <c r="I46" s="309">
        <v>8.5</v>
      </c>
      <c r="J46" s="152">
        <v>43.46</v>
      </c>
      <c r="K46" s="154">
        <v>2.5</v>
      </c>
      <c r="L46" s="169">
        <v>0.4</v>
      </c>
      <c r="M46" s="153">
        <f t="shared" si="2"/>
        <v>45.96</v>
      </c>
      <c r="N46" s="166">
        <v>0</v>
      </c>
      <c r="O46" s="167">
        <v>0.1</v>
      </c>
      <c r="P46" s="168">
        <v>0.5</v>
      </c>
      <c r="Q46" s="309">
        <f t="shared" si="6"/>
        <v>127.5</v>
      </c>
      <c r="R46" s="152">
        <f t="shared" si="7"/>
        <v>651.9</v>
      </c>
      <c r="S46" s="154">
        <f t="shared" si="8"/>
        <v>37.5</v>
      </c>
      <c r="T46" s="169">
        <f t="shared" si="9"/>
        <v>6</v>
      </c>
      <c r="U46" s="153">
        <f t="shared" si="0"/>
        <v>689.4</v>
      </c>
      <c r="V46" s="166">
        <f t="shared" si="3"/>
        <v>0</v>
      </c>
      <c r="W46" s="167">
        <f t="shared" si="4"/>
        <v>1.5</v>
      </c>
      <c r="X46" s="168">
        <f t="shared" si="5"/>
        <v>7.5</v>
      </c>
      <c r="Y46" s="14"/>
    </row>
    <row r="47" spans="1:25" s="7" customFormat="1" ht="13.5" customHeight="1">
      <c r="A47" s="95">
        <v>40401</v>
      </c>
      <c r="B47" s="86">
        <v>597</v>
      </c>
      <c r="C47" s="20" t="s">
        <v>330</v>
      </c>
      <c r="D47" s="20" t="s">
        <v>24</v>
      </c>
      <c r="E47" s="26">
        <v>1500</v>
      </c>
      <c r="F47" s="70" t="s">
        <v>331</v>
      </c>
      <c r="G47" s="28">
        <v>12</v>
      </c>
      <c r="H47" s="37">
        <f t="shared" si="1"/>
        <v>18000</v>
      </c>
      <c r="I47" s="309">
        <v>1.5</v>
      </c>
      <c r="J47" s="152">
        <v>0.91</v>
      </c>
      <c r="K47" s="154">
        <v>3.6</v>
      </c>
      <c r="L47" s="169">
        <v>0.54</v>
      </c>
      <c r="M47" s="153">
        <f t="shared" si="2"/>
        <v>4.51</v>
      </c>
      <c r="N47" s="166">
        <v>0.13</v>
      </c>
      <c r="O47" s="167">
        <v>0.1</v>
      </c>
      <c r="P47" s="168">
        <v>0.1</v>
      </c>
      <c r="Q47" s="314">
        <f t="shared" si="6"/>
        <v>2250</v>
      </c>
      <c r="R47" s="178">
        <f t="shared" si="7"/>
        <v>1365</v>
      </c>
      <c r="S47" s="204">
        <f t="shared" si="8"/>
        <v>5400</v>
      </c>
      <c r="T47" s="169">
        <f t="shared" si="9"/>
        <v>810</v>
      </c>
      <c r="U47" s="179">
        <f t="shared" si="0"/>
        <v>6765</v>
      </c>
      <c r="V47" s="166">
        <f t="shared" si="3"/>
        <v>195</v>
      </c>
      <c r="W47" s="167">
        <f t="shared" si="4"/>
        <v>150</v>
      </c>
      <c r="X47" s="168">
        <f t="shared" si="5"/>
        <v>150</v>
      </c>
      <c r="Y47" s="14"/>
    </row>
    <row r="48" spans="1:25" s="7" customFormat="1" ht="13.5" customHeight="1">
      <c r="A48" s="95"/>
      <c r="B48" s="86"/>
      <c r="C48" s="20" t="s">
        <v>330</v>
      </c>
      <c r="D48" s="20" t="s">
        <v>24</v>
      </c>
      <c r="E48" s="26">
        <v>50</v>
      </c>
      <c r="F48" s="70" t="s">
        <v>332</v>
      </c>
      <c r="G48" s="28">
        <v>35</v>
      </c>
      <c r="H48" s="37">
        <f t="shared" si="1"/>
        <v>1750</v>
      </c>
      <c r="I48" s="309">
        <v>3.5</v>
      </c>
      <c r="J48" s="152">
        <v>10.8</v>
      </c>
      <c r="K48" s="154">
        <v>0</v>
      </c>
      <c r="L48" s="169">
        <v>0</v>
      </c>
      <c r="M48" s="153">
        <f t="shared" si="2"/>
        <v>10.8</v>
      </c>
      <c r="N48" s="166">
        <v>0.33</v>
      </c>
      <c r="O48" s="167">
        <v>0.25</v>
      </c>
      <c r="P48" s="168">
        <v>0.1</v>
      </c>
      <c r="Q48" s="309">
        <f t="shared" si="6"/>
        <v>175</v>
      </c>
      <c r="R48" s="152">
        <f t="shared" si="7"/>
        <v>540</v>
      </c>
      <c r="S48" s="154">
        <f t="shared" si="8"/>
        <v>0</v>
      </c>
      <c r="T48" s="169">
        <f t="shared" si="9"/>
        <v>0</v>
      </c>
      <c r="U48" s="153">
        <f t="shared" si="0"/>
        <v>540</v>
      </c>
      <c r="V48" s="166">
        <f t="shared" si="3"/>
        <v>16.5</v>
      </c>
      <c r="W48" s="167">
        <f t="shared" si="4"/>
        <v>12.5</v>
      </c>
      <c r="X48" s="168">
        <f t="shared" si="5"/>
        <v>5</v>
      </c>
      <c r="Y48" s="14"/>
    </row>
    <row r="49" spans="1:25" s="7" customFormat="1" ht="13.5" customHeight="1">
      <c r="A49" s="95">
        <v>40402</v>
      </c>
      <c r="B49" s="86">
        <v>598</v>
      </c>
      <c r="C49" s="20" t="s">
        <v>167</v>
      </c>
      <c r="D49" s="20" t="s">
        <v>168</v>
      </c>
      <c r="E49" s="26">
        <v>5</v>
      </c>
      <c r="F49" s="70" t="s">
        <v>333</v>
      </c>
      <c r="G49" s="28">
        <v>36.5</v>
      </c>
      <c r="H49" s="37">
        <f t="shared" si="1"/>
        <v>182.5</v>
      </c>
      <c r="I49" s="309">
        <v>3.5</v>
      </c>
      <c r="J49" s="152">
        <v>6.88</v>
      </c>
      <c r="K49" s="154">
        <v>0</v>
      </c>
      <c r="L49" s="169">
        <v>0</v>
      </c>
      <c r="M49" s="153">
        <f>J49+K49</f>
        <v>6.88</v>
      </c>
      <c r="N49" s="166">
        <v>0.33</v>
      </c>
      <c r="O49" s="167">
        <v>0.25</v>
      </c>
      <c r="P49" s="168">
        <v>0.1</v>
      </c>
      <c r="Q49" s="309">
        <f t="shared" si="6"/>
        <v>17.5</v>
      </c>
      <c r="R49" s="152">
        <f t="shared" si="7"/>
        <v>34.4</v>
      </c>
      <c r="S49" s="154">
        <f t="shared" si="8"/>
        <v>0</v>
      </c>
      <c r="T49" s="169">
        <f t="shared" si="9"/>
        <v>0</v>
      </c>
      <c r="U49" s="153">
        <f t="shared" si="0"/>
        <v>34.4</v>
      </c>
      <c r="V49" s="166">
        <f t="shared" si="3"/>
        <v>1.6500000000000001</v>
      </c>
      <c r="W49" s="167">
        <f t="shared" si="4"/>
        <v>1.25</v>
      </c>
      <c r="X49" s="168">
        <f t="shared" si="5"/>
        <v>0.5</v>
      </c>
      <c r="Y49" s="14"/>
    </row>
    <row r="50" spans="1:25" s="7" customFormat="1" ht="13.5" customHeight="1">
      <c r="A50" s="95"/>
      <c r="B50" s="86"/>
      <c r="C50" s="20" t="s">
        <v>167</v>
      </c>
      <c r="D50" s="20" t="s">
        <v>168</v>
      </c>
      <c r="E50" s="26">
        <v>11</v>
      </c>
      <c r="F50" s="70" t="s">
        <v>334</v>
      </c>
      <c r="G50" s="28">
        <v>36.5</v>
      </c>
      <c r="H50" s="37">
        <f t="shared" si="1"/>
        <v>401.5</v>
      </c>
      <c r="I50" s="309">
        <v>3.5</v>
      </c>
      <c r="J50" s="152">
        <v>5.0599999999999996</v>
      </c>
      <c r="K50" s="154">
        <v>0</v>
      </c>
      <c r="L50" s="169">
        <v>0</v>
      </c>
      <c r="M50" s="153">
        <f t="shared" si="2"/>
        <v>5.0599999999999996</v>
      </c>
      <c r="N50" s="166">
        <v>0.33</v>
      </c>
      <c r="O50" s="167">
        <v>0.1</v>
      </c>
      <c r="P50" s="168">
        <v>0.1</v>
      </c>
      <c r="Q50" s="309">
        <f t="shared" si="6"/>
        <v>38.5</v>
      </c>
      <c r="R50" s="152">
        <f t="shared" si="7"/>
        <v>55.66</v>
      </c>
      <c r="S50" s="154">
        <f t="shared" si="8"/>
        <v>0</v>
      </c>
      <c r="T50" s="169">
        <f t="shared" si="9"/>
        <v>0</v>
      </c>
      <c r="U50" s="153">
        <f t="shared" si="0"/>
        <v>55.66</v>
      </c>
      <c r="V50" s="166">
        <f t="shared" si="3"/>
        <v>3.6300000000000003</v>
      </c>
      <c r="W50" s="167">
        <f t="shared" si="4"/>
        <v>1.1000000000000001</v>
      </c>
      <c r="X50" s="168">
        <f t="shared" si="5"/>
        <v>1.1000000000000001</v>
      </c>
      <c r="Y50" s="14"/>
    </row>
    <row r="51" spans="1:25" s="7" customFormat="1" ht="13.5" customHeight="1">
      <c r="A51" s="95"/>
      <c r="B51" s="86"/>
      <c r="C51" s="20" t="s">
        <v>167</v>
      </c>
      <c r="D51" s="20" t="s">
        <v>168</v>
      </c>
      <c r="E51" s="26">
        <v>19</v>
      </c>
      <c r="F51" s="70" t="s">
        <v>335</v>
      </c>
      <c r="G51" s="28">
        <v>18.5</v>
      </c>
      <c r="H51" s="37">
        <f t="shared" si="1"/>
        <v>351.5</v>
      </c>
      <c r="I51" s="309">
        <v>1</v>
      </c>
      <c r="J51" s="152">
        <v>1.29</v>
      </c>
      <c r="K51" s="154">
        <v>0</v>
      </c>
      <c r="L51" s="169">
        <v>0</v>
      </c>
      <c r="M51" s="153">
        <f t="shared" si="2"/>
        <v>1.29</v>
      </c>
      <c r="N51" s="166">
        <v>0</v>
      </c>
      <c r="O51" s="167">
        <v>0.1</v>
      </c>
      <c r="P51" s="168">
        <v>0.1</v>
      </c>
      <c r="Q51" s="309">
        <f t="shared" si="6"/>
        <v>19</v>
      </c>
      <c r="R51" s="152">
        <f t="shared" si="7"/>
        <v>24.51</v>
      </c>
      <c r="S51" s="154">
        <f t="shared" si="8"/>
        <v>0</v>
      </c>
      <c r="T51" s="169">
        <f t="shared" si="9"/>
        <v>0</v>
      </c>
      <c r="U51" s="153">
        <f t="shared" si="0"/>
        <v>24.51</v>
      </c>
      <c r="V51" s="166">
        <f t="shared" si="3"/>
        <v>0</v>
      </c>
      <c r="W51" s="167">
        <f t="shared" si="4"/>
        <v>1.9000000000000001</v>
      </c>
      <c r="X51" s="168">
        <f t="shared" si="5"/>
        <v>1.9000000000000001</v>
      </c>
      <c r="Y51" s="14"/>
    </row>
    <row r="52" spans="1:25" s="7" customFormat="1" ht="13.5" customHeight="1">
      <c r="A52" s="95">
        <v>40402</v>
      </c>
      <c r="B52" s="86">
        <v>599</v>
      </c>
      <c r="C52" s="20" t="s">
        <v>336</v>
      </c>
      <c r="D52" s="20" t="s">
        <v>168</v>
      </c>
      <c r="E52" s="26">
        <f>30-10</f>
        <v>20</v>
      </c>
      <c r="F52" s="70" t="s">
        <v>337</v>
      </c>
      <c r="G52" s="28">
        <v>36</v>
      </c>
      <c r="H52" s="37">
        <f t="shared" si="1"/>
        <v>720</v>
      </c>
      <c r="I52" s="309">
        <v>3.5</v>
      </c>
      <c r="J52" s="152">
        <v>3.08</v>
      </c>
      <c r="K52" s="154">
        <v>4.7</v>
      </c>
      <c r="L52" s="169">
        <v>0.7</v>
      </c>
      <c r="M52" s="153">
        <f t="shared" si="2"/>
        <v>7.78</v>
      </c>
      <c r="N52" s="166">
        <v>0.33</v>
      </c>
      <c r="O52" s="167">
        <v>0.25</v>
      </c>
      <c r="P52" s="168">
        <v>0.1</v>
      </c>
      <c r="Q52" s="309">
        <f t="shared" si="6"/>
        <v>70</v>
      </c>
      <c r="R52" s="152">
        <f t="shared" si="7"/>
        <v>61.6</v>
      </c>
      <c r="S52" s="154">
        <f t="shared" si="8"/>
        <v>94</v>
      </c>
      <c r="T52" s="169">
        <f t="shared" si="9"/>
        <v>14</v>
      </c>
      <c r="U52" s="153">
        <f t="shared" si="0"/>
        <v>155.6</v>
      </c>
      <c r="V52" s="166">
        <f t="shared" si="3"/>
        <v>6.6000000000000005</v>
      </c>
      <c r="W52" s="167">
        <f t="shared" si="4"/>
        <v>5</v>
      </c>
      <c r="X52" s="168">
        <f t="shared" si="5"/>
        <v>2</v>
      </c>
      <c r="Y52" s="14"/>
    </row>
    <row r="53" spans="1:25" s="7" customFormat="1" ht="13.5" customHeight="1">
      <c r="A53" s="95"/>
      <c r="B53" s="86">
        <v>600</v>
      </c>
      <c r="C53" s="20"/>
      <c r="D53" s="20"/>
      <c r="E53" s="26"/>
      <c r="F53" s="70" t="s">
        <v>404</v>
      </c>
      <c r="G53" s="28"/>
      <c r="H53" s="37">
        <f t="shared" si="1"/>
        <v>0</v>
      </c>
      <c r="I53" s="309">
        <v>0</v>
      </c>
      <c r="J53" s="152">
        <v>0</v>
      </c>
      <c r="K53" s="154">
        <v>0</v>
      </c>
      <c r="L53" s="169">
        <v>0</v>
      </c>
      <c r="M53" s="153">
        <f t="shared" si="2"/>
        <v>0</v>
      </c>
      <c r="N53" s="166">
        <v>0</v>
      </c>
      <c r="O53" s="167">
        <v>0</v>
      </c>
      <c r="P53" s="168">
        <v>0</v>
      </c>
      <c r="Q53" s="309">
        <f t="shared" si="6"/>
        <v>0</v>
      </c>
      <c r="R53" s="152">
        <f t="shared" si="7"/>
        <v>0</v>
      </c>
      <c r="S53" s="154">
        <f t="shared" si="8"/>
        <v>0</v>
      </c>
      <c r="T53" s="169">
        <f t="shared" si="9"/>
        <v>0</v>
      </c>
      <c r="U53" s="153">
        <f t="shared" si="0"/>
        <v>0</v>
      </c>
      <c r="V53" s="166">
        <f t="shared" si="3"/>
        <v>0</v>
      </c>
      <c r="W53" s="167">
        <f t="shared" si="4"/>
        <v>0</v>
      </c>
      <c r="X53" s="168">
        <f t="shared" si="5"/>
        <v>0</v>
      </c>
      <c r="Y53" s="14"/>
    </row>
    <row r="54" spans="1:25" s="7" customFormat="1" ht="13.5" customHeight="1">
      <c r="A54" s="95">
        <v>40404</v>
      </c>
      <c r="B54" s="86">
        <v>601</v>
      </c>
      <c r="C54" s="20" t="s">
        <v>338</v>
      </c>
      <c r="D54" s="20" t="s">
        <v>339</v>
      </c>
      <c r="E54" s="26">
        <v>24</v>
      </c>
      <c r="F54" s="70" t="s">
        <v>340</v>
      </c>
      <c r="G54" s="28">
        <f>65+6.5</f>
        <v>71.5</v>
      </c>
      <c r="H54" s="37">
        <f t="shared" si="1"/>
        <v>1716</v>
      </c>
      <c r="I54" s="309">
        <v>1.5</v>
      </c>
      <c r="J54" s="152">
        <v>20.57</v>
      </c>
      <c r="K54" s="204">
        <v>15.5</v>
      </c>
      <c r="L54" s="169">
        <v>2.33</v>
      </c>
      <c r="M54" s="153">
        <f t="shared" si="2"/>
        <v>36.07</v>
      </c>
      <c r="N54" s="166">
        <v>0.57999999999999996</v>
      </c>
      <c r="O54" s="167">
        <v>0.1</v>
      </c>
      <c r="P54" s="168">
        <v>0.1</v>
      </c>
      <c r="Q54" s="309">
        <f t="shared" si="6"/>
        <v>36</v>
      </c>
      <c r="R54" s="152">
        <f t="shared" si="7"/>
        <v>493.68</v>
      </c>
      <c r="S54" s="154">
        <f t="shared" si="8"/>
        <v>372</v>
      </c>
      <c r="T54" s="169">
        <f t="shared" si="9"/>
        <v>55.92</v>
      </c>
      <c r="U54" s="153">
        <f t="shared" si="0"/>
        <v>865.68000000000006</v>
      </c>
      <c r="V54" s="166">
        <f t="shared" si="3"/>
        <v>13.919999999999998</v>
      </c>
      <c r="W54" s="167">
        <f t="shared" si="4"/>
        <v>2.4000000000000004</v>
      </c>
      <c r="X54" s="168">
        <f t="shared" si="5"/>
        <v>2.4000000000000004</v>
      </c>
      <c r="Y54" s="14"/>
    </row>
    <row r="55" spans="1:25" s="7" customFormat="1" ht="13.5" customHeight="1">
      <c r="A55" s="95">
        <v>40407</v>
      </c>
      <c r="B55" s="86">
        <v>602</v>
      </c>
      <c r="C55" s="20" t="s">
        <v>32</v>
      </c>
      <c r="D55" s="20" t="s">
        <v>341</v>
      </c>
      <c r="E55" s="26">
        <v>34</v>
      </c>
      <c r="F55" s="70" t="s">
        <v>342</v>
      </c>
      <c r="G55" s="28">
        <v>70</v>
      </c>
      <c r="H55" s="37">
        <f t="shared" si="1"/>
        <v>2380</v>
      </c>
      <c r="I55" s="309">
        <v>5.5</v>
      </c>
      <c r="J55" s="152">
        <v>30.7</v>
      </c>
      <c r="K55" s="154">
        <v>1.1000000000000001</v>
      </c>
      <c r="L55" s="169">
        <v>0.17</v>
      </c>
      <c r="M55" s="153">
        <f t="shared" si="2"/>
        <v>31.8</v>
      </c>
      <c r="N55" s="166">
        <v>1.25</v>
      </c>
      <c r="O55" s="167">
        <v>0.1</v>
      </c>
      <c r="P55" s="168">
        <v>0.1</v>
      </c>
      <c r="Q55" s="309">
        <f t="shared" si="6"/>
        <v>187</v>
      </c>
      <c r="R55" s="178">
        <f t="shared" si="7"/>
        <v>1043.8</v>
      </c>
      <c r="S55" s="154">
        <f t="shared" si="8"/>
        <v>37.400000000000006</v>
      </c>
      <c r="T55" s="169">
        <f t="shared" si="9"/>
        <v>5.78</v>
      </c>
      <c r="U55" s="179">
        <f t="shared" si="0"/>
        <v>1081.2</v>
      </c>
      <c r="V55" s="166">
        <f t="shared" si="3"/>
        <v>42.5</v>
      </c>
      <c r="W55" s="167">
        <f t="shared" si="4"/>
        <v>3.4000000000000004</v>
      </c>
      <c r="X55" s="168">
        <f t="shared" si="5"/>
        <v>3.4000000000000004</v>
      </c>
      <c r="Y55" s="14"/>
    </row>
    <row r="56" spans="1:25" s="7" customFormat="1" ht="13.5" customHeight="1">
      <c r="A56" s="95"/>
      <c r="B56" s="86"/>
      <c r="C56" s="20" t="s">
        <v>32</v>
      </c>
      <c r="D56" s="20" t="s">
        <v>341</v>
      </c>
      <c r="E56" s="26">
        <v>75</v>
      </c>
      <c r="F56" s="70" t="s">
        <v>343</v>
      </c>
      <c r="G56" s="28">
        <v>9.5</v>
      </c>
      <c r="H56" s="37">
        <f t="shared" si="1"/>
        <v>712.5</v>
      </c>
      <c r="I56" s="309">
        <v>1</v>
      </c>
      <c r="J56" s="152">
        <v>2.19</v>
      </c>
      <c r="K56" s="154">
        <v>1</v>
      </c>
      <c r="L56" s="169">
        <v>0.15</v>
      </c>
      <c r="M56" s="153">
        <f>J56+K56</f>
        <v>3.19</v>
      </c>
      <c r="N56" s="166">
        <v>0.17</v>
      </c>
      <c r="O56" s="167">
        <v>0.2</v>
      </c>
      <c r="P56" s="168">
        <v>0.2</v>
      </c>
      <c r="Q56" s="309">
        <f t="shared" si="6"/>
        <v>75</v>
      </c>
      <c r="R56" s="152">
        <f t="shared" si="7"/>
        <v>164.25</v>
      </c>
      <c r="S56" s="154">
        <f t="shared" si="8"/>
        <v>75</v>
      </c>
      <c r="T56" s="169">
        <f t="shared" si="9"/>
        <v>11.25</v>
      </c>
      <c r="U56" s="153">
        <f t="shared" si="0"/>
        <v>239.25</v>
      </c>
      <c r="V56" s="166">
        <f t="shared" si="3"/>
        <v>12.750000000000002</v>
      </c>
      <c r="W56" s="167">
        <f t="shared" si="4"/>
        <v>15</v>
      </c>
      <c r="X56" s="168">
        <f t="shared" si="5"/>
        <v>15</v>
      </c>
      <c r="Y56" s="14"/>
    </row>
    <row r="57" spans="1:25" s="7" customFormat="1" ht="13.5" customHeight="1">
      <c r="A57" s="95">
        <v>40402</v>
      </c>
      <c r="B57" s="86">
        <v>603</v>
      </c>
      <c r="C57" s="20" t="s">
        <v>30</v>
      </c>
      <c r="D57" s="20" t="s">
        <v>42</v>
      </c>
      <c r="E57" s="26">
        <v>3400</v>
      </c>
      <c r="F57" s="70" t="s">
        <v>344</v>
      </c>
      <c r="G57" s="28">
        <v>2.9</v>
      </c>
      <c r="H57" s="37">
        <f t="shared" si="1"/>
        <v>9860</v>
      </c>
      <c r="I57" s="309">
        <v>0.35</v>
      </c>
      <c r="J57" s="152">
        <v>0.83</v>
      </c>
      <c r="K57" s="154">
        <v>0</v>
      </c>
      <c r="L57" s="169">
        <v>0</v>
      </c>
      <c r="M57" s="153">
        <f t="shared" si="2"/>
        <v>0.83</v>
      </c>
      <c r="N57" s="166">
        <v>0</v>
      </c>
      <c r="O57" s="167">
        <v>0</v>
      </c>
      <c r="P57" s="168">
        <v>0</v>
      </c>
      <c r="Q57" s="314">
        <f t="shared" si="6"/>
        <v>1190</v>
      </c>
      <c r="R57" s="178">
        <f t="shared" si="7"/>
        <v>2822</v>
      </c>
      <c r="S57" s="154">
        <f t="shared" si="8"/>
        <v>0</v>
      </c>
      <c r="T57" s="169">
        <f t="shared" si="9"/>
        <v>0</v>
      </c>
      <c r="U57" s="179">
        <f t="shared" si="0"/>
        <v>2822</v>
      </c>
      <c r="V57" s="166">
        <f t="shared" si="3"/>
        <v>0</v>
      </c>
      <c r="W57" s="167">
        <f t="shared" si="4"/>
        <v>0</v>
      </c>
      <c r="X57" s="168">
        <f t="shared" si="5"/>
        <v>0</v>
      </c>
      <c r="Y57" s="14"/>
    </row>
    <row r="58" spans="1:25" s="7" customFormat="1" ht="13.5" customHeight="1">
      <c r="A58" s="95">
        <v>40407</v>
      </c>
      <c r="B58" s="86">
        <v>604</v>
      </c>
      <c r="C58" s="20" t="s">
        <v>269</v>
      </c>
      <c r="D58" s="20" t="s">
        <v>135</v>
      </c>
      <c r="E58" s="26">
        <v>4</v>
      </c>
      <c r="F58" s="70" t="s">
        <v>345</v>
      </c>
      <c r="G58" s="28">
        <v>45.5</v>
      </c>
      <c r="H58" s="37">
        <f t="shared" si="1"/>
        <v>182</v>
      </c>
      <c r="I58" s="309">
        <v>5.5</v>
      </c>
      <c r="J58" s="152">
        <v>7.07</v>
      </c>
      <c r="K58" s="154">
        <v>2</v>
      </c>
      <c r="L58" s="169">
        <v>0.3</v>
      </c>
      <c r="M58" s="153">
        <f t="shared" si="2"/>
        <v>9.07</v>
      </c>
      <c r="N58" s="166">
        <v>0.63</v>
      </c>
      <c r="O58" s="167">
        <v>0.1</v>
      </c>
      <c r="P58" s="168">
        <v>0.1</v>
      </c>
      <c r="Q58" s="309">
        <f t="shared" si="6"/>
        <v>22</v>
      </c>
      <c r="R58" s="178">
        <f t="shared" si="7"/>
        <v>28.28</v>
      </c>
      <c r="S58" s="154">
        <f t="shared" si="8"/>
        <v>8</v>
      </c>
      <c r="T58" s="169">
        <f t="shared" si="9"/>
        <v>1.2</v>
      </c>
      <c r="U58" s="153">
        <f t="shared" si="0"/>
        <v>36.28</v>
      </c>
      <c r="V58" s="166">
        <f t="shared" si="3"/>
        <v>2.52</v>
      </c>
      <c r="W58" s="167">
        <f t="shared" si="4"/>
        <v>0.4</v>
      </c>
      <c r="X58" s="168">
        <f t="shared" si="5"/>
        <v>0.4</v>
      </c>
      <c r="Y58" s="14"/>
    </row>
    <row r="59" spans="1:25" s="7" customFormat="1" ht="13.5" customHeight="1">
      <c r="A59" s="95">
        <v>40408</v>
      </c>
      <c r="B59" s="86">
        <v>605</v>
      </c>
      <c r="C59" s="20" t="s">
        <v>346</v>
      </c>
      <c r="D59" s="20" t="s">
        <v>347</v>
      </c>
      <c r="E59" s="26">
        <v>24</v>
      </c>
      <c r="F59" s="70" t="s">
        <v>348</v>
      </c>
      <c r="G59" s="28">
        <v>38.5</v>
      </c>
      <c r="H59" s="37">
        <f t="shared" si="1"/>
        <v>924</v>
      </c>
      <c r="I59" s="309">
        <v>3.5</v>
      </c>
      <c r="J59" s="152">
        <v>6.84</v>
      </c>
      <c r="K59" s="154">
        <v>3.5</v>
      </c>
      <c r="L59" s="169">
        <v>0.53</v>
      </c>
      <c r="M59" s="153">
        <f t="shared" si="2"/>
        <v>10.34</v>
      </c>
      <c r="N59" s="166">
        <v>0.33</v>
      </c>
      <c r="O59" s="167">
        <v>0.1</v>
      </c>
      <c r="P59" s="168">
        <v>0.1</v>
      </c>
      <c r="Q59" s="309">
        <f t="shared" si="6"/>
        <v>84</v>
      </c>
      <c r="R59" s="152">
        <f t="shared" si="7"/>
        <v>164.16</v>
      </c>
      <c r="S59" s="154">
        <f t="shared" si="8"/>
        <v>84</v>
      </c>
      <c r="T59" s="169">
        <f t="shared" si="9"/>
        <v>12.72</v>
      </c>
      <c r="U59" s="153">
        <f t="shared" si="0"/>
        <v>248.16</v>
      </c>
      <c r="V59" s="166">
        <f t="shared" si="3"/>
        <v>7.92</v>
      </c>
      <c r="W59" s="167">
        <f t="shared" si="4"/>
        <v>2.4000000000000004</v>
      </c>
      <c r="X59" s="168">
        <f t="shared" si="5"/>
        <v>2.4000000000000004</v>
      </c>
      <c r="Y59" s="14"/>
    </row>
    <row r="60" spans="1:25" ht="13.5" customHeight="1">
      <c r="A60" s="95"/>
      <c r="B60" s="86"/>
      <c r="C60" s="20" t="s">
        <v>346</v>
      </c>
      <c r="D60" s="20" t="s">
        <v>347</v>
      </c>
      <c r="E60" s="26">
        <v>24</v>
      </c>
      <c r="F60" s="70" t="s">
        <v>349</v>
      </c>
      <c r="G60" s="28">
        <v>35</v>
      </c>
      <c r="H60" s="37">
        <f t="shared" si="1"/>
        <v>840</v>
      </c>
      <c r="I60" s="309">
        <v>3.5</v>
      </c>
      <c r="J60" s="152">
        <v>6.29</v>
      </c>
      <c r="K60" s="154">
        <v>3.5</v>
      </c>
      <c r="L60" s="169">
        <v>0.53</v>
      </c>
      <c r="M60" s="153">
        <f t="shared" si="2"/>
        <v>9.7899999999999991</v>
      </c>
      <c r="N60" s="166">
        <v>0.33</v>
      </c>
      <c r="O60" s="167">
        <v>0.25</v>
      </c>
      <c r="P60" s="168">
        <v>0.1</v>
      </c>
      <c r="Q60" s="309">
        <f t="shared" si="6"/>
        <v>84</v>
      </c>
      <c r="R60" s="152">
        <f t="shared" si="7"/>
        <v>150.96</v>
      </c>
      <c r="S60" s="154">
        <f t="shared" si="8"/>
        <v>84</v>
      </c>
      <c r="T60" s="169">
        <f t="shared" si="9"/>
        <v>12.72</v>
      </c>
      <c r="U60" s="153">
        <f t="shared" si="0"/>
        <v>234.95999999999998</v>
      </c>
      <c r="V60" s="166">
        <f t="shared" si="3"/>
        <v>7.92</v>
      </c>
      <c r="W60" s="167">
        <f t="shared" si="4"/>
        <v>6</v>
      </c>
      <c r="X60" s="168">
        <f t="shared" si="5"/>
        <v>2.4000000000000004</v>
      </c>
      <c r="Y60" s="14"/>
    </row>
    <row r="61" spans="1:25" ht="13.5" customHeight="1">
      <c r="A61" s="95"/>
      <c r="B61" s="86"/>
      <c r="C61" s="20" t="s">
        <v>346</v>
      </c>
      <c r="D61" s="20" t="s">
        <v>347</v>
      </c>
      <c r="E61" s="26">
        <v>12</v>
      </c>
      <c r="F61" s="70" t="s">
        <v>350</v>
      </c>
      <c r="G61" s="28">
        <v>38.5</v>
      </c>
      <c r="H61" s="37">
        <f t="shared" si="1"/>
        <v>462</v>
      </c>
      <c r="I61" s="309">
        <v>3.5</v>
      </c>
      <c r="J61" s="152">
        <v>10.039999999999999</v>
      </c>
      <c r="K61" s="154">
        <v>3.5</v>
      </c>
      <c r="L61" s="169">
        <v>0.53</v>
      </c>
      <c r="M61" s="153">
        <f t="shared" si="2"/>
        <v>13.54</v>
      </c>
      <c r="N61" s="166">
        <v>0.33</v>
      </c>
      <c r="O61" s="167">
        <v>0.25</v>
      </c>
      <c r="P61" s="168">
        <v>0.1</v>
      </c>
      <c r="Q61" s="309">
        <f t="shared" si="6"/>
        <v>42</v>
      </c>
      <c r="R61" s="152">
        <f t="shared" si="7"/>
        <v>120.47999999999999</v>
      </c>
      <c r="S61" s="154">
        <f t="shared" si="8"/>
        <v>42</v>
      </c>
      <c r="T61" s="169">
        <f t="shared" si="9"/>
        <v>6.36</v>
      </c>
      <c r="U61" s="153">
        <f t="shared" si="0"/>
        <v>162.47999999999999</v>
      </c>
      <c r="V61" s="166">
        <f t="shared" si="3"/>
        <v>3.96</v>
      </c>
      <c r="W61" s="167">
        <f t="shared" si="4"/>
        <v>3</v>
      </c>
      <c r="X61" s="168">
        <f t="shared" si="5"/>
        <v>1.2000000000000002</v>
      </c>
      <c r="Y61" s="14"/>
    </row>
    <row r="62" spans="1:25" ht="13.5" customHeight="1">
      <c r="A62" s="95"/>
      <c r="B62" s="86"/>
      <c r="C62" s="20" t="s">
        <v>346</v>
      </c>
      <c r="D62" s="20" t="s">
        <v>347</v>
      </c>
      <c r="E62" s="26">
        <v>12</v>
      </c>
      <c r="F62" s="70" t="s">
        <v>351</v>
      </c>
      <c r="G62" s="28">
        <v>38.5</v>
      </c>
      <c r="H62" s="37">
        <f t="shared" si="1"/>
        <v>462</v>
      </c>
      <c r="I62" s="309">
        <v>4.5</v>
      </c>
      <c r="J62" s="152">
        <v>5.98</v>
      </c>
      <c r="K62" s="154">
        <v>0.4</v>
      </c>
      <c r="L62" s="169">
        <v>0.06</v>
      </c>
      <c r="M62" s="153">
        <f t="shared" si="2"/>
        <v>6.3800000000000008</v>
      </c>
      <c r="N62" s="166">
        <v>0.33</v>
      </c>
      <c r="O62" s="167">
        <v>0.1</v>
      </c>
      <c r="P62" s="168">
        <v>0.1</v>
      </c>
      <c r="Q62" s="309">
        <f t="shared" si="6"/>
        <v>54</v>
      </c>
      <c r="R62" s="152">
        <f t="shared" si="7"/>
        <v>71.760000000000005</v>
      </c>
      <c r="S62" s="154">
        <f t="shared" si="8"/>
        <v>4.8000000000000007</v>
      </c>
      <c r="T62" s="169">
        <f t="shared" si="9"/>
        <v>0.72</v>
      </c>
      <c r="U62" s="153">
        <f t="shared" si="0"/>
        <v>76.56</v>
      </c>
      <c r="V62" s="166">
        <f t="shared" si="3"/>
        <v>3.96</v>
      </c>
      <c r="W62" s="167">
        <f t="shared" si="4"/>
        <v>1.2000000000000002</v>
      </c>
      <c r="X62" s="168">
        <f t="shared" si="5"/>
        <v>1.2000000000000002</v>
      </c>
      <c r="Y62" s="14"/>
    </row>
    <row r="63" spans="1:25" ht="13.5" customHeight="1">
      <c r="A63" s="95"/>
      <c r="B63" s="86"/>
      <c r="C63" s="20" t="s">
        <v>346</v>
      </c>
      <c r="D63" s="20" t="s">
        <v>347</v>
      </c>
      <c r="E63" s="26">
        <v>12</v>
      </c>
      <c r="F63" s="70" t="s">
        <v>352</v>
      </c>
      <c r="G63" s="28">
        <v>25</v>
      </c>
      <c r="H63" s="37">
        <f t="shared" si="1"/>
        <v>300</v>
      </c>
      <c r="I63" s="309">
        <v>4.5</v>
      </c>
      <c r="J63" s="152">
        <v>6.23</v>
      </c>
      <c r="K63" s="154">
        <v>0.4</v>
      </c>
      <c r="L63" s="169">
        <v>0.06</v>
      </c>
      <c r="M63" s="153">
        <f t="shared" si="2"/>
        <v>6.6300000000000008</v>
      </c>
      <c r="N63" s="166">
        <v>0.33</v>
      </c>
      <c r="O63" s="167">
        <v>0.1</v>
      </c>
      <c r="P63" s="168">
        <v>0.1</v>
      </c>
      <c r="Q63" s="309">
        <f t="shared" si="6"/>
        <v>54</v>
      </c>
      <c r="R63" s="152">
        <f t="shared" si="7"/>
        <v>74.760000000000005</v>
      </c>
      <c r="S63" s="154">
        <f t="shared" si="8"/>
        <v>4.8000000000000007</v>
      </c>
      <c r="T63" s="169">
        <f t="shared" si="9"/>
        <v>0.72</v>
      </c>
      <c r="U63" s="153">
        <f t="shared" si="0"/>
        <v>79.56</v>
      </c>
      <c r="V63" s="166">
        <f t="shared" si="3"/>
        <v>3.96</v>
      </c>
      <c r="W63" s="167">
        <f t="shared" si="4"/>
        <v>1.2000000000000002</v>
      </c>
      <c r="X63" s="168">
        <f t="shared" si="5"/>
        <v>1.2000000000000002</v>
      </c>
      <c r="Y63" s="14"/>
    </row>
    <row r="64" spans="1:25" ht="13.5" customHeight="1">
      <c r="A64" s="95"/>
      <c r="B64" s="86"/>
      <c r="C64" s="20" t="s">
        <v>346</v>
      </c>
      <c r="D64" s="20" t="s">
        <v>347</v>
      </c>
      <c r="E64" s="26">
        <v>12</v>
      </c>
      <c r="F64" s="70" t="s">
        <v>353</v>
      </c>
      <c r="G64" s="28">
        <v>25</v>
      </c>
      <c r="H64" s="37">
        <f t="shared" si="1"/>
        <v>300</v>
      </c>
      <c r="I64" s="309">
        <v>4.5</v>
      </c>
      <c r="J64" s="152">
        <v>5.73</v>
      </c>
      <c r="K64" s="154">
        <v>0.4</v>
      </c>
      <c r="L64" s="169">
        <v>0.06</v>
      </c>
      <c r="M64" s="153">
        <f t="shared" si="2"/>
        <v>6.1300000000000008</v>
      </c>
      <c r="N64" s="166">
        <v>0.33</v>
      </c>
      <c r="O64" s="167">
        <v>0.1</v>
      </c>
      <c r="P64" s="168">
        <v>0.1</v>
      </c>
      <c r="Q64" s="309">
        <f t="shared" si="6"/>
        <v>54</v>
      </c>
      <c r="R64" s="152">
        <f t="shared" si="7"/>
        <v>68.760000000000005</v>
      </c>
      <c r="S64" s="154">
        <f t="shared" si="8"/>
        <v>4.8000000000000007</v>
      </c>
      <c r="T64" s="169">
        <f t="shared" si="9"/>
        <v>0.72</v>
      </c>
      <c r="U64" s="153">
        <f t="shared" si="0"/>
        <v>73.56</v>
      </c>
      <c r="V64" s="166">
        <f t="shared" si="3"/>
        <v>3.96</v>
      </c>
      <c r="W64" s="167">
        <f t="shared" si="4"/>
        <v>1.2000000000000002</v>
      </c>
      <c r="X64" s="168">
        <f t="shared" si="5"/>
        <v>1.2000000000000002</v>
      </c>
      <c r="Y64" s="14"/>
    </row>
    <row r="65" spans="1:25" ht="13.5" customHeight="1">
      <c r="A65" s="95">
        <v>40409</v>
      </c>
      <c r="B65" s="86">
        <v>606</v>
      </c>
      <c r="C65" s="20" t="s">
        <v>338</v>
      </c>
      <c r="D65" s="20" t="s">
        <v>339</v>
      </c>
      <c r="E65" s="26">
        <v>24</v>
      </c>
      <c r="F65" s="70" t="s">
        <v>354</v>
      </c>
      <c r="G65" s="28">
        <v>15.5</v>
      </c>
      <c r="H65" s="37">
        <f t="shared" si="1"/>
        <v>372</v>
      </c>
      <c r="I65" s="309">
        <v>1</v>
      </c>
      <c r="J65" s="152">
        <v>3.29</v>
      </c>
      <c r="K65" s="154">
        <v>2.7</v>
      </c>
      <c r="L65" s="169">
        <v>0.41</v>
      </c>
      <c r="M65" s="153">
        <f t="shared" si="2"/>
        <v>5.99</v>
      </c>
      <c r="N65" s="166">
        <v>0.28999999999999998</v>
      </c>
      <c r="O65" s="167">
        <v>0.1</v>
      </c>
      <c r="P65" s="168">
        <v>0.1</v>
      </c>
      <c r="Q65" s="309">
        <f t="shared" si="6"/>
        <v>24</v>
      </c>
      <c r="R65" s="152">
        <f t="shared" si="7"/>
        <v>78.960000000000008</v>
      </c>
      <c r="S65" s="154">
        <f t="shared" si="8"/>
        <v>64.800000000000011</v>
      </c>
      <c r="T65" s="169">
        <f t="shared" si="9"/>
        <v>9.84</v>
      </c>
      <c r="U65" s="153">
        <f t="shared" si="0"/>
        <v>143.76</v>
      </c>
      <c r="V65" s="166">
        <f t="shared" si="3"/>
        <v>6.9599999999999991</v>
      </c>
      <c r="W65" s="167">
        <f t="shared" si="4"/>
        <v>2.4000000000000004</v>
      </c>
      <c r="X65" s="168">
        <f t="shared" si="5"/>
        <v>2.4000000000000004</v>
      </c>
      <c r="Y65" s="14"/>
    </row>
    <row r="66" spans="1:25" ht="13.5" customHeight="1">
      <c r="A66" s="95"/>
      <c r="B66" s="86"/>
      <c r="C66" s="20" t="s">
        <v>338</v>
      </c>
      <c r="D66" s="20" t="s">
        <v>339</v>
      </c>
      <c r="E66" s="26">
        <v>3</v>
      </c>
      <c r="F66" s="70" t="s">
        <v>355</v>
      </c>
      <c r="G66" s="28">
        <v>38.5</v>
      </c>
      <c r="H66" s="37">
        <f t="shared" si="1"/>
        <v>115.5</v>
      </c>
      <c r="I66" s="309">
        <v>3.5</v>
      </c>
      <c r="J66" s="152">
        <v>4.71</v>
      </c>
      <c r="K66" s="154">
        <v>6.4</v>
      </c>
      <c r="L66" s="169">
        <v>0.96</v>
      </c>
      <c r="M66" s="153">
        <f t="shared" si="2"/>
        <v>11.11</v>
      </c>
      <c r="N66" s="166">
        <v>0.33</v>
      </c>
      <c r="O66" s="167">
        <v>0.1</v>
      </c>
      <c r="P66" s="168">
        <v>0.1</v>
      </c>
      <c r="Q66" s="309">
        <f t="shared" si="6"/>
        <v>10.5</v>
      </c>
      <c r="R66" s="152">
        <f t="shared" si="7"/>
        <v>14.129999999999999</v>
      </c>
      <c r="S66" s="154">
        <f t="shared" si="8"/>
        <v>19.200000000000003</v>
      </c>
      <c r="T66" s="169">
        <f t="shared" si="9"/>
        <v>2.88</v>
      </c>
      <c r="U66" s="153">
        <f t="shared" si="0"/>
        <v>33.33</v>
      </c>
      <c r="V66" s="166">
        <f t="shared" si="3"/>
        <v>0.99</v>
      </c>
      <c r="W66" s="167">
        <f t="shared" si="4"/>
        <v>0.30000000000000004</v>
      </c>
      <c r="X66" s="168">
        <f t="shared" si="5"/>
        <v>0.30000000000000004</v>
      </c>
      <c r="Y66" s="14"/>
    </row>
    <row r="67" spans="1:25" ht="13.5" customHeight="1">
      <c r="A67" s="95"/>
      <c r="B67" s="86"/>
      <c r="C67" s="20" t="s">
        <v>338</v>
      </c>
      <c r="D67" s="20" t="s">
        <v>339</v>
      </c>
      <c r="E67" s="26">
        <v>9</v>
      </c>
      <c r="F67" s="70" t="s">
        <v>356</v>
      </c>
      <c r="G67" s="28">
        <v>38.5</v>
      </c>
      <c r="H67" s="37">
        <f t="shared" si="1"/>
        <v>346.5</v>
      </c>
      <c r="I67" s="309">
        <v>3.5</v>
      </c>
      <c r="J67" s="152">
        <v>-0.34</v>
      </c>
      <c r="K67" s="154">
        <v>6.4</v>
      </c>
      <c r="L67" s="169">
        <v>0.96</v>
      </c>
      <c r="M67" s="153">
        <f t="shared" si="2"/>
        <v>6.0600000000000005</v>
      </c>
      <c r="N67" s="166">
        <v>0.33</v>
      </c>
      <c r="O67" s="167">
        <v>0.1</v>
      </c>
      <c r="P67" s="168">
        <v>0.1</v>
      </c>
      <c r="Q67" s="309">
        <f t="shared" si="6"/>
        <v>31.5</v>
      </c>
      <c r="R67" s="152">
        <f t="shared" si="7"/>
        <v>-3.06</v>
      </c>
      <c r="S67" s="154">
        <f t="shared" si="8"/>
        <v>57.6</v>
      </c>
      <c r="T67" s="169">
        <f t="shared" si="9"/>
        <v>8.64</v>
      </c>
      <c r="U67" s="153">
        <f t="shared" si="0"/>
        <v>54.540000000000006</v>
      </c>
      <c r="V67" s="166">
        <f t="shared" si="3"/>
        <v>2.97</v>
      </c>
      <c r="W67" s="167">
        <f t="shared" si="4"/>
        <v>0.9</v>
      </c>
      <c r="X67" s="168">
        <f t="shared" si="5"/>
        <v>0.9</v>
      </c>
      <c r="Y67" s="14"/>
    </row>
    <row r="68" spans="1:25" ht="13.5" customHeight="1">
      <c r="A68" s="95"/>
      <c r="B68" s="86"/>
      <c r="C68" s="20" t="s">
        <v>338</v>
      </c>
      <c r="D68" s="20" t="s">
        <v>339</v>
      </c>
      <c r="E68" s="26">
        <v>3</v>
      </c>
      <c r="F68" s="70" t="s">
        <v>357</v>
      </c>
      <c r="G68" s="28">
        <v>38.5</v>
      </c>
      <c r="H68" s="37">
        <f t="shared" si="1"/>
        <v>115.5</v>
      </c>
      <c r="I68" s="309">
        <v>3.5</v>
      </c>
      <c r="J68" s="152">
        <v>4.71</v>
      </c>
      <c r="K68" s="154">
        <v>6.4</v>
      </c>
      <c r="L68" s="169">
        <v>0.96</v>
      </c>
      <c r="M68" s="153">
        <f t="shared" si="2"/>
        <v>11.11</v>
      </c>
      <c r="N68" s="166">
        <v>0.33</v>
      </c>
      <c r="O68" s="167">
        <v>0.1</v>
      </c>
      <c r="P68" s="168">
        <v>0.1</v>
      </c>
      <c r="Q68" s="309">
        <f t="shared" si="6"/>
        <v>10.5</v>
      </c>
      <c r="R68" s="152">
        <f t="shared" si="7"/>
        <v>14.129999999999999</v>
      </c>
      <c r="S68" s="154">
        <f t="shared" si="8"/>
        <v>19.200000000000003</v>
      </c>
      <c r="T68" s="169">
        <f t="shared" si="9"/>
        <v>2.88</v>
      </c>
      <c r="U68" s="153">
        <f t="shared" si="0"/>
        <v>33.33</v>
      </c>
      <c r="V68" s="166">
        <f t="shared" si="3"/>
        <v>0.99</v>
      </c>
      <c r="W68" s="167">
        <f t="shared" si="4"/>
        <v>0.30000000000000004</v>
      </c>
      <c r="X68" s="168">
        <f t="shared" si="5"/>
        <v>0.30000000000000004</v>
      </c>
      <c r="Y68" s="14"/>
    </row>
    <row r="69" spans="1:25" ht="13.5" customHeight="1">
      <c r="A69" s="95"/>
      <c r="B69" s="86"/>
      <c r="C69" s="20" t="s">
        <v>338</v>
      </c>
      <c r="D69" s="20" t="s">
        <v>339</v>
      </c>
      <c r="E69" s="26">
        <v>9</v>
      </c>
      <c r="F69" s="70" t="s">
        <v>358</v>
      </c>
      <c r="G69" s="28">
        <v>38.5</v>
      </c>
      <c r="H69" s="37">
        <f t="shared" si="1"/>
        <v>346.5</v>
      </c>
      <c r="I69" s="309">
        <v>3.5</v>
      </c>
      <c r="J69" s="152">
        <v>-0.34</v>
      </c>
      <c r="K69" s="154">
        <v>6.4</v>
      </c>
      <c r="L69" s="169">
        <v>0.96</v>
      </c>
      <c r="M69" s="153">
        <f t="shared" si="2"/>
        <v>6.0600000000000005</v>
      </c>
      <c r="N69" s="166">
        <v>0.33</v>
      </c>
      <c r="O69" s="167">
        <v>0.1</v>
      </c>
      <c r="P69" s="168">
        <v>0.1</v>
      </c>
      <c r="Q69" s="309">
        <f t="shared" si="6"/>
        <v>31.5</v>
      </c>
      <c r="R69" s="152">
        <f t="shared" si="7"/>
        <v>-3.06</v>
      </c>
      <c r="S69" s="154">
        <f t="shared" si="8"/>
        <v>57.6</v>
      </c>
      <c r="T69" s="169">
        <f t="shared" si="9"/>
        <v>8.64</v>
      </c>
      <c r="U69" s="153">
        <f t="shared" si="0"/>
        <v>54.540000000000006</v>
      </c>
      <c r="V69" s="166">
        <f t="shared" si="3"/>
        <v>2.97</v>
      </c>
      <c r="W69" s="167">
        <f t="shared" si="4"/>
        <v>0.9</v>
      </c>
      <c r="X69" s="168">
        <f t="shared" si="5"/>
        <v>0.9</v>
      </c>
      <c r="Y69" s="14"/>
    </row>
    <row r="70" spans="1:25" ht="13.5" customHeight="1">
      <c r="A70" s="95">
        <v>40409</v>
      </c>
      <c r="B70" s="86">
        <v>607</v>
      </c>
      <c r="C70" s="20" t="s">
        <v>359</v>
      </c>
      <c r="D70" s="20" t="s">
        <v>242</v>
      </c>
      <c r="E70" s="26">
        <v>18</v>
      </c>
      <c r="F70" s="70" t="s">
        <v>360</v>
      </c>
      <c r="G70" s="28">
        <v>43.5</v>
      </c>
      <c r="H70" s="37">
        <f t="shared" si="1"/>
        <v>783</v>
      </c>
      <c r="I70" s="309">
        <v>3.5</v>
      </c>
      <c r="J70" s="152">
        <v>9.31</v>
      </c>
      <c r="K70" s="154">
        <v>3.3</v>
      </c>
      <c r="L70" s="169">
        <v>0.5</v>
      </c>
      <c r="M70" s="153">
        <f t="shared" si="2"/>
        <v>12.61</v>
      </c>
      <c r="N70" s="166">
        <v>0.33</v>
      </c>
      <c r="O70" s="167">
        <v>0.1</v>
      </c>
      <c r="P70" s="168">
        <v>0.1</v>
      </c>
      <c r="Q70" s="309">
        <f t="shared" si="6"/>
        <v>63</v>
      </c>
      <c r="R70" s="152">
        <f t="shared" si="7"/>
        <v>167.58</v>
      </c>
      <c r="S70" s="154">
        <f t="shared" si="8"/>
        <v>59.4</v>
      </c>
      <c r="T70" s="169">
        <f t="shared" si="9"/>
        <v>9</v>
      </c>
      <c r="U70" s="153">
        <f t="shared" si="0"/>
        <v>226.98</v>
      </c>
      <c r="V70" s="166">
        <f t="shared" si="3"/>
        <v>5.94</v>
      </c>
      <c r="W70" s="167">
        <f t="shared" si="4"/>
        <v>1.8</v>
      </c>
      <c r="X70" s="168">
        <f t="shared" si="5"/>
        <v>1.8</v>
      </c>
      <c r="Y70" s="14"/>
    </row>
    <row r="71" spans="1:25" ht="13.5" customHeight="1">
      <c r="A71" s="95"/>
      <c r="B71" s="86"/>
      <c r="C71" s="20" t="s">
        <v>359</v>
      </c>
      <c r="D71" s="20" t="s">
        <v>242</v>
      </c>
      <c r="E71" s="26">
        <v>10</v>
      </c>
      <c r="F71" s="70" t="s">
        <v>361</v>
      </c>
      <c r="G71" s="28">
        <v>43.5</v>
      </c>
      <c r="H71" s="37">
        <f t="shared" si="1"/>
        <v>435</v>
      </c>
      <c r="I71" s="309">
        <v>3.5</v>
      </c>
      <c r="J71" s="152">
        <v>8.81</v>
      </c>
      <c r="K71" s="154">
        <v>3.3</v>
      </c>
      <c r="L71" s="169">
        <v>0.5</v>
      </c>
      <c r="M71" s="153">
        <f t="shared" si="2"/>
        <v>12.11</v>
      </c>
      <c r="N71" s="166">
        <v>0.33</v>
      </c>
      <c r="O71" s="167">
        <v>0.1</v>
      </c>
      <c r="P71" s="168">
        <v>0.1</v>
      </c>
      <c r="Q71" s="309">
        <f t="shared" si="6"/>
        <v>35</v>
      </c>
      <c r="R71" s="152">
        <f t="shared" si="7"/>
        <v>88.100000000000009</v>
      </c>
      <c r="S71" s="154">
        <f t="shared" si="8"/>
        <v>33</v>
      </c>
      <c r="T71" s="169">
        <f t="shared" si="9"/>
        <v>5</v>
      </c>
      <c r="U71" s="153">
        <f t="shared" si="0"/>
        <v>121.1</v>
      </c>
      <c r="V71" s="166">
        <f t="shared" si="3"/>
        <v>3.3000000000000003</v>
      </c>
      <c r="W71" s="167">
        <f t="shared" si="4"/>
        <v>1</v>
      </c>
      <c r="X71" s="168">
        <f t="shared" si="5"/>
        <v>1</v>
      </c>
      <c r="Y71" s="14"/>
    </row>
    <row r="72" spans="1:25" ht="13.5" customHeight="1">
      <c r="A72" s="95">
        <v>40410</v>
      </c>
      <c r="B72" s="86">
        <v>608</v>
      </c>
      <c r="C72" s="20" t="s">
        <v>362</v>
      </c>
      <c r="D72" s="20" t="s">
        <v>42</v>
      </c>
      <c r="E72" s="26">
        <v>50</v>
      </c>
      <c r="F72" s="70" t="s">
        <v>363</v>
      </c>
      <c r="G72" s="28">
        <v>34</v>
      </c>
      <c r="H72" s="37">
        <f t="shared" si="1"/>
        <v>1700</v>
      </c>
      <c r="I72" s="309">
        <v>3.5</v>
      </c>
      <c r="J72" s="152">
        <v>0.59</v>
      </c>
      <c r="K72" s="154">
        <v>1.6</v>
      </c>
      <c r="L72" s="169">
        <v>0.24</v>
      </c>
      <c r="M72" s="153">
        <f t="shared" si="2"/>
        <v>2.19</v>
      </c>
      <c r="N72" s="166">
        <v>0.33</v>
      </c>
      <c r="O72" s="167">
        <v>0.1</v>
      </c>
      <c r="P72" s="168">
        <v>0.1</v>
      </c>
      <c r="Q72" s="309">
        <f t="shared" si="6"/>
        <v>175</v>
      </c>
      <c r="R72" s="152">
        <f t="shared" si="7"/>
        <v>29.5</v>
      </c>
      <c r="S72" s="154">
        <f t="shared" si="8"/>
        <v>80</v>
      </c>
      <c r="T72" s="169">
        <f t="shared" si="9"/>
        <v>12</v>
      </c>
      <c r="U72" s="153">
        <f t="shared" ref="U72:U85" si="10">E72*M72</f>
        <v>109.5</v>
      </c>
      <c r="V72" s="166">
        <f t="shared" si="3"/>
        <v>16.5</v>
      </c>
      <c r="W72" s="167">
        <f t="shared" si="4"/>
        <v>5</v>
      </c>
      <c r="X72" s="168">
        <f t="shared" si="5"/>
        <v>5</v>
      </c>
      <c r="Y72" s="14"/>
    </row>
    <row r="73" spans="1:25" ht="13.5" customHeight="1">
      <c r="A73" s="95">
        <v>40410</v>
      </c>
      <c r="B73" s="86">
        <v>609</v>
      </c>
      <c r="C73" s="20" t="s">
        <v>346</v>
      </c>
      <c r="D73" s="20" t="s">
        <v>347</v>
      </c>
      <c r="E73" s="26">
        <v>9</v>
      </c>
      <c r="F73" s="70" t="s">
        <v>364</v>
      </c>
      <c r="G73" s="28">
        <v>53</v>
      </c>
      <c r="H73" s="37">
        <f t="shared" si="1"/>
        <v>477</v>
      </c>
      <c r="I73" s="309">
        <v>6.5</v>
      </c>
      <c r="J73" s="152">
        <v>12.53</v>
      </c>
      <c r="K73" s="154">
        <v>0.5</v>
      </c>
      <c r="L73" s="169">
        <v>0.08</v>
      </c>
      <c r="M73" s="153">
        <f t="shared" si="2"/>
        <v>13.03</v>
      </c>
      <c r="N73" s="166">
        <v>0.5</v>
      </c>
      <c r="O73" s="167">
        <v>0.1</v>
      </c>
      <c r="P73" s="168">
        <v>0.1</v>
      </c>
      <c r="Q73" s="309">
        <f t="shared" si="6"/>
        <v>58.5</v>
      </c>
      <c r="R73" s="152">
        <f t="shared" si="7"/>
        <v>112.77</v>
      </c>
      <c r="S73" s="154">
        <f t="shared" si="8"/>
        <v>4.5</v>
      </c>
      <c r="T73" s="169">
        <f t="shared" si="9"/>
        <v>0.72</v>
      </c>
      <c r="U73" s="153">
        <f t="shared" si="10"/>
        <v>117.27</v>
      </c>
      <c r="V73" s="166">
        <f t="shared" si="3"/>
        <v>4.5</v>
      </c>
      <c r="W73" s="167">
        <f t="shared" si="4"/>
        <v>0.9</v>
      </c>
      <c r="X73" s="168">
        <f t="shared" si="5"/>
        <v>0.9</v>
      </c>
      <c r="Y73" s="14"/>
    </row>
    <row r="74" spans="1:25" ht="13.5" customHeight="1">
      <c r="A74" s="95"/>
      <c r="B74" s="86"/>
      <c r="C74" s="20" t="s">
        <v>346</v>
      </c>
      <c r="D74" s="20" t="s">
        <v>347</v>
      </c>
      <c r="E74" s="26">
        <v>9</v>
      </c>
      <c r="F74" s="70" t="s">
        <v>365</v>
      </c>
      <c r="G74" s="28">
        <v>40</v>
      </c>
      <c r="H74" s="37">
        <f t="shared" ref="H74:H103" si="11">E74*G74</f>
        <v>360</v>
      </c>
      <c r="I74" s="309">
        <v>4.5</v>
      </c>
      <c r="J74" s="152">
        <v>13.49</v>
      </c>
      <c r="K74" s="154">
        <v>0</v>
      </c>
      <c r="L74" s="169">
        <v>0</v>
      </c>
      <c r="M74" s="153">
        <f t="shared" ref="M74:M85" si="12">J74+K74</f>
        <v>13.49</v>
      </c>
      <c r="N74" s="166">
        <v>0.33</v>
      </c>
      <c r="O74" s="167">
        <v>0.1</v>
      </c>
      <c r="P74" s="168">
        <v>0.1</v>
      </c>
      <c r="Q74" s="309">
        <f t="shared" si="6"/>
        <v>40.5</v>
      </c>
      <c r="R74" s="152">
        <f t="shared" si="7"/>
        <v>121.41</v>
      </c>
      <c r="S74" s="154">
        <f t="shared" si="8"/>
        <v>0</v>
      </c>
      <c r="T74" s="169">
        <f t="shared" si="9"/>
        <v>0</v>
      </c>
      <c r="U74" s="153">
        <f t="shared" si="10"/>
        <v>121.41</v>
      </c>
      <c r="V74" s="166">
        <f t="shared" ref="V74:V85" si="13">N74*E74</f>
        <v>2.97</v>
      </c>
      <c r="W74" s="167">
        <f t="shared" ref="W74:W85" si="14">O74*E74</f>
        <v>0.9</v>
      </c>
      <c r="X74" s="168">
        <f t="shared" ref="X74:X85" si="15">P74*E74</f>
        <v>0.9</v>
      </c>
      <c r="Y74" s="14"/>
    </row>
    <row r="75" spans="1:25" ht="13.5" customHeight="1">
      <c r="A75" s="95">
        <v>40410</v>
      </c>
      <c r="B75" s="86">
        <v>610</v>
      </c>
      <c r="C75" s="20" t="s">
        <v>403</v>
      </c>
      <c r="D75" s="20" t="s">
        <v>42</v>
      </c>
      <c r="E75" s="26">
        <v>4</v>
      </c>
      <c r="F75" s="70" t="s">
        <v>366</v>
      </c>
      <c r="G75" s="28">
        <v>83</v>
      </c>
      <c r="H75" s="37">
        <f t="shared" si="11"/>
        <v>332</v>
      </c>
      <c r="I75" s="309">
        <v>5</v>
      </c>
      <c r="J75" s="152">
        <v>24.24</v>
      </c>
      <c r="K75" s="154">
        <v>0</v>
      </c>
      <c r="L75" s="169">
        <v>0</v>
      </c>
      <c r="M75" s="153">
        <f t="shared" si="12"/>
        <v>24.24</v>
      </c>
      <c r="N75" s="166">
        <v>0.57999999999999996</v>
      </c>
      <c r="O75" s="167">
        <v>0.1</v>
      </c>
      <c r="P75" s="168">
        <v>0.1</v>
      </c>
      <c r="Q75" s="309">
        <f t="shared" ref="Q75:Q85" si="16">E75*I75</f>
        <v>20</v>
      </c>
      <c r="R75" s="152">
        <f t="shared" ref="R75:R85" si="17">E75*J75</f>
        <v>96.96</v>
      </c>
      <c r="S75" s="154">
        <f t="shared" ref="S75:S85" si="18">E75*K75</f>
        <v>0</v>
      </c>
      <c r="T75" s="169">
        <f t="shared" ref="T75:T85" si="19">E75*L75</f>
        <v>0</v>
      </c>
      <c r="U75" s="153">
        <f t="shared" si="10"/>
        <v>96.96</v>
      </c>
      <c r="V75" s="166">
        <f t="shared" si="13"/>
        <v>2.3199999999999998</v>
      </c>
      <c r="W75" s="167">
        <f t="shared" si="14"/>
        <v>0.4</v>
      </c>
      <c r="X75" s="168">
        <f t="shared" si="15"/>
        <v>0.4</v>
      </c>
      <c r="Y75" s="14"/>
    </row>
    <row r="76" spans="1:25" ht="13.5" customHeight="1">
      <c r="A76" s="95"/>
      <c r="B76" s="86"/>
      <c r="C76" s="20" t="s">
        <v>403</v>
      </c>
      <c r="D76" s="20" t="s">
        <v>42</v>
      </c>
      <c r="E76" s="26">
        <v>2</v>
      </c>
      <c r="F76" s="70" t="s">
        <v>367</v>
      </c>
      <c r="G76" s="28">
        <v>83</v>
      </c>
      <c r="H76" s="37">
        <f t="shared" si="11"/>
        <v>166</v>
      </c>
      <c r="I76" s="309">
        <v>5</v>
      </c>
      <c r="J76" s="152">
        <v>24.24</v>
      </c>
      <c r="K76" s="154">
        <v>0</v>
      </c>
      <c r="L76" s="169">
        <v>0</v>
      </c>
      <c r="M76" s="153">
        <f t="shared" si="12"/>
        <v>24.24</v>
      </c>
      <c r="N76" s="166">
        <v>0.57999999999999996</v>
      </c>
      <c r="O76" s="167">
        <v>0.1</v>
      </c>
      <c r="P76" s="168">
        <v>0.1</v>
      </c>
      <c r="Q76" s="309">
        <f t="shared" si="16"/>
        <v>10</v>
      </c>
      <c r="R76" s="152">
        <f t="shared" si="17"/>
        <v>48.48</v>
      </c>
      <c r="S76" s="154">
        <f t="shared" si="18"/>
        <v>0</v>
      </c>
      <c r="T76" s="169">
        <f t="shared" si="19"/>
        <v>0</v>
      </c>
      <c r="U76" s="153">
        <f t="shared" si="10"/>
        <v>48.48</v>
      </c>
      <c r="V76" s="166">
        <f t="shared" si="13"/>
        <v>1.1599999999999999</v>
      </c>
      <c r="W76" s="167">
        <f t="shared" si="14"/>
        <v>0.2</v>
      </c>
      <c r="X76" s="168">
        <f t="shared" si="15"/>
        <v>0.2</v>
      </c>
      <c r="Y76" s="14"/>
    </row>
    <row r="77" spans="1:25" ht="13.5" customHeight="1">
      <c r="A77" s="95"/>
      <c r="B77" s="86"/>
      <c r="C77" s="20" t="s">
        <v>403</v>
      </c>
      <c r="D77" s="20" t="s">
        <v>42</v>
      </c>
      <c r="E77" s="26">
        <v>6</v>
      </c>
      <c r="F77" s="70" t="s">
        <v>368</v>
      </c>
      <c r="G77" s="28">
        <v>83</v>
      </c>
      <c r="H77" s="37">
        <f t="shared" si="11"/>
        <v>498</v>
      </c>
      <c r="I77" s="309">
        <v>5</v>
      </c>
      <c r="J77" s="152">
        <v>24.24</v>
      </c>
      <c r="K77" s="154">
        <v>0</v>
      </c>
      <c r="L77" s="169">
        <v>0</v>
      </c>
      <c r="M77" s="153">
        <f t="shared" si="12"/>
        <v>24.24</v>
      </c>
      <c r="N77" s="166">
        <v>0.57999999999999996</v>
      </c>
      <c r="O77" s="167">
        <v>0.1</v>
      </c>
      <c r="P77" s="168">
        <v>0.1</v>
      </c>
      <c r="Q77" s="309">
        <f t="shared" si="16"/>
        <v>30</v>
      </c>
      <c r="R77" s="152">
        <f t="shared" si="17"/>
        <v>145.44</v>
      </c>
      <c r="S77" s="154">
        <f t="shared" si="18"/>
        <v>0</v>
      </c>
      <c r="T77" s="169">
        <f t="shared" si="19"/>
        <v>0</v>
      </c>
      <c r="U77" s="153">
        <f t="shared" si="10"/>
        <v>145.44</v>
      </c>
      <c r="V77" s="166">
        <f t="shared" si="13"/>
        <v>3.4799999999999995</v>
      </c>
      <c r="W77" s="167">
        <f t="shared" si="14"/>
        <v>0.60000000000000009</v>
      </c>
      <c r="X77" s="168">
        <f t="shared" si="15"/>
        <v>0.60000000000000009</v>
      </c>
      <c r="Y77" s="14"/>
    </row>
    <row r="78" spans="1:25" ht="13.5" customHeight="1">
      <c r="A78" s="95"/>
      <c r="B78" s="86"/>
      <c r="C78" s="20" t="s">
        <v>403</v>
      </c>
      <c r="D78" s="20" t="s">
        <v>42</v>
      </c>
      <c r="E78" s="26">
        <v>5</v>
      </c>
      <c r="F78" s="70" t="s">
        <v>369</v>
      </c>
      <c r="G78" s="28">
        <v>47</v>
      </c>
      <c r="H78" s="37">
        <f t="shared" si="11"/>
        <v>235</v>
      </c>
      <c r="I78" s="309">
        <v>6.5</v>
      </c>
      <c r="J78" s="152">
        <v>10.47</v>
      </c>
      <c r="K78" s="154">
        <v>1.8</v>
      </c>
      <c r="L78" s="169">
        <v>0.27</v>
      </c>
      <c r="M78" s="153">
        <f t="shared" si="12"/>
        <v>12.270000000000001</v>
      </c>
      <c r="N78" s="166">
        <v>0.57999999999999996</v>
      </c>
      <c r="O78" s="167">
        <v>0.1</v>
      </c>
      <c r="P78" s="168">
        <v>0.1</v>
      </c>
      <c r="Q78" s="309">
        <f t="shared" si="16"/>
        <v>32.5</v>
      </c>
      <c r="R78" s="152">
        <f t="shared" si="17"/>
        <v>52.35</v>
      </c>
      <c r="S78" s="154">
        <f t="shared" si="18"/>
        <v>9</v>
      </c>
      <c r="T78" s="169">
        <f t="shared" si="19"/>
        <v>1.35</v>
      </c>
      <c r="U78" s="153">
        <f t="shared" si="10"/>
        <v>61.350000000000009</v>
      </c>
      <c r="V78" s="166">
        <f t="shared" si="13"/>
        <v>2.9</v>
      </c>
      <c r="W78" s="167">
        <f t="shared" si="14"/>
        <v>0.5</v>
      </c>
      <c r="X78" s="168">
        <f t="shared" si="15"/>
        <v>0.5</v>
      </c>
      <c r="Y78" s="14"/>
    </row>
    <row r="79" spans="1:25" ht="13.5" customHeight="1">
      <c r="A79" s="95">
        <v>40413</v>
      </c>
      <c r="B79" s="86">
        <v>611</v>
      </c>
      <c r="C79" s="20" t="s">
        <v>316</v>
      </c>
      <c r="D79" s="20" t="s">
        <v>113</v>
      </c>
      <c r="E79" s="26">
        <v>100</v>
      </c>
      <c r="F79" s="70" t="s">
        <v>370</v>
      </c>
      <c r="G79" s="28">
        <v>15</v>
      </c>
      <c r="H79" s="37">
        <f t="shared" si="11"/>
        <v>1500</v>
      </c>
      <c r="I79" s="309">
        <v>0.5</v>
      </c>
      <c r="J79" s="152">
        <v>1.3</v>
      </c>
      <c r="K79" s="154">
        <v>0</v>
      </c>
      <c r="L79" s="169">
        <v>0</v>
      </c>
      <c r="M79" s="153">
        <f t="shared" si="12"/>
        <v>1.3</v>
      </c>
      <c r="N79" s="166">
        <v>0</v>
      </c>
      <c r="O79" s="167">
        <v>0.1</v>
      </c>
      <c r="P79" s="168">
        <v>0.1</v>
      </c>
      <c r="Q79" s="309">
        <f t="shared" si="16"/>
        <v>50</v>
      </c>
      <c r="R79" s="152">
        <f t="shared" si="17"/>
        <v>130</v>
      </c>
      <c r="S79" s="154">
        <f t="shared" si="18"/>
        <v>0</v>
      </c>
      <c r="T79" s="169">
        <f t="shared" si="19"/>
        <v>0</v>
      </c>
      <c r="U79" s="153">
        <f t="shared" si="10"/>
        <v>130</v>
      </c>
      <c r="V79" s="166">
        <f t="shared" si="13"/>
        <v>0</v>
      </c>
      <c r="W79" s="167">
        <f t="shared" si="14"/>
        <v>10</v>
      </c>
      <c r="X79" s="168">
        <f t="shared" si="15"/>
        <v>10</v>
      </c>
      <c r="Y79" s="14"/>
    </row>
    <row r="80" spans="1:25" ht="13.5" customHeight="1">
      <c r="A80" s="95"/>
      <c r="B80" s="86"/>
      <c r="C80" s="20" t="s">
        <v>316</v>
      </c>
      <c r="D80" s="20" t="s">
        <v>113</v>
      </c>
      <c r="E80" s="26">
        <v>50</v>
      </c>
      <c r="F80" s="70" t="s">
        <v>370</v>
      </c>
      <c r="G80" s="28">
        <v>15</v>
      </c>
      <c r="H80" s="37">
        <f t="shared" si="11"/>
        <v>750</v>
      </c>
      <c r="I80" s="309">
        <v>0.5</v>
      </c>
      <c r="J80" s="152">
        <v>1.3</v>
      </c>
      <c r="K80" s="154">
        <v>0</v>
      </c>
      <c r="L80" s="169">
        <v>0</v>
      </c>
      <c r="M80" s="153">
        <f t="shared" si="12"/>
        <v>1.3</v>
      </c>
      <c r="N80" s="166">
        <v>0</v>
      </c>
      <c r="O80" s="167">
        <v>0.1</v>
      </c>
      <c r="P80" s="168">
        <v>0.1</v>
      </c>
      <c r="Q80" s="309">
        <f t="shared" si="16"/>
        <v>25</v>
      </c>
      <c r="R80" s="152">
        <f t="shared" si="17"/>
        <v>65</v>
      </c>
      <c r="S80" s="154">
        <f t="shared" si="18"/>
        <v>0</v>
      </c>
      <c r="T80" s="169">
        <f t="shared" si="19"/>
        <v>0</v>
      </c>
      <c r="U80" s="153">
        <f t="shared" si="10"/>
        <v>65</v>
      </c>
      <c r="V80" s="166">
        <f t="shared" si="13"/>
        <v>0</v>
      </c>
      <c r="W80" s="167">
        <f t="shared" si="14"/>
        <v>5</v>
      </c>
      <c r="X80" s="168">
        <f t="shared" si="15"/>
        <v>5</v>
      </c>
      <c r="Y80" s="14"/>
    </row>
    <row r="81" spans="1:25" ht="13.5" customHeight="1">
      <c r="A81" s="95"/>
      <c r="B81" s="86"/>
      <c r="C81" s="20" t="s">
        <v>316</v>
      </c>
      <c r="D81" s="20" t="s">
        <v>113</v>
      </c>
      <c r="E81" s="26">
        <v>13</v>
      </c>
      <c r="F81" s="70" t="s">
        <v>371</v>
      </c>
      <c r="G81" s="28">
        <v>20</v>
      </c>
      <c r="H81" s="37">
        <f t="shared" si="11"/>
        <v>260</v>
      </c>
      <c r="I81" s="309">
        <v>0</v>
      </c>
      <c r="J81" s="152">
        <v>0</v>
      </c>
      <c r="K81" s="154">
        <v>0</v>
      </c>
      <c r="L81" s="169">
        <v>0</v>
      </c>
      <c r="M81" s="153">
        <f t="shared" si="12"/>
        <v>0</v>
      </c>
      <c r="N81" s="166">
        <v>0</v>
      </c>
      <c r="O81" s="167">
        <v>0</v>
      </c>
      <c r="P81" s="168">
        <v>0</v>
      </c>
      <c r="Q81" s="309">
        <f t="shared" si="16"/>
        <v>0</v>
      </c>
      <c r="R81" s="152">
        <f t="shared" si="17"/>
        <v>0</v>
      </c>
      <c r="S81" s="154">
        <f t="shared" si="18"/>
        <v>0</v>
      </c>
      <c r="T81" s="169">
        <f t="shared" si="19"/>
        <v>0</v>
      </c>
      <c r="U81" s="153">
        <f t="shared" si="10"/>
        <v>0</v>
      </c>
      <c r="V81" s="166">
        <f t="shared" si="13"/>
        <v>0</v>
      </c>
      <c r="W81" s="167">
        <f t="shared" si="14"/>
        <v>0</v>
      </c>
      <c r="X81" s="168">
        <f t="shared" si="15"/>
        <v>0</v>
      </c>
      <c r="Y81" s="14"/>
    </row>
    <row r="82" spans="1:25" ht="13.5" customHeight="1">
      <c r="A82" s="95"/>
      <c r="B82" s="86"/>
      <c r="C82" s="20" t="s">
        <v>316</v>
      </c>
      <c r="D82" s="20" t="s">
        <v>113</v>
      </c>
      <c r="E82" s="26">
        <v>32</v>
      </c>
      <c r="F82" s="70" t="s">
        <v>372</v>
      </c>
      <c r="G82" s="28">
        <v>12.5</v>
      </c>
      <c r="H82" s="37">
        <f t="shared" si="11"/>
        <v>400</v>
      </c>
      <c r="I82" s="309">
        <v>1</v>
      </c>
      <c r="J82" s="152">
        <v>1.82</v>
      </c>
      <c r="K82" s="154">
        <v>1.4</v>
      </c>
      <c r="L82" s="169">
        <v>0.21</v>
      </c>
      <c r="M82" s="153">
        <f t="shared" si="12"/>
        <v>3.2199999999999998</v>
      </c>
      <c r="N82" s="166">
        <v>0.28999999999999998</v>
      </c>
      <c r="O82" s="167">
        <v>0.1</v>
      </c>
      <c r="P82" s="168">
        <v>0.1</v>
      </c>
      <c r="Q82" s="309">
        <f t="shared" si="16"/>
        <v>32</v>
      </c>
      <c r="R82" s="152">
        <f t="shared" si="17"/>
        <v>58.24</v>
      </c>
      <c r="S82" s="154">
        <f t="shared" si="18"/>
        <v>44.8</v>
      </c>
      <c r="T82" s="169">
        <f t="shared" si="19"/>
        <v>6.72</v>
      </c>
      <c r="U82" s="153">
        <f t="shared" si="10"/>
        <v>103.03999999999999</v>
      </c>
      <c r="V82" s="166">
        <f t="shared" si="13"/>
        <v>9.2799999999999994</v>
      </c>
      <c r="W82" s="167">
        <f t="shared" si="14"/>
        <v>3.2</v>
      </c>
      <c r="X82" s="168">
        <f t="shared" si="15"/>
        <v>3.2</v>
      </c>
      <c r="Y82" s="14"/>
    </row>
    <row r="83" spans="1:25" ht="13.5" customHeight="1">
      <c r="A83" s="95">
        <v>40414</v>
      </c>
      <c r="B83" s="86">
        <v>612</v>
      </c>
      <c r="C83" s="20" t="s">
        <v>330</v>
      </c>
      <c r="D83" s="20" t="s">
        <v>24</v>
      </c>
      <c r="E83" s="26">
        <v>10</v>
      </c>
      <c r="F83" s="70" t="s">
        <v>373</v>
      </c>
      <c r="G83" s="28">
        <v>55</v>
      </c>
      <c r="H83" s="37">
        <f t="shared" si="11"/>
        <v>550</v>
      </c>
      <c r="I83" s="309">
        <v>6.5</v>
      </c>
      <c r="J83" s="152">
        <v>11.97</v>
      </c>
      <c r="K83" s="154">
        <v>1.2</v>
      </c>
      <c r="L83" s="169">
        <v>0.18</v>
      </c>
      <c r="M83" s="153">
        <f t="shared" si="12"/>
        <v>13.17</v>
      </c>
      <c r="N83" s="166">
        <v>1.25</v>
      </c>
      <c r="O83" s="167">
        <v>0.1</v>
      </c>
      <c r="P83" s="168">
        <v>0.1</v>
      </c>
      <c r="Q83" s="309">
        <f t="shared" si="16"/>
        <v>65</v>
      </c>
      <c r="R83" s="152">
        <f t="shared" si="17"/>
        <v>119.7</v>
      </c>
      <c r="S83" s="154">
        <f t="shared" si="18"/>
        <v>12</v>
      </c>
      <c r="T83" s="169">
        <f t="shared" si="19"/>
        <v>1.7999999999999998</v>
      </c>
      <c r="U83" s="153">
        <f t="shared" si="10"/>
        <v>131.69999999999999</v>
      </c>
      <c r="V83" s="166">
        <f t="shared" si="13"/>
        <v>12.5</v>
      </c>
      <c r="W83" s="167">
        <f t="shared" si="14"/>
        <v>1</v>
      </c>
      <c r="X83" s="168">
        <f t="shared" si="15"/>
        <v>1</v>
      </c>
      <c r="Y83" s="14"/>
    </row>
    <row r="84" spans="1:25" ht="13.5" customHeight="1">
      <c r="A84" s="95"/>
      <c r="B84" s="86"/>
      <c r="C84" s="20" t="s">
        <v>330</v>
      </c>
      <c r="D84" s="20" t="s">
        <v>24</v>
      </c>
      <c r="E84" s="26">
        <v>5</v>
      </c>
      <c r="F84" s="70" t="s">
        <v>374</v>
      </c>
      <c r="G84" s="28">
        <v>38</v>
      </c>
      <c r="H84" s="37">
        <f t="shared" si="11"/>
        <v>190</v>
      </c>
      <c r="I84" s="309">
        <v>0.5</v>
      </c>
      <c r="J84" s="152">
        <v>1.74</v>
      </c>
      <c r="K84" s="154">
        <v>1.1000000000000001</v>
      </c>
      <c r="L84" s="169">
        <v>0.17</v>
      </c>
      <c r="M84" s="153">
        <f t="shared" si="12"/>
        <v>2.84</v>
      </c>
      <c r="N84" s="166">
        <v>0.3</v>
      </c>
      <c r="O84" s="167">
        <v>0.1</v>
      </c>
      <c r="P84" s="168">
        <v>0.1</v>
      </c>
      <c r="Q84" s="309">
        <f t="shared" si="16"/>
        <v>2.5</v>
      </c>
      <c r="R84" s="152">
        <f t="shared" si="17"/>
        <v>8.6999999999999993</v>
      </c>
      <c r="S84" s="154">
        <f t="shared" si="18"/>
        <v>5.5</v>
      </c>
      <c r="T84" s="169">
        <f t="shared" si="19"/>
        <v>0.85000000000000009</v>
      </c>
      <c r="U84" s="153">
        <f t="shared" si="10"/>
        <v>14.2</v>
      </c>
      <c r="V84" s="166">
        <f t="shared" si="13"/>
        <v>1.5</v>
      </c>
      <c r="W84" s="167">
        <f t="shared" si="14"/>
        <v>0.5</v>
      </c>
      <c r="X84" s="168">
        <f t="shared" si="15"/>
        <v>0.5</v>
      </c>
      <c r="Y84" s="14"/>
    </row>
    <row r="85" spans="1:25" ht="13.5" customHeight="1">
      <c r="A85" s="95">
        <v>40414</v>
      </c>
      <c r="B85" s="86">
        <v>613</v>
      </c>
      <c r="C85" s="20" t="s">
        <v>375</v>
      </c>
      <c r="D85" s="20" t="s">
        <v>376</v>
      </c>
      <c r="E85" s="26">
        <v>120</v>
      </c>
      <c r="F85" s="70" t="s">
        <v>377</v>
      </c>
      <c r="G85" s="28">
        <v>51.5</v>
      </c>
      <c r="H85" s="37">
        <f t="shared" si="11"/>
        <v>6180</v>
      </c>
      <c r="I85" s="309">
        <v>5.5</v>
      </c>
      <c r="J85" s="152">
        <v>9.7799999999999994</v>
      </c>
      <c r="K85" s="154">
        <v>5.5</v>
      </c>
      <c r="L85" s="169">
        <v>0.83</v>
      </c>
      <c r="M85" s="153">
        <f t="shared" si="12"/>
        <v>15.28</v>
      </c>
      <c r="N85" s="166">
        <v>0.67</v>
      </c>
      <c r="O85" s="167">
        <v>0.1</v>
      </c>
      <c r="P85" s="168">
        <v>0.1</v>
      </c>
      <c r="Q85" s="309">
        <f t="shared" si="16"/>
        <v>660</v>
      </c>
      <c r="R85" s="178">
        <f t="shared" si="17"/>
        <v>1173.5999999999999</v>
      </c>
      <c r="S85" s="154">
        <f t="shared" si="18"/>
        <v>660</v>
      </c>
      <c r="T85" s="169">
        <f t="shared" si="19"/>
        <v>99.6</v>
      </c>
      <c r="U85" s="179">
        <f t="shared" si="10"/>
        <v>1833.6</v>
      </c>
      <c r="V85" s="166">
        <f t="shared" si="13"/>
        <v>80.400000000000006</v>
      </c>
      <c r="W85" s="167">
        <f t="shared" si="14"/>
        <v>12</v>
      </c>
      <c r="X85" s="168">
        <f t="shared" si="15"/>
        <v>12</v>
      </c>
      <c r="Y85" s="14"/>
    </row>
    <row r="86" spans="1:25" ht="13.5" customHeight="1">
      <c r="A86" s="95"/>
      <c r="B86" s="86"/>
      <c r="C86" s="20" t="s">
        <v>375</v>
      </c>
      <c r="D86" s="20" t="s">
        <v>376</v>
      </c>
      <c r="E86" s="26">
        <v>24</v>
      </c>
      <c r="F86" s="70" t="s">
        <v>378</v>
      </c>
      <c r="G86" s="28">
        <v>45.5</v>
      </c>
      <c r="H86" s="37">
        <f t="shared" si="11"/>
        <v>1092</v>
      </c>
      <c r="I86" s="309">
        <v>5.5</v>
      </c>
      <c r="J86" s="152">
        <v>7.97</v>
      </c>
      <c r="K86" s="154">
        <v>5.5</v>
      </c>
      <c r="L86" s="169">
        <v>0.83</v>
      </c>
      <c r="M86" s="153">
        <f t="shared" ref="M86:M103" si="20">J86+K86</f>
        <v>13.469999999999999</v>
      </c>
      <c r="N86" s="166">
        <v>0.63</v>
      </c>
      <c r="O86" s="167">
        <v>0.1</v>
      </c>
      <c r="P86" s="168">
        <v>0.1</v>
      </c>
      <c r="Q86" s="309">
        <f t="shared" ref="Q86:Q103" si="21">E86*I86</f>
        <v>132</v>
      </c>
      <c r="R86" s="152">
        <f t="shared" ref="R86:R103" si="22">E86*J86</f>
        <v>191.28</v>
      </c>
      <c r="S86" s="154">
        <f t="shared" ref="S86:S103" si="23">E86*K86</f>
        <v>132</v>
      </c>
      <c r="T86" s="169">
        <f t="shared" ref="T86:T103" si="24">E86*L86</f>
        <v>19.919999999999998</v>
      </c>
      <c r="U86" s="153">
        <f t="shared" ref="U86:U103" si="25">E86*M86</f>
        <v>323.27999999999997</v>
      </c>
      <c r="V86" s="166">
        <f t="shared" ref="V86:V103" si="26">N86*E86</f>
        <v>15.120000000000001</v>
      </c>
      <c r="W86" s="167">
        <f t="shared" ref="W86:W103" si="27">O86*E86</f>
        <v>2.4000000000000004</v>
      </c>
      <c r="X86" s="168">
        <f t="shared" ref="X86:X103" si="28">P86*E86</f>
        <v>2.4000000000000004</v>
      </c>
      <c r="Y86" s="14"/>
    </row>
    <row r="87" spans="1:25" ht="13.5" customHeight="1">
      <c r="A87" s="95">
        <v>40414</v>
      </c>
      <c r="B87" s="86">
        <v>614</v>
      </c>
      <c r="C87" s="20" t="s">
        <v>330</v>
      </c>
      <c r="D87" s="20" t="s">
        <v>24</v>
      </c>
      <c r="E87" s="26">
        <v>110</v>
      </c>
      <c r="F87" s="70" t="s">
        <v>379</v>
      </c>
      <c r="G87" s="28">
        <v>120</v>
      </c>
      <c r="H87" s="37">
        <f t="shared" si="11"/>
        <v>13200</v>
      </c>
      <c r="I87" s="317">
        <v>57.11</v>
      </c>
      <c r="J87" s="152">
        <v>57.11</v>
      </c>
      <c r="K87" s="154">
        <v>1.2</v>
      </c>
      <c r="L87" s="169">
        <v>0.2</v>
      </c>
      <c r="M87" s="153">
        <f t="shared" si="20"/>
        <v>58.31</v>
      </c>
      <c r="N87" s="166">
        <v>0.25</v>
      </c>
      <c r="O87" s="167">
        <v>0.1</v>
      </c>
      <c r="P87" s="168">
        <v>0.25</v>
      </c>
      <c r="Q87" s="314">
        <f t="shared" si="21"/>
        <v>6282.1</v>
      </c>
      <c r="R87" s="178">
        <f t="shared" si="22"/>
        <v>6282.1</v>
      </c>
      <c r="S87" s="154">
        <f t="shared" si="23"/>
        <v>132</v>
      </c>
      <c r="T87" s="169">
        <f t="shared" si="24"/>
        <v>22</v>
      </c>
      <c r="U87" s="179">
        <f t="shared" si="25"/>
        <v>6414.1</v>
      </c>
      <c r="V87" s="166">
        <f t="shared" si="26"/>
        <v>27.5</v>
      </c>
      <c r="W87" s="167">
        <f t="shared" si="27"/>
        <v>11</v>
      </c>
      <c r="X87" s="168">
        <f t="shared" si="28"/>
        <v>27.5</v>
      </c>
      <c r="Y87" s="14"/>
    </row>
    <row r="88" spans="1:25" ht="13.5" customHeight="1">
      <c r="A88" s="95">
        <v>40414</v>
      </c>
      <c r="B88" s="86">
        <v>615</v>
      </c>
      <c r="C88" s="20" t="s">
        <v>380</v>
      </c>
      <c r="D88" s="20" t="s">
        <v>245</v>
      </c>
      <c r="E88" s="26">
        <v>2</v>
      </c>
      <c r="F88" s="70" t="s">
        <v>381</v>
      </c>
      <c r="G88" s="28">
        <v>45</v>
      </c>
      <c r="H88" s="37">
        <f t="shared" si="11"/>
        <v>90</v>
      </c>
      <c r="I88" s="309">
        <v>1.5</v>
      </c>
      <c r="J88" s="152">
        <v>14.48</v>
      </c>
      <c r="K88" s="154">
        <v>1.2</v>
      </c>
      <c r="L88" s="169">
        <v>0.2</v>
      </c>
      <c r="M88" s="153">
        <f t="shared" si="20"/>
        <v>15.68</v>
      </c>
      <c r="N88" s="166">
        <v>0.54</v>
      </c>
      <c r="O88" s="167">
        <v>0.1</v>
      </c>
      <c r="P88" s="168">
        <v>0.1</v>
      </c>
      <c r="Q88" s="309">
        <f t="shared" si="21"/>
        <v>3</v>
      </c>
      <c r="R88" s="152">
        <f t="shared" si="22"/>
        <v>28.96</v>
      </c>
      <c r="S88" s="154">
        <f t="shared" si="23"/>
        <v>2.4</v>
      </c>
      <c r="T88" s="169">
        <f t="shared" si="24"/>
        <v>0.4</v>
      </c>
      <c r="U88" s="153">
        <f t="shared" si="25"/>
        <v>31.36</v>
      </c>
      <c r="V88" s="166">
        <f t="shared" si="26"/>
        <v>1.08</v>
      </c>
      <c r="W88" s="167">
        <f t="shared" si="27"/>
        <v>0.2</v>
      </c>
      <c r="X88" s="168">
        <f t="shared" si="28"/>
        <v>0.2</v>
      </c>
      <c r="Y88" s="14"/>
    </row>
    <row r="89" spans="1:25" s="18" customFormat="1" ht="13.5" customHeight="1">
      <c r="A89" s="95"/>
      <c r="B89" s="86"/>
      <c r="C89" s="20" t="s">
        <v>380</v>
      </c>
      <c r="D89" s="20" t="s">
        <v>245</v>
      </c>
      <c r="E89" s="26">
        <v>2</v>
      </c>
      <c r="F89" s="70" t="s">
        <v>382</v>
      </c>
      <c r="G89" s="28">
        <v>27</v>
      </c>
      <c r="H89" s="37">
        <f t="shared" si="11"/>
        <v>54</v>
      </c>
      <c r="I89" s="309">
        <v>3</v>
      </c>
      <c r="J89" s="152">
        <v>9.5500000000000007</v>
      </c>
      <c r="K89" s="154">
        <v>1.2</v>
      </c>
      <c r="L89" s="169">
        <v>0.2</v>
      </c>
      <c r="M89" s="153">
        <f t="shared" si="20"/>
        <v>10.75</v>
      </c>
      <c r="N89" s="166">
        <v>0.25</v>
      </c>
      <c r="O89" s="167">
        <v>0.1</v>
      </c>
      <c r="P89" s="168">
        <v>0.1</v>
      </c>
      <c r="Q89" s="309">
        <f t="shared" si="21"/>
        <v>6</v>
      </c>
      <c r="R89" s="152">
        <f t="shared" si="22"/>
        <v>19.100000000000001</v>
      </c>
      <c r="S89" s="154">
        <f t="shared" si="23"/>
        <v>2.4</v>
      </c>
      <c r="T89" s="169">
        <f t="shared" si="24"/>
        <v>0.4</v>
      </c>
      <c r="U89" s="153">
        <f t="shared" si="25"/>
        <v>21.5</v>
      </c>
      <c r="V89" s="166">
        <f t="shared" si="26"/>
        <v>0.5</v>
      </c>
      <c r="W89" s="167">
        <f t="shared" si="27"/>
        <v>0.2</v>
      </c>
      <c r="X89" s="168">
        <f t="shared" si="28"/>
        <v>0.2</v>
      </c>
      <c r="Y89" s="14"/>
    </row>
    <row r="90" spans="1:25">
      <c r="A90" s="95"/>
      <c r="B90" s="86"/>
      <c r="C90" s="20" t="s">
        <v>380</v>
      </c>
      <c r="D90" s="20" t="s">
        <v>245</v>
      </c>
      <c r="E90" s="26">
        <v>12</v>
      </c>
      <c r="F90" s="70" t="s">
        <v>383</v>
      </c>
      <c r="G90" s="28">
        <v>27</v>
      </c>
      <c r="H90" s="37">
        <f t="shared" si="11"/>
        <v>324</v>
      </c>
      <c r="I90" s="309">
        <v>3</v>
      </c>
      <c r="J90" s="152">
        <v>10.09</v>
      </c>
      <c r="K90" s="154">
        <v>1.2</v>
      </c>
      <c r="L90" s="169">
        <v>0.18</v>
      </c>
      <c r="M90" s="153">
        <f>J90+K90</f>
        <v>11.29</v>
      </c>
      <c r="N90" s="166">
        <v>0.21</v>
      </c>
      <c r="O90" s="167">
        <v>0.1</v>
      </c>
      <c r="P90" s="168">
        <v>0.1</v>
      </c>
      <c r="Q90" s="309">
        <f t="shared" si="21"/>
        <v>36</v>
      </c>
      <c r="R90" s="152">
        <f t="shared" si="22"/>
        <v>121.08</v>
      </c>
      <c r="S90" s="154">
        <f t="shared" si="23"/>
        <v>14.399999999999999</v>
      </c>
      <c r="T90" s="169">
        <f t="shared" si="24"/>
        <v>2.16</v>
      </c>
      <c r="U90" s="153">
        <f t="shared" si="25"/>
        <v>135.47999999999999</v>
      </c>
      <c r="V90" s="166">
        <f t="shared" si="26"/>
        <v>2.52</v>
      </c>
      <c r="W90" s="167">
        <f t="shared" si="27"/>
        <v>1.2000000000000002</v>
      </c>
      <c r="X90" s="168">
        <f t="shared" si="28"/>
        <v>1.2000000000000002</v>
      </c>
      <c r="Y90" s="14"/>
    </row>
    <row r="91" spans="1:25">
      <c r="A91" s="95">
        <v>40417</v>
      </c>
      <c r="B91" s="86">
        <v>616</v>
      </c>
      <c r="C91" s="20" t="s">
        <v>384</v>
      </c>
      <c r="D91" s="20" t="s">
        <v>144</v>
      </c>
      <c r="E91" s="26">
        <v>15</v>
      </c>
      <c r="F91" s="70" t="s">
        <v>385</v>
      </c>
      <c r="G91" s="28">
        <v>61</v>
      </c>
      <c r="H91" s="37">
        <f t="shared" si="11"/>
        <v>915</v>
      </c>
      <c r="I91" s="309">
        <v>3.5</v>
      </c>
      <c r="J91" s="152">
        <v>27.38</v>
      </c>
      <c r="K91" s="154">
        <v>3.5</v>
      </c>
      <c r="L91" s="169">
        <v>0.53</v>
      </c>
      <c r="M91" s="153">
        <f t="shared" si="20"/>
        <v>30.88</v>
      </c>
      <c r="N91" s="166">
        <v>0.33</v>
      </c>
      <c r="O91" s="167">
        <v>0.1</v>
      </c>
      <c r="P91" s="168">
        <v>0.1</v>
      </c>
      <c r="Q91" s="309">
        <f t="shared" si="21"/>
        <v>52.5</v>
      </c>
      <c r="R91" s="152">
        <f t="shared" si="22"/>
        <v>410.7</v>
      </c>
      <c r="S91" s="154">
        <f t="shared" si="23"/>
        <v>52.5</v>
      </c>
      <c r="T91" s="169">
        <f t="shared" si="24"/>
        <v>7.95</v>
      </c>
      <c r="U91" s="153">
        <f t="shared" si="25"/>
        <v>463.2</v>
      </c>
      <c r="V91" s="166">
        <f t="shared" si="26"/>
        <v>4.95</v>
      </c>
      <c r="W91" s="167">
        <f t="shared" si="27"/>
        <v>1.5</v>
      </c>
      <c r="X91" s="168">
        <f t="shared" si="28"/>
        <v>1.5</v>
      </c>
      <c r="Y91" s="14"/>
    </row>
    <row r="92" spans="1:25">
      <c r="A92" s="95"/>
      <c r="B92" s="86"/>
      <c r="C92" s="20" t="s">
        <v>384</v>
      </c>
      <c r="D92" s="20" t="s">
        <v>144</v>
      </c>
      <c r="E92" s="26">
        <v>15</v>
      </c>
      <c r="F92" s="70" t="s">
        <v>386</v>
      </c>
      <c r="G92" s="28">
        <v>30</v>
      </c>
      <c r="H92" s="37">
        <f t="shared" si="11"/>
        <v>450</v>
      </c>
      <c r="I92" s="309">
        <v>4</v>
      </c>
      <c r="J92" s="152">
        <v>7.97</v>
      </c>
      <c r="K92" s="154">
        <v>0</v>
      </c>
      <c r="L92" s="169">
        <v>0</v>
      </c>
      <c r="M92" s="153">
        <f t="shared" si="20"/>
        <v>7.97</v>
      </c>
      <c r="N92" s="166">
        <v>0.33</v>
      </c>
      <c r="O92" s="167">
        <v>0.1</v>
      </c>
      <c r="P92" s="168">
        <v>0.1</v>
      </c>
      <c r="Q92" s="309">
        <f t="shared" si="21"/>
        <v>60</v>
      </c>
      <c r="R92" s="152">
        <f t="shared" si="22"/>
        <v>119.55</v>
      </c>
      <c r="S92" s="154">
        <f t="shared" si="23"/>
        <v>0</v>
      </c>
      <c r="T92" s="169">
        <f t="shared" si="24"/>
        <v>0</v>
      </c>
      <c r="U92" s="153">
        <f t="shared" si="25"/>
        <v>119.55</v>
      </c>
      <c r="V92" s="166">
        <f t="shared" si="26"/>
        <v>4.95</v>
      </c>
      <c r="W92" s="167">
        <f t="shared" si="27"/>
        <v>1.5</v>
      </c>
      <c r="X92" s="168">
        <f t="shared" si="28"/>
        <v>1.5</v>
      </c>
      <c r="Y92" s="14"/>
    </row>
    <row r="93" spans="1:25">
      <c r="A93" s="95"/>
      <c r="B93" s="86"/>
      <c r="C93" s="20" t="s">
        <v>384</v>
      </c>
      <c r="D93" s="20" t="s">
        <v>144</v>
      </c>
      <c r="E93" s="26">
        <v>15</v>
      </c>
      <c r="F93" s="70" t="s">
        <v>387</v>
      </c>
      <c r="G93" s="28">
        <v>61</v>
      </c>
      <c r="H93" s="37">
        <f t="shared" si="11"/>
        <v>915</v>
      </c>
      <c r="I93" s="309">
        <v>3.5</v>
      </c>
      <c r="J93" s="152">
        <v>29.58</v>
      </c>
      <c r="K93" s="154">
        <v>3.5</v>
      </c>
      <c r="L93" s="169">
        <v>0.53</v>
      </c>
      <c r="M93" s="153">
        <f t="shared" si="20"/>
        <v>33.08</v>
      </c>
      <c r="N93" s="166">
        <v>0.33</v>
      </c>
      <c r="O93" s="167">
        <v>0.1</v>
      </c>
      <c r="P93" s="168">
        <v>0.1</v>
      </c>
      <c r="Q93" s="309">
        <f t="shared" si="21"/>
        <v>52.5</v>
      </c>
      <c r="R93" s="152">
        <f t="shared" si="22"/>
        <v>443.7</v>
      </c>
      <c r="S93" s="154">
        <f t="shared" si="23"/>
        <v>52.5</v>
      </c>
      <c r="T93" s="169">
        <f t="shared" si="24"/>
        <v>7.95</v>
      </c>
      <c r="U93" s="153">
        <f t="shared" si="25"/>
        <v>496.2</v>
      </c>
      <c r="V93" s="166">
        <f t="shared" si="26"/>
        <v>4.95</v>
      </c>
      <c r="W93" s="167">
        <f t="shared" si="27"/>
        <v>1.5</v>
      </c>
      <c r="X93" s="168">
        <f t="shared" si="28"/>
        <v>1.5</v>
      </c>
      <c r="Y93" s="14"/>
    </row>
    <row r="94" spans="1:25">
      <c r="A94" s="95"/>
      <c r="B94" s="86"/>
      <c r="C94" s="20" t="s">
        <v>384</v>
      </c>
      <c r="D94" s="20" t="s">
        <v>144</v>
      </c>
      <c r="E94" s="26">
        <v>15</v>
      </c>
      <c r="F94" s="70" t="s">
        <v>388</v>
      </c>
      <c r="G94" s="28">
        <v>30</v>
      </c>
      <c r="H94" s="37">
        <f t="shared" si="11"/>
        <v>450</v>
      </c>
      <c r="I94" s="309">
        <v>4</v>
      </c>
      <c r="J94" s="152">
        <v>7.97</v>
      </c>
      <c r="K94" s="154">
        <v>0</v>
      </c>
      <c r="L94" s="169">
        <v>0</v>
      </c>
      <c r="M94" s="153">
        <f t="shared" si="20"/>
        <v>7.97</v>
      </c>
      <c r="N94" s="166">
        <v>0.33</v>
      </c>
      <c r="O94" s="167">
        <v>0.1</v>
      </c>
      <c r="P94" s="168">
        <v>0.1</v>
      </c>
      <c r="Q94" s="309">
        <f t="shared" si="21"/>
        <v>60</v>
      </c>
      <c r="R94" s="152">
        <f t="shared" si="22"/>
        <v>119.55</v>
      </c>
      <c r="S94" s="154">
        <f t="shared" si="23"/>
        <v>0</v>
      </c>
      <c r="T94" s="169">
        <f t="shared" si="24"/>
        <v>0</v>
      </c>
      <c r="U94" s="153">
        <f t="shared" si="25"/>
        <v>119.55</v>
      </c>
      <c r="V94" s="166">
        <f t="shared" si="26"/>
        <v>4.95</v>
      </c>
      <c r="W94" s="167">
        <f t="shared" si="27"/>
        <v>1.5</v>
      </c>
      <c r="X94" s="168">
        <f t="shared" si="28"/>
        <v>1.5</v>
      </c>
      <c r="Y94" s="14"/>
    </row>
    <row r="95" spans="1:25" ht="15" customHeight="1">
      <c r="A95" s="95">
        <v>40417</v>
      </c>
      <c r="B95" s="86">
        <v>617</v>
      </c>
      <c r="C95" s="20" t="s">
        <v>389</v>
      </c>
      <c r="D95" s="20" t="s">
        <v>390</v>
      </c>
      <c r="E95" s="26">
        <v>36</v>
      </c>
      <c r="F95" s="70" t="s">
        <v>391</v>
      </c>
      <c r="G95" s="28">
        <v>38</v>
      </c>
      <c r="H95" s="37">
        <f t="shared" si="11"/>
        <v>1368</v>
      </c>
      <c r="I95" s="309">
        <v>3.5</v>
      </c>
      <c r="J95" s="152">
        <v>5.5</v>
      </c>
      <c r="K95" s="154">
        <v>2</v>
      </c>
      <c r="L95" s="169">
        <v>0.3</v>
      </c>
      <c r="M95" s="153">
        <f t="shared" si="20"/>
        <v>7.5</v>
      </c>
      <c r="N95" s="166">
        <v>0.33</v>
      </c>
      <c r="O95" s="167">
        <v>0.1</v>
      </c>
      <c r="P95" s="168">
        <v>0.1</v>
      </c>
      <c r="Q95" s="309">
        <f t="shared" si="21"/>
        <v>126</v>
      </c>
      <c r="R95" s="152">
        <f t="shared" si="22"/>
        <v>198</v>
      </c>
      <c r="S95" s="154">
        <f t="shared" si="23"/>
        <v>72</v>
      </c>
      <c r="T95" s="169">
        <f t="shared" si="24"/>
        <v>10.799999999999999</v>
      </c>
      <c r="U95" s="153">
        <f t="shared" si="25"/>
        <v>270</v>
      </c>
      <c r="V95" s="166">
        <f t="shared" si="26"/>
        <v>11.88</v>
      </c>
      <c r="W95" s="167">
        <f t="shared" si="27"/>
        <v>3.6</v>
      </c>
      <c r="X95" s="168">
        <f t="shared" si="28"/>
        <v>3.6</v>
      </c>
      <c r="Y95" s="14"/>
    </row>
    <row r="96" spans="1:25">
      <c r="A96" s="95">
        <v>40417</v>
      </c>
      <c r="B96" s="86">
        <v>618</v>
      </c>
      <c r="C96" s="20" t="s">
        <v>392</v>
      </c>
      <c r="D96" s="20" t="s">
        <v>24</v>
      </c>
      <c r="E96" s="26">
        <f>20+5</f>
        <v>25</v>
      </c>
      <c r="F96" s="70" t="s">
        <v>393</v>
      </c>
      <c r="G96" s="28">
        <v>128.5</v>
      </c>
      <c r="H96" s="37">
        <f t="shared" si="11"/>
        <v>3212.5</v>
      </c>
      <c r="I96" s="309">
        <v>4</v>
      </c>
      <c r="J96" s="152">
        <v>49.36</v>
      </c>
      <c r="K96" s="154">
        <v>0</v>
      </c>
      <c r="L96" s="169">
        <v>0</v>
      </c>
      <c r="M96" s="153">
        <f t="shared" si="20"/>
        <v>49.36</v>
      </c>
      <c r="N96" s="166">
        <v>0.33</v>
      </c>
      <c r="O96" s="167">
        <v>0.2</v>
      </c>
      <c r="P96" s="168">
        <v>0.2</v>
      </c>
      <c r="Q96" s="309">
        <f t="shared" si="21"/>
        <v>100</v>
      </c>
      <c r="R96" s="178">
        <f t="shared" si="22"/>
        <v>1234</v>
      </c>
      <c r="S96" s="154">
        <f t="shared" si="23"/>
        <v>0</v>
      </c>
      <c r="T96" s="169">
        <f t="shared" si="24"/>
        <v>0</v>
      </c>
      <c r="U96" s="179">
        <f t="shared" si="25"/>
        <v>1234</v>
      </c>
      <c r="V96" s="166">
        <f t="shared" si="26"/>
        <v>8.25</v>
      </c>
      <c r="W96" s="167">
        <f t="shared" si="27"/>
        <v>5</v>
      </c>
      <c r="X96" s="168">
        <f t="shared" si="28"/>
        <v>5</v>
      </c>
      <c r="Y96" s="14"/>
    </row>
    <row r="97" spans="1:25">
      <c r="A97" s="95"/>
      <c r="B97" s="86"/>
      <c r="C97" s="20" t="s">
        <v>392</v>
      </c>
      <c r="D97" s="20" t="s">
        <v>24</v>
      </c>
      <c r="E97" s="26">
        <f>20+5</f>
        <v>25</v>
      </c>
      <c r="F97" s="70" t="s">
        <v>394</v>
      </c>
      <c r="G97" s="28">
        <f>95+170</f>
        <v>265</v>
      </c>
      <c r="H97" s="37">
        <f t="shared" si="11"/>
        <v>6625</v>
      </c>
      <c r="I97" s="309">
        <v>4</v>
      </c>
      <c r="J97" s="178">
        <v>152.66999999999999</v>
      </c>
      <c r="K97" s="154">
        <v>0</v>
      </c>
      <c r="L97" s="169">
        <v>0</v>
      </c>
      <c r="M97" s="153">
        <f t="shared" si="20"/>
        <v>152.66999999999999</v>
      </c>
      <c r="N97" s="166">
        <v>0.33</v>
      </c>
      <c r="O97" s="167">
        <v>0.2</v>
      </c>
      <c r="P97" s="168">
        <v>0.2</v>
      </c>
      <c r="Q97" s="309">
        <f t="shared" si="21"/>
        <v>100</v>
      </c>
      <c r="R97" s="178">
        <f t="shared" si="22"/>
        <v>3816.7499999999995</v>
      </c>
      <c r="S97" s="154">
        <f t="shared" si="23"/>
        <v>0</v>
      </c>
      <c r="T97" s="169">
        <f t="shared" si="24"/>
        <v>0</v>
      </c>
      <c r="U97" s="179">
        <f t="shared" si="25"/>
        <v>3816.7499999999995</v>
      </c>
      <c r="V97" s="166">
        <f t="shared" si="26"/>
        <v>8.25</v>
      </c>
      <c r="W97" s="167">
        <f t="shared" si="27"/>
        <v>5</v>
      </c>
      <c r="X97" s="168">
        <f t="shared" si="28"/>
        <v>5</v>
      </c>
      <c r="Y97" s="14"/>
    </row>
    <row r="98" spans="1:25">
      <c r="A98" s="95"/>
      <c r="B98" s="86"/>
      <c r="C98" s="20" t="s">
        <v>330</v>
      </c>
      <c r="D98" s="20" t="s">
        <v>24</v>
      </c>
      <c r="E98" s="26">
        <v>160</v>
      </c>
      <c r="F98" s="70" t="s">
        <v>395</v>
      </c>
      <c r="G98" s="28">
        <v>50</v>
      </c>
      <c r="H98" s="37">
        <f t="shared" si="11"/>
        <v>8000</v>
      </c>
      <c r="I98" s="309">
        <v>3.5</v>
      </c>
      <c r="J98" s="152">
        <v>11.13</v>
      </c>
      <c r="K98" s="154">
        <v>1.6</v>
      </c>
      <c r="L98" s="169">
        <v>0.24</v>
      </c>
      <c r="M98" s="153">
        <f t="shared" si="20"/>
        <v>12.73</v>
      </c>
      <c r="N98" s="166">
        <v>0.33</v>
      </c>
      <c r="O98" s="167">
        <v>0.1</v>
      </c>
      <c r="P98" s="168">
        <v>0.1</v>
      </c>
      <c r="Q98" s="309">
        <f t="shared" si="21"/>
        <v>560</v>
      </c>
      <c r="R98" s="178">
        <f t="shared" si="22"/>
        <v>1780.8000000000002</v>
      </c>
      <c r="S98" s="154">
        <f t="shared" si="23"/>
        <v>256</v>
      </c>
      <c r="T98" s="169">
        <f t="shared" si="24"/>
        <v>38.4</v>
      </c>
      <c r="U98" s="179">
        <f t="shared" si="25"/>
        <v>2036.8000000000002</v>
      </c>
      <c r="V98" s="166">
        <f t="shared" si="26"/>
        <v>52.800000000000004</v>
      </c>
      <c r="W98" s="167">
        <f t="shared" si="27"/>
        <v>16</v>
      </c>
      <c r="X98" s="168">
        <f t="shared" si="28"/>
        <v>16</v>
      </c>
      <c r="Y98" s="14"/>
    </row>
    <row r="99" spans="1:25">
      <c r="A99" s="95">
        <v>40420</v>
      </c>
      <c r="B99" s="86">
        <v>619</v>
      </c>
      <c r="C99" s="20" t="s">
        <v>396</v>
      </c>
      <c r="D99" s="20" t="s">
        <v>168</v>
      </c>
      <c r="E99" s="26">
        <v>20</v>
      </c>
      <c r="F99" s="70" t="s">
        <v>397</v>
      </c>
      <c r="G99" s="28">
        <v>36</v>
      </c>
      <c r="H99" s="37">
        <f t="shared" si="11"/>
        <v>720</v>
      </c>
      <c r="I99" s="309">
        <v>3.5</v>
      </c>
      <c r="J99" s="152">
        <v>0.02</v>
      </c>
      <c r="K99" s="154">
        <v>4.0999999999999996</v>
      </c>
      <c r="L99" s="169">
        <v>0.62</v>
      </c>
      <c r="M99" s="153">
        <f t="shared" si="20"/>
        <v>4.1199999999999992</v>
      </c>
      <c r="N99" s="166">
        <v>0.33</v>
      </c>
      <c r="O99" s="167">
        <v>0.1</v>
      </c>
      <c r="P99" s="168">
        <v>0.1</v>
      </c>
      <c r="Q99" s="309">
        <f t="shared" si="21"/>
        <v>70</v>
      </c>
      <c r="R99" s="152">
        <f t="shared" si="22"/>
        <v>0.4</v>
      </c>
      <c r="S99" s="154">
        <f t="shared" si="23"/>
        <v>82</v>
      </c>
      <c r="T99" s="169">
        <f t="shared" si="24"/>
        <v>12.4</v>
      </c>
      <c r="U99" s="153">
        <f t="shared" si="25"/>
        <v>82.399999999999977</v>
      </c>
      <c r="V99" s="166">
        <f t="shared" si="26"/>
        <v>6.6000000000000005</v>
      </c>
      <c r="W99" s="167">
        <f t="shared" si="27"/>
        <v>2</v>
      </c>
      <c r="X99" s="168">
        <f t="shared" si="28"/>
        <v>2</v>
      </c>
      <c r="Y99" s="14"/>
    </row>
    <row r="100" spans="1:25">
      <c r="A100" s="95">
        <v>40420</v>
      </c>
      <c r="B100" s="86">
        <v>620</v>
      </c>
      <c r="C100" s="20" t="s">
        <v>330</v>
      </c>
      <c r="D100" s="20" t="s">
        <v>24</v>
      </c>
      <c r="E100" s="26">
        <v>50</v>
      </c>
      <c r="F100" s="70" t="s">
        <v>398</v>
      </c>
      <c r="G100" s="28">
        <v>26</v>
      </c>
      <c r="H100" s="37">
        <f t="shared" si="11"/>
        <v>1300</v>
      </c>
      <c r="I100" s="309">
        <v>5.5</v>
      </c>
      <c r="J100" s="152">
        <v>7.82</v>
      </c>
      <c r="K100" s="154">
        <v>0</v>
      </c>
      <c r="L100" s="169">
        <v>0</v>
      </c>
      <c r="M100" s="153">
        <f t="shared" si="20"/>
        <v>7.82</v>
      </c>
      <c r="N100" s="166">
        <v>0.42</v>
      </c>
      <c r="O100" s="167">
        <v>0.1</v>
      </c>
      <c r="P100" s="168">
        <v>0.1</v>
      </c>
      <c r="Q100" s="309">
        <f t="shared" si="21"/>
        <v>275</v>
      </c>
      <c r="R100" s="152">
        <f t="shared" si="22"/>
        <v>391</v>
      </c>
      <c r="S100" s="154">
        <f t="shared" si="23"/>
        <v>0</v>
      </c>
      <c r="T100" s="169">
        <f t="shared" si="24"/>
        <v>0</v>
      </c>
      <c r="U100" s="153">
        <f t="shared" si="25"/>
        <v>391</v>
      </c>
      <c r="V100" s="166">
        <f t="shared" si="26"/>
        <v>21</v>
      </c>
      <c r="W100" s="167">
        <f t="shared" si="27"/>
        <v>5</v>
      </c>
      <c r="X100" s="168">
        <f t="shared" si="28"/>
        <v>5</v>
      </c>
      <c r="Y100" s="14"/>
    </row>
    <row r="101" spans="1:25">
      <c r="A101" s="95">
        <v>40421</v>
      </c>
      <c r="B101" s="86">
        <v>621</v>
      </c>
      <c r="C101" s="20" t="s">
        <v>167</v>
      </c>
      <c r="D101" s="20" t="s">
        <v>168</v>
      </c>
      <c r="E101" s="26">
        <v>50</v>
      </c>
      <c r="F101" s="70" t="s">
        <v>399</v>
      </c>
      <c r="G101" s="28">
        <v>18</v>
      </c>
      <c r="H101" s="37">
        <f t="shared" si="11"/>
        <v>900</v>
      </c>
      <c r="I101" s="309">
        <v>1</v>
      </c>
      <c r="J101" s="152">
        <v>4.57</v>
      </c>
      <c r="K101" s="154">
        <v>3.5</v>
      </c>
      <c r="L101" s="169">
        <v>0.53</v>
      </c>
      <c r="M101" s="153">
        <f t="shared" si="20"/>
        <v>8.07</v>
      </c>
      <c r="N101" s="166">
        <v>0.28999999999999998</v>
      </c>
      <c r="O101" s="167">
        <v>0.1</v>
      </c>
      <c r="P101" s="168">
        <v>0.1</v>
      </c>
      <c r="Q101" s="309">
        <f t="shared" si="21"/>
        <v>50</v>
      </c>
      <c r="R101" s="152">
        <f t="shared" si="22"/>
        <v>228.5</v>
      </c>
      <c r="S101" s="154">
        <f t="shared" si="23"/>
        <v>175</v>
      </c>
      <c r="T101" s="169">
        <f t="shared" si="24"/>
        <v>26.5</v>
      </c>
      <c r="U101" s="153">
        <f t="shared" si="25"/>
        <v>403.5</v>
      </c>
      <c r="V101" s="166">
        <f t="shared" si="26"/>
        <v>14.499999999999998</v>
      </c>
      <c r="W101" s="167">
        <f t="shared" si="27"/>
        <v>5</v>
      </c>
      <c r="X101" s="168">
        <f t="shared" si="28"/>
        <v>5</v>
      </c>
      <c r="Y101" s="14"/>
    </row>
    <row r="102" spans="1:25">
      <c r="A102" s="95">
        <v>40421</v>
      </c>
      <c r="B102" s="87">
        <v>622</v>
      </c>
      <c r="C102" s="20"/>
      <c r="D102" s="20" t="s">
        <v>400</v>
      </c>
      <c r="E102" s="26">
        <v>10</v>
      </c>
      <c r="F102" s="70" t="s">
        <v>401</v>
      </c>
      <c r="G102" s="28">
        <v>45</v>
      </c>
      <c r="H102" s="37">
        <f t="shared" si="11"/>
        <v>450</v>
      </c>
      <c r="I102" s="309">
        <v>3.5</v>
      </c>
      <c r="J102" s="152">
        <v>17.97</v>
      </c>
      <c r="K102" s="154">
        <v>0</v>
      </c>
      <c r="L102" s="169">
        <v>0</v>
      </c>
      <c r="M102" s="153">
        <f t="shared" si="20"/>
        <v>17.97</v>
      </c>
      <c r="N102" s="166">
        <v>0.33</v>
      </c>
      <c r="O102" s="167">
        <v>0.1</v>
      </c>
      <c r="P102" s="168">
        <v>0.1</v>
      </c>
      <c r="Q102" s="309">
        <f t="shared" si="21"/>
        <v>35</v>
      </c>
      <c r="R102" s="152">
        <f t="shared" si="22"/>
        <v>179.7</v>
      </c>
      <c r="S102" s="154">
        <f t="shared" si="23"/>
        <v>0</v>
      </c>
      <c r="T102" s="169">
        <f t="shared" si="24"/>
        <v>0</v>
      </c>
      <c r="U102" s="153">
        <f t="shared" si="25"/>
        <v>179.7</v>
      </c>
      <c r="V102" s="166">
        <f t="shared" si="26"/>
        <v>3.3000000000000003</v>
      </c>
      <c r="W102" s="167">
        <f t="shared" si="27"/>
        <v>1</v>
      </c>
      <c r="X102" s="168">
        <f t="shared" si="28"/>
        <v>1</v>
      </c>
      <c r="Y102" s="14"/>
    </row>
    <row r="103" spans="1:25" ht="13.5" thickBot="1">
      <c r="A103" s="105"/>
      <c r="B103" s="106"/>
      <c r="C103" s="107"/>
      <c r="D103" s="107" t="s">
        <v>400</v>
      </c>
      <c r="E103" s="142">
        <v>13</v>
      </c>
      <c r="F103" s="144" t="s">
        <v>402</v>
      </c>
      <c r="G103" s="108">
        <v>45</v>
      </c>
      <c r="H103" s="143">
        <f t="shared" si="11"/>
        <v>585</v>
      </c>
      <c r="I103" s="310">
        <v>3.5</v>
      </c>
      <c r="J103" s="170">
        <v>10.97</v>
      </c>
      <c r="K103" s="171">
        <v>0</v>
      </c>
      <c r="L103" s="172">
        <v>0</v>
      </c>
      <c r="M103" s="173">
        <f t="shared" si="20"/>
        <v>10.97</v>
      </c>
      <c r="N103" s="174">
        <v>0.33</v>
      </c>
      <c r="O103" s="175">
        <v>0.1</v>
      </c>
      <c r="P103" s="176">
        <v>0.1</v>
      </c>
      <c r="Q103" s="310">
        <f t="shared" si="21"/>
        <v>45.5</v>
      </c>
      <c r="R103" s="170">
        <f t="shared" si="22"/>
        <v>142.61000000000001</v>
      </c>
      <c r="S103" s="171">
        <f t="shared" si="23"/>
        <v>0</v>
      </c>
      <c r="T103" s="172">
        <f t="shared" si="24"/>
        <v>0</v>
      </c>
      <c r="U103" s="173">
        <f t="shared" si="25"/>
        <v>142.61000000000001</v>
      </c>
      <c r="V103" s="174">
        <f t="shared" si="26"/>
        <v>4.29</v>
      </c>
      <c r="W103" s="175">
        <f t="shared" si="27"/>
        <v>1.3</v>
      </c>
      <c r="X103" s="176">
        <f t="shared" si="28"/>
        <v>1.3</v>
      </c>
      <c r="Y103" s="109"/>
    </row>
    <row r="104" spans="1:25" ht="18.75" customHeight="1" thickBot="1">
      <c r="A104" s="32"/>
      <c r="B104" s="32"/>
      <c r="C104" s="32"/>
      <c r="D104" s="32"/>
      <c r="E104" s="32"/>
      <c r="F104" s="76" t="s">
        <v>406</v>
      </c>
      <c r="G104" s="72"/>
      <c r="H104" s="364">
        <f>SUM(H8:H103)</f>
        <v>153732.5</v>
      </c>
      <c r="I104" s="365"/>
      <c r="J104" s="78" t="s">
        <v>36</v>
      </c>
      <c r="K104" s="79"/>
      <c r="L104" s="80"/>
      <c r="M104" s="81">
        <f>SUM(M8:M103)</f>
        <v>1305.8399999999997</v>
      </c>
      <c r="N104" s="73"/>
      <c r="O104" s="74"/>
      <c r="P104" s="75"/>
      <c r="Q104" s="318">
        <f t="shared" ref="Q104:X104" si="29">SUM(Q8:Q103)</f>
        <v>18893.099999999999</v>
      </c>
      <c r="R104" s="83">
        <f t="shared" si="29"/>
        <v>35455.529999999992</v>
      </c>
      <c r="S104" s="84">
        <f t="shared" si="29"/>
        <v>11729.199999999997</v>
      </c>
      <c r="T104" s="80">
        <f t="shared" si="29"/>
        <v>1766.0000000000009</v>
      </c>
      <c r="U104" s="85">
        <f t="shared" si="29"/>
        <v>47184.73</v>
      </c>
      <c r="V104" s="319">
        <f t="shared" si="29"/>
        <v>2053.0300000000007</v>
      </c>
      <c r="W104" s="320">
        <f t="shared" si="29"/>
        <v>540.09999999999968</v>
      </c>
      <c r="X104" s="321">
        <f t="shared" si="29"/>
        <v>550.89999999999964</v>
      </c>
      <c r="Y104" s="32" t="s">
        <v>36</v>
      </c>
    </row>
    <row r="105" spans="1:25" ht="18.75" customHeight="1" thickBot="1">
      <c r="A105" s="32"/>
      <c r="B105" s="32"/>
      <c r="C105" s="32"/>
      <c r="D105" s="32"/>
      <c r="E105" s="32"/>
      <c r="F105" s="76" t="s">
        <v>406</v>
      </c>
      <c r="G105" s="72"/>
      <c r="H105" s="364">
        <f>H104/7.06</f>
        <v>21775.141643059491</v>
      </c>
      <c r="I105" s="365"/>
      <c r="J105" s="78" t="s">
        <v>407</v>
      </c>
      <c r="K105" s="79"/>
      <c r="L105" s="80"/>
      <c r="M105" s="81">
        <f>M104/7.06</f>
        <v>184.96317280453255</v>
      </c>
      <c r="N105" s="73"/>
      <c r="O105" s="74"/>
      <c r="P105" s="77"/>
      <c r="Q105" s="313">
        <f t="shared" ref="Q105:X105" si="30">Q104/7.06</f>
        <v>2676.0764872521245</v>
      </c>
      <c r="R105" s="82">
        <f t="shared" si="30"/>
        <v>5022.0297450424923</v>
      </c>
      <c r="S105" s="79">
        <f t="shared" si="30"/>
        <v>1661.3597733711044</v>
      </c>
      <c r="T105" s="80">
        <f t="shared" si="30"/>
        <v>250.14164305949024</v>
      </c>
      <c r="U105" s="81">
        <f t="shared" si="30"/>
        <v>6683.3895184135981</v>
      </c>
      <c r="V105" s="73">
        <f t="shared" si="30"/>
        <v>290.79745042492931</v>
      </c>
      <c r="W105" s="88">
        <f t="shared" si="30"/>
        <v>76.501416430594858</v>
      </c>
      <c r="X105" s="89">
        <f t="shared" si="30"/>
        <v>78.031161473087778</v>
      </c>
      <c r="Y105" s="32" t="s">
        <v>407</v>
      </c>
    </row>
  </sheetData>
  <autoFilter ref="A7:S40">
    <filterColumn colId="7"/>
    <filterColumn colId="11"/>
    <filterColumn colId="16"/>
  </autoFilter>
  <mergeCells count="3">
    <mergeCell ref="H104:I104"/>
    <mergeCell ref="H105:I105"/>
    <mergeCell ref="G3:K4"/>
  </mergeCells>
  <pageMargins left="0.19685039370078741" right="0.19685039370078741" top="0.59055118110236227" bottom="0.39370078740157483" header="0.31496062992125984" footer="0.31496062992125984"/>
  <pageSetup paperSize="5" scale="75" orientation="landscape" horizontalDpi="4294967294" verticalDpi="300" r:id="rId1"/>
  <headerFooter alignWithMargins="0"/>
  <drawing r:id="rId2"/>
</worksheet>
</file>

<file path=xl/worksheets/sheet9.xml><?xml version="1.0" encoding="utf-8"?>
<worksheet xmlns="http://schemas.openxmlformats.org/spreadsheetml/2006/main" xmlns:r="http://schemas.openxmlformats.org/officeDocument/2006/relationships">
  <sheetPr codeName="Hoja9">
    <tabColor theme="8" tint="-0.499984740745262"/>
  </sheetPr>
  <dimension ref="A1:Y197"/>
  <sheetViews>
    <sheetView workbookViewId="0">
      <pane ySplit="7" topLeftCell="A184" activePane="bottomLeft" state="frozen"/>
      <selection pane="bottomLeft" activeCell="X196" sqref="X196"/>
    </sheetView>
  </sheetViews>
  <sheetFormatPr baseColWidth="10" defaultRowHeight="12.75"/>
  <cols>
    <col min="1" max="1" width="8" customWidth="1"/>
    <col min="2" max="2" width="5.28515625" customWidth="1"/>
    <col min="3" max="3" width="13.7109375" customWidth="1"/>
    <col min="4" max="4" width="12.28515625" customWidth="1"/>
    <col min="5" max="5" width="4.85546875" customWidth="1"/>
    <col min="6" max="6" width="39.5703125" customWidth="1"/>
    <col min="7" max="7" width="5.42578125" customWidth="1"/>
    <col min="8" max="8" width="6.85546875" customWidth="1"/>
    <col min="9" max="9" width="5.28515625" customWidth="1"/>
    <col min="10" max="10" width="5.85546875" customWidth="1"/>
    <col min="11" max="12" width="5" customWidth="1"/>
    <col min="13" max="13" width="7.140625" customWidth="1"/>
    <col min="14" max="16" width="5.140625" customWidth="1"/>
    <col min="17" max="17" width="7.85546875" customWidth="1"/>
    <col min="18" max="21" width="8.140625" customWidth="1"/>
    <col min="22" max="22" width="6.5703125" customWidth="1"/>
    <col min="23" max="23" width="6.28515625" customWidth="1"/>
    <col min="24" max="24" width="6.42578125" customWidth="1"/>
    <col min="25" max="25" width="8" customWidth="1"/>
    <col min="26" max="26" width="14.140625" customWidth="1"/>
  </cols>
  <sheetData>
    <row r="1" spans="1:25" ht="13.5">
      <c r="A1" s="261" t="s">
        <v>12</v>
      </c>
      <c r="B1" s="3"/>
      <c r="C1" s="3"/>
      <c r="N1" s="5"/>
    </row>
    <row r="2" spans="1:25" ht="13.5">
      <c r="A2" s="261" t="s">
        <v>13</v>
      </c>
      <c r="B2" s="3"/>
      <c r="C2" s="3"/>
      <c r="D2" s="2"/>
      <c r="G2" s="369" t="s">
        <v>146</v>
      </c>
      <c r="H2" s="369"/>
      <c r="I2" s="369"/>
      <c r="J2" s="369"/>
      <c r="K2" s="369"/>
      <c r="N2" s="5"/>
      <c r="P2" s="4"/>
      <c r="Q2" s="4"/>
      <c r="R2" s="4"/>
      <c r="S2" s="4"/>
    </row>
    <row r="3" spans="1:25" ht="12.75" customHeight="1">
      <c r="A3" s="261" t="s">
        <v>14</v>
      </c>
      <c r="B3" s="3"/>
      <c r="C3" s="3"/>
      <c r="D3" s="2"/>
      <c r="E3" s="260"/>
      <c r="F3" s="260"/>
      <c r="G3" s="369"/>
      <c r="H3" s="369"/>
      <c r="I3" s="369"/>
      <c r="J3" s="369"/>
      <c r="K3" s="369"/>
      <c r="L3" s="260"/>
      <c r="M3" s="260"/>
      <c r="N3" s="5"/>
      <c r="P3" s="4"/>
      <c r="Q3" s="4"/>
      <c r="R3" s="4"/>
      <c r="S3" s="4"/>
    </row>
    <row r="4" spans="1:25" ht="12.75" customHeight="1">
      <c r="A4" s="261" t="s">
        <v>34</v>
      </c>
      <c r="B4" s="3"/>
      <c r="C4" s="3"/>
      <c r="D4" s="2" t="s">
        <v>16</v>
      </c>
      <c r="E4" s="260"/>
      <c r="F4" s="260"/>
      <c r="G4" s="260"/>
      <c r="H4" s="260"/>
      <c r="I4" s="260"/>
      <c r="J4" s="260"/>
      <c r="K4" s="260"/>
      <c r="L4" s="260"/>
      <c r="M4" s="260"/>
      <c r="N4" s="5"/>
      <c r="P4" s="4"/>
      <c r="Q4" s="4"/>
      <c r="R4" s="4"/>
      <c r="S4" s="4"/>
    </row>
    <row r="5" spans="1:25" ht="12.75" customHeight="1">
      <c r="A5" s="261" t="s">
        <v>15</v>
      </c>
      <c r="B5" s="3"/>
      <c r="C5" s="3"/>
      <c r="D5" s="2"/>
      <c r="E5" s="6"/>
      <c r="F5" s="6"/>
      <c r="G5" s="6"/>
      <c r="H5" s="6"/>
      <c r="I5" s="6"/>
      <c r="N5" s="5"/>
      <c r="P5" s="4"/>
      <c r="Q5" s="4"/>
      <c r="R5" s="4"/>
      <c r="S5" s="4"/>
    </row>
    <row r="6" spans="1:25" ht="24.75" customHeight="1" thickBot="1">
      <c r="A6" s="255" t="s">
        <v>1747</v>
      </c>
      <c r="D6" s="1"/>
      <c r="N6" s="5"/>
    </row>
    <row r="7" spans="1:25" s="13" customFormat="1" ht="26.25" customHeight="1" thickBot="1">
      <c r="A7" s="9" t="s">
        <v>0</v>
      </c>
      <c r="B7" s="10" t="s">
        <v>1</v>
      </c>
      <c r="C7" s="9" t="s">
        <v>19</v>
      </c>
      <c r="D7" s="33" t="s">
        <v>18</v>
      </c>
      <c r="E7" s="12" t="s">
        <v>9</v>
      </c>
      <c r="F7" s="9" t="s">
        <v>2</v>
      </c>
      <c r="G7" s="8" t="s">
        <v>20</v>
      </c>
      <c r="H7" s="8" t="s">
        <v>405</v>
      </c>
      <c r="I7" s="305" t="s">
        <v>3</v>
      </c>
      <c r="J7" s="31" t="s">
        <v>10</v>
      </c>
      <c r="K7" s="61" t="s">
        <v>11</v>
      </c>
      <c r="L7" s="62" t="s">
        <v>29</v>
      </c>
      <c r="M7" s="16" t="s">
        <v>6</v>
      </c>
      <c r="N7" s="63" t="s">
        <v>147</v>
      </c>
      <c r="O7" s="64" t="s">
        <v>148</v>
      </c>
      <c r="P7" s="65" t="s">
        <v>149</v>
      </c>
      <c r="Q7" s="311" t="s">
        <v>8</v>
      </c>
      <c r="R7" s="31" t="s">
        <v>4</v>
      </c>
      <c r="S7" s="61" t="s">
        <v>5</v>
      </c>
      <c r="T7" s="62" t="s">
        <v>31</v>
      </c>
      <c r="U7" s="9" t="s">
        <v>7</v>
      </c>
      <c r="V7" s="63" t="s">
        <v>150</v>
      </c>
      <c r="W7" s="64" t="s">
        <v>151</v>
      </c>
      <c r="X7" s="65" t="s">
        <v>152</v>
      </c>
      <c r="Y7" s="9" t="s">
        <v>22</v>
      </c>
    </row>
    <row r="8" spans="1:25" s="7" customFormat="1" ht="12" customHeight="1">
      <c r="A8" s="102">
        <v>40422</v>
      </c>
      <c r="B8" s="91">
        <v>623</v>
      </c>
      <c r="C8" s="92"/>
      <c r="D8" s="92" t="s">
        <v>408</v>
      </c>
      <c r="E8" s="41">
        <v>45</v>
      </c>
      <c r="F8" s="103" t="s">
        <v>409</v>
      </c>
      <c r="G8" s="118">
        <f>15.5+2</f>
        <v>17.5</v>
      </c>
      <c r="H8" s="118">
        <f>E8*G8</f>
        <v>787.5</v>
      </c>
      <c r="I8" s="322">
        <v>1</v>
      </c>
      <c r="J8" s="207">
        <v>2.11</v>
      </c>
      <c r="K8" s="208">
        <v>3.1</v>
      </c>
      <c r="L8" s="209">
        <v>0.47</v>
      </c>
      <c r="M8" s="210">
        <f>J8+K8</f>
        <v>5.21</v>
      </c>
      <c r="N8" s="211">
        <v>0.28999999999999998</v>
      </c>
      <c r="O8" s="212">
        <v>0.1</v>
      </c>
      <c r="P8" s="213">
        <v>0.1</v>
      </c>
      <c r="Q8" s="322">
        <f t="shared" ref="Q8:Q39" si="0">E8*I8</f>
        <v>45</v>
      </c>
      <c r="R8" s="207">
        <f t="shared" ref="R8:R39" si="1">E8*J8</f>
        <v>94.949999999999989</v>
      </c>
      <c r="S8" s="208">
        <f t="shared" ref="S8:S39" si="2">E8*K8</f>
        <v>139.5</v>
      </c>
      <c r="T8" s="209">
        <f t="shared" ref="T8:T39" si="3">E8*L8</f>
        <v>21.15</v>
      </c>
      <c r="U8" s="210">
        <f t="shared" ref="U8:U39" si="4">E8*M8</f>
        <v>234.45</v>
      </c>
      <c r="V8" s="211">
        <f t="shared" ref="V8:V39" si="5">N8*E8</f>
        <v>13.049999999999999</v>
      </c>
      <c r="W8" s="212">
        <f t="shared" ref="W8:W39" si="6">O8*E8</f>
        <v>4.5</v>
      </c>
      <c r="X8" s="213">
        <f t="shared" ref="X8:X39" si="7">P8*E8</f>
        <v>4.5</v>
      </c>
      <c r="Y8" s="17"/>
    </row>
    <row r="9" spans="1:25" s="7" customFormat="1" ht="12" customHeight="1">
      <c r="A9" s="95"/>
      <c r="B9" s="86"/>
      <c r="C9" s="20"/>
      <c r="D9" s="20" t="s">
        <v>408</v>
      </c>
      <c r="E9" s="26">
        <v>15</v>
      </c>
      <c r="F9" s="28" t="s">
        <v>410</v>
      </c>
      <c r="G9" s="119">
        <v>15.5</v>
      </c>
      <c r="H9" s="119">
        <f>E9*G9</f>
        <v>232.5</v>
      </c>
      <c r="I9" s="323">
        <v>1</v>
      </c>
      <c r="J9" s="214">
        <v>1.1100000000000001</v>
      </c>
      <c r="K9" s="215">
        <v>3.1</v>
      </c>
      <c r="L9" s="216">
        <v>0.47</v>
      </c>
      <c r="M9" s="217">
        <f>J9+K9</f>
        <v>4.21</v>
      </c>
      <c r="N9" s="218">
        <v>0.28999999999999998</v>
      </c>
      <c r="O9" s="219">
        <v>0.1</v>
      </c>
      <c r="P9" s="220">
        <v>0.1</v>
      </c>
      <c r="Q9" s="323">
        <f t="shared" si="0"/>
        <v>15</v>
      </c>
      <c r="R9" s="214">
        <f t="shared" si="1"/>
        <v>16.650000000000002</v>
      </c>
      <c r="S9" s="215">
        <f t="shared" si="2"/>
        <v>46.5</v>
      </c>
      <c r="T9" s="216">
        <f t="shared" si="3"/>
        <v>7.05</v>
      </c>
      <c r="U9" s="217">
        <f t="shared" si="4"/>
        <v>63.15</v>
      </c>
      <c r="V9" s="218">
        <f t="shared" si="5"/>
        <v>4.3499999999999996</v>
      </c>
      <c r="W9" s="219">
        <f t="shared" si="6"/>
        <v>1.5</v>
      </c>
      <c r="X9" s="220">
        <f t="shared" si="7"/>
        <v>1.5</v>
      </c>
      <c r="Y9" s="15"/>
    </row>
    <row r="10" spans="1:25" s="7" customFormat="1" ht="12" customHeight="1">
      <c r="A10" s="95"/>
      <c r="B10" s="86"/>
      <c r="C10" s="20"/>
      <c r="D10" s="20" t="s">
        <v>408</v>
      </c>
      <c r="E10" s="26">
        <v>41</v>
      </c>
      <c r="F10" s="28" t="s">
        <v>411</v>
      </c>
      <c r="G10" s="119">
        <v>34</v>
      </c>
      <c r="H10" s="119">
        <f t="shared" ref="H10:H73" si="8">E10*G10</f>
        <v>1394</v>
      </c>
      <c r="I10" s="323">
        <v>3.5</v>
      </c>
      <c r="J10" s="214">
        <v>0.68</v>
      </c>
      <c r="K10" s="215">
        <v>2.9</v>
      </c>
      <c r="L10" s="216">
        <v>0.44</v>
      </c>
      <c r="M10" s="217">
        <f t="shared" ref="M10:M71" si="9">J10+K10</f>
        <v>3.58</v>
      </c>
      <c r="N10" s="218">
        <v>0.33</v>
      </c>
      <c r="O10" s="219">
        <v>0.1</v>
      </c>
      <c r="P10" s="220">
        <v>0.1</v>
      </c>
      <c r="Q10" s="323">
        <f t="shared" si="0"/>
        <v>143.5</v>
      </c>
      <c r="R10" s="214">
        <f t="shared" si="1"/>
        <v>27.880000000000003</v>
      </c>
      <c r="S10" s="215">
        <f t="shared" si="2"/>
        <v>118.89999999999999</v>
      </c>
      <c r="T10" s="216">
        <f t="shared" si="3"/>
        <v>18.04</v>
      </c>
      <c r="U10" s="221">
        <f t="shared" si="4"/>
        <v>146.78</v>
      </c>
      <c r="V10" s="218">
        <f t="shared" si="5"/>
        <v>13.530000000000001</v>
      </c>
      <c r="W10" s="219">
        <f t="shared" si="6"/>
        <v>4.1000000000000005</v>
      </c>
      <c r="X10" s="220">
        <f t="shared" si="7"/>
        <v>4.1000000000000005</v>
      </c>
      <c r="Y10" s="14"/>
    </row>
    <row r="11" spans="1:25" s="7" customFormat="1" ht="12" customHeight="1">
      <c r="A11" s="95"/>
      <c r="B11" s="86"/>
      <c r="C11" s="20"/>
      <c r="D11" s="20" t="s">
        <v>408</v>
      </c>
      <c r="E11" s="26">
        <v>9</v>
      </c>
      <c r="F11" s="28" t="s">
        <v>412</v>
      </c>
      <c r="G11" s="119">
        <v>34</v>
      </c>
      <c r="H11" s="119">
        <f t="shared" si="8"/>
        <v>306</v>
      </c>
      <c r="I11" s="323">
        <v>3.5</v>
      </c>
      <c r="J11" s="214">
        <v>4.22</v>
      </c>
      <c r="K11" s="215">
        <v>2.99</v>
      </c>
      <c r="L11" s="216">
        <v>0.44</v>
      </c>
      <c r="M11" s="217">
        <f t="shared" si="9"/>
        <v>7.21</v>
      </c>
      <c r="N11" s="218">
        <v>0.33</v>
      </c>
      <c r="O11" s="219">
        <v>0.1</v>
      </c>
      <c r="P11" s="220">
        <v>0.1</v>
      </c>
      <c r="Q11" s="323">
        <f t="shared" si="0"/>
        <v>31.5</v>
      </c>
      <c r="R11" s="214">
        <f t="shared" si="1"/>
        <v>37.979999999999997</v>
      </c>
      <c r="S11" s="215">
        <f t="shared" si="2"/>
        <v>26.910000000000004</v>
      </c>
      <c r="T11" s="216">
        <f t="shared" si="3"/>
        <v>3.96</v>
      </c>
      <c r="U11" s="221">
        <f t="shared" si="4"/>
        <v>64.89</v>
      </c>
      <c r="V11" s="218">
        <f t="shared" si="5"/>
        <v>2.97</v>
      </c>
      <c r="W11" s="219">
        <f t="shared" si="6"/>
        <v>0.9</v>
      </c>
      <c r="X11" s="220">
        <f t="shared" si="7"/>
        <v>0.9</v>
      </c>
      <c r="Y11" s="14"/>
    </row>
    <row r="12" spans="1:25" s="7" customFormat="1" ht="12" customHeight="1">
      <c r="A12" s="95">
        <v>40422</v>
      </c>
      <c r="B12" s="86">
        <v>624</v>
      </c>
      <c r="C12" s="20" t="s">
        <v>413</v>
      </c>
      <c r="D12" s="20" t="s">
        <v>414</v>
      </c>
      <c r="E12" s="26">
        <f>3+2</f>
        <v>5</v>
      </c>
      <c r="F12" s="28" t="s">
        <v>415</v>
      </c>
      <c r="G12" s="119">
        <v>40</v>
      </c>
      <c r="H12" s="119">
        <f t="shared" si="8"/>
        <v>200</v>
      </c>
      <c r="I12" s="323">
        <v>3.5</v>
      </c>
      <c r="J12" s="214">
        <v>1.62</v>
      </c>
      <c r="K12" s="215">
        <v>1.9</v>
      </c>
      <c r="L12" s="216">
        <v>0.28999999999999998</v>
      </c>
      <c r="M12" s="217">
        <f t="shared" si="9"/>
        <v>3.52</v>
      </c>
      <c r="N12" s="218">
        <v>0</v>
      </c>
      <c r="O12" s="219">
        <v>0.1</v>
      </c>
      <c r="P12" s="220">
        <v>0.1</v>
      </c>
      <c r="Q12" s="323">
        <f t="shared" si="0"/>
        <v>17.5</v>
      </c>
      <c r="R12" s="214">
        <f t="shared" si="1"/>
        <v>8.1000000000000014</v>
      </c>
      <c r="S12" s="215">
        <f t="shared" si="2"/>
        <v>9.5</v>
      </c>
      <c r="T12" s="216">
        <f t="shared" si="3"/>
        <v>1.45</v>
      </c>
      <c r="U12" s="221">
        <f t="shared" si="4"/>
        <v>17.600000000000001</v>
      </c>
      <c r="V12" s="218">
        <f t="shared" si="5"/>
        <v>0</v>
      </c>
      <c r="W12" s="219">
        <f t="shared" si="6"/>
        <v>0.5</v>
      </c>
      <c r="X12" s="220">
        <f t="shared" si="7"/>
        <v>0.5</v>
      </c>
      <c r="Y12" s="14"/>
    </row>
    <row r="13" spans="1:25" s="7" customFormat="1" ht="12" customHeight="1">
      <c r="A13" s="95"/>
      <c r="B13" s="86"/>
      <c r="C13" s="20" t="s">
        <v>413</v>
      </c>
      <c r="D13" s="20" t="s">
        <v>414</v>
      </c>
      <c r="E13" s="26">
        <v>7</v>
      </c>
      <c r="F13" s="28" t="s">
        <v>416</v>
      </c>
      <c r="G13" s="119">
        <v>43</v>
      </c>
      <c r="H13" s="119">
        <f t="shared" si="8"/>
        <v>301</v>
      </c>
      <c r="I13" s="323">
        <v>3.5</v>
      </c>
      <c r="J13" s="214">
        <v>6.79</v>
      </c>
      <c r="K13" s="215">
        <v>3.5</v>
      </c>
      <c r="L13" s="216">
        <v>0.53</v>
      </c>
      <c r="M13" s="217">
        <f t="shared" si="9"/>
        <v>10.29</v>
      </c>
      <c r="N13" s="218">
        <v>0.33</v>
      </c>
      <c r="O13" s="219">
        <v>0.1</v>
      </c>
      <c r="P13" s="220">
        <v>0.1</v>
      </c>
      <c r="Q13" s="323">
        <f t="shared" si="0"/>
        <v>24.5</v>
      </c>
      <c r="R13" s="214">
        <f t="shared" si="1"/>
        <v>47.53</v>
      </c>
      <c r="S13" s="215">
        <f t="shared" si="2"/>
        <v>24.5</v>
      </c>
      <c r="T13" s="216">
        <f t="shared" si="3"/>
        <v>3.71</v>
      </c>
      <c r="U13" s="221">
        <f t="shared" si="4"/>
        <v>72.03</v>
      </c>
      <c r="V13" s="218">
        <f t="shared" si="5"/>
        <v>2.31</v>
      </c>
      <c r="W13" s="219">
        <f t="shared" si="6"/>
        <v>0.70000000000000007</v>
      </c>
      <c r="X13" s="220">
        <f t="shared" si="7"/>
        <v>0.70000000000000007</v>
      </c>
      <c r="Y13" s="14"/>
    </row>
    <row r="14" spans="1:25" s="7" customFormat="1" ht="12" customHeight="1">
      <c r="A14" s="95"/>
      <c r="B14" s="86"/>
      <c r="C14" s="20" t="s">
        <v>413</v>
      </c>
      <c r="D14" s="20" t="s">
        <v>414</v>
      </c>
      <c r="E14" s="26">
        <v>4</v>
      </c>
      <c r="F14" s="28" t="s">
        <v>417</v>
      </c>
      <c r="G14" s="119">
        <v>43</v>
      </c>
      <c r="H14" s="119">
        <f t="shared" si="8"/>
        <v>172</v>
      </c>
      <c r="I14" s="323">
        <v>3.5</v>
      </c>
      <c r="J14" s="214">
        <v>11.79</v>
      </c>
      <c r="K14" s="215">
        <v>3.5</v>
      </c>
      <c r="L14" s="216">
        <v>0.53</v>
      </c>
      <c r="M14" s="217">
        <f t="shared" si="9"/>
        <v>15.29</v>
      </c>
      <c r="N14" s="218">
        <v>0.33</v>
      </c>
      <c r="O14" s="219">
        <v>0.1</v>
      </c>
      <c r="P14" s="220">
        <v>0.1</v>
      </c>
      <c r="Q14" s="323">
        <f t="shared" si="0"/>
        <v>14</v>
      </c>
      <c r="R14" s="214">
        <f t="shared" si="1"/>
        <v>47.16</v>
      </c>
      <c r="S14" s="215">
        <f t="shared" si="2"/>
        <v>14</v>
      </c>
      <c r="T14" s="216">
        <f t="shared" si="3"/>
        <v>2.12</v>
      </c>
      <c r="U14" s="221">
        <f t="shared" si="4"/>
        <v>61.16</v>
      </c>
      <c r="V14" s="218">
        <f t="shared" si="5"/>
        <v>1.32</v>
      </c>
      <c r="W14" s="219">
        <f t="shared" si="6"/>
        <v>0.4</v>
      </c>
      <c r="X14" s="220">
        <f t="shared" si="7"/>
        <v>0.4</v>
      </c>
      <c r="Y14" s="14"/>
    </row>
    <row r="15" spans="1:25" s="7" customFormat="1" ht="12" customHeight="1">
      <c r="A15" s="104">
        <v>40422</v>
      </c>
      <c r="B15" s="97">
        <v>625</v>
      </c>
      <c r="C15" s="96"/>
      <c r="D15" s="96"/>
      <c r="E15" s="44"/>
      <c r="F15" s="45" t="s">
        <v>651</v>
      </c>
      <c r="G15" s="242"/>
      <c r="H15" s="119">
        <f t="shared" si="8"/>
        <v>0</v>
      </c>
      <c r="I15" s="323">
        <v>0</v>
      </c>
      <c r="J15" s="214">
        <v>0</v>
      </c>
      <c r="K15" s="215">
        <v>0</v>
      </c>
      <c r="L15" s="216">
        <v>0</v>
      </c>
      <c r="M15" s="217">
        <f t="shared" si="9"/>
        <v>0</v>
      </c>
      <c r="N15" s="218">
        <v>0</v>
      </c>
      <c r="O15" s="219">
        <v>0</v>
      </c>
      <c r="P15" s="220">
        <v>0</v>
      </c>
      <c r="Q15" s="323">
        <f t="shared" si="0"/>
        <v>0</v>
      </c>
      <c r="R15" s="214">
        <f t="shared" si="1"/>
        <v>0</v>
      </c>
      <c r="S15" s="215">
        <f t="shared" si="2"/>
        <v>0</v>
      </c>
      <c r="T15" s="216">
        <f t="shared" si="3"/>
        <v>0</v>
      </c>
      <c r="U15" s="221">
        <f t="shared" si="4"/>
        <v>0</v>
      </c>
      <c r="V15" s="218">
        <f t="shared" si="5"/>
        <v>0</v>
      </c>
      <c r="W15" s="219">
        <f t="shared" si="6"/>
        <v>0</v>
      </c>
      <c r="X15" s="220">
        <f t="shared" si="7"/>
        <v>0</v>
      </c>
      <c r="Y15" s="14"/>
    </row>
    <row r="16" spans="1:25" s="7" customFormat="1" ht="12" customHeight="1">
      <c r="A16" s="95">
        <v>40423</v>
      </c>
      <c r="B16" s="86">
        <v>626</v>
      </c>
      <c r="C16" s="20" t="s">
        <v>209</v>
      </c>
      <c r="D16" s="20" t="s">
        <v>210</v>
      </c>
      <c r="E16" s="26">
        <v>128</v>
      </c>
      <c r="F16" s="28" t="s">
        <v>418</v>
      </c>
      <c r="G16" s="119">
        <v>58</v>
      </c>
      <c r="H16" s="119">
        <f t="shared" si="8"/>
        <v>7424</v>
      </c>
      <c r="I16" s="323">
        <v>6.5</v>
      </c>
      <c r="J16" s="214">
        <v>18.97</v>
      </c>
      <c r="K16" s="215">
        <v>5.25</v>
      </c>
      <c r="L16" s="216">
        <v>0.79</v>
      </c>
      <c r="M16" s="217">
        <f t="shared" si="9"/>
        <v>24.22</v>
      </c>
      <c r="N16" s="218">
        <v>0.75</v>
      </c>
      <c r="O16" s="219">
        <v>0.1</v>
      </c>
      <c r="P16" s="220">
        <v>0.1</v>
      </c>
      <c r="Q16" s="325">
        <f t="shared" si="0"/>
        <v>832</v>
      </c>
      <c r="R16" s="214">
        <f t="shared" si="1"/>
        <v>2428.16</v>
      </c>
      <c r="S16" s="215">
        <f t="shared" si="2"/>
        <v>672</v>
      </c>
      <c r="T16" s="216">
        <f t="shared" si="3"/>
        <v>101.12</v>
      </c>
      <c r="U16" s="221">
        <f t="shared" si="4"/>
        <v>3100.16</v>
      </c>
      <c r="V16" s="218">
        <f t="shared" si="5"/>
        <v>96</v>
      </c>
      <c r="W16" s="219">
        <f t="shared" si="6"/>
        <v>12.8</v>
      </c>
      <c r="X16" s="220">
        <f t="shared" si="7"/>
        <v>12.8</v>
      </c>
      <c r="Y16" s="14"/>
    </row>
    <row r="17" spans="1:25" s="7" customFormat="1" ht="12" customHeight="1">
      <c r="A17" s="95">
        <v>40423</v>
      </c>
      <c r="B17" s="86">
        <v>627</v>
      </c>
      <c r="C17" s="20" t="s">
        <v>269</v>
      </c>
      <c r="D17" s="20" t="s">
        <v>135</v>
      </c>
      <c r="E17" s="26">
        <v>24</v>
      </c>
      <c r="F17" s="28" t="s">
        <v>419</v>
      </c>
      <c r="G17" s="119">
        <v>142.5</v>
      </c>
      <c r="H17" s="119">
        <f t="shared" si="8"/>
        <v>3420</v>
      </c>
      <c r="I17" s="323">
        <v>8</v>
      </c>
      <c r="J17" s="222">
        <v>29.7</v>
      </c>
      <c r="K17" s="215">
        <v>2</v>
      </c>
      <c r="L17" s="216">
        <v>0.3</v>
      </c>
      <c r="M17" s="217">
        <f t="shared" si="9"/>
        <v>31.7</v>
      </c>
      <c r="N17" s="218">
        <v>1.25</v>
      </c>
      <c r="O17" s="219">
        <v>0.1</v>
      </c>
      <c r="P17" s="220">
        <v>0.1</v>
      </c>
      <c r="Q17" s="323">
        <f t="shared" si="0"/>
        <v>192</v>
      </c>
      <c r="R17" s="214">
        <f t="shared" si="1"/>
        <v>712.8</v>
      </c>
      <c r="S17" s="215">
        <f t="shared" si="2"/>
        <v>48</v>
      </c>
      <c r="T17" s="216">
        <f t="shared" si="3"/>
        <v>7.1999999999999993</v>
      </c>
      <c r="U17" s="221">
        <f t="shared" si="4"/>
        <v>760.8</v>
      </c>
      <c r="V17" s="218">
        <f t="shared" si="5"/>
        <v>30</v>
      </c>
      <c r="W17" s="219">
        <f t="shared" si="6"/>
        <v>2.4000000000000004</v>
      </c>
      <c r="X17" s="220">
        <f t="shared" si="7"/>
        <v>2.4000000000000004</v>
      </c>
      <c r="Y17" s="14"/>
    </row>
    <row r="18" spans="1:25" s="7" customFormat="1" ht="12" customHeight="1">
      <c r="A18" s="95">
        <v>40423</v>
      </c>
      <c r="B18" s="86">
        <v>628</v>
      </c>
      <c r="C18" s="20" t="s">
        <v>420</v>
      </c>
      <c r="D18" s="20" t="s">
        <v>421</v>
      </c>
      <c r="E18" s="26">
        <v>3</v>
      </c>
      <c r="F18" s="28" t="s">
        <v>422</v>
      </c>
      <c r="G18" s="119">
        <v>47.5</v>
      </c>
      <c r="H18" s="119">
        <f t="shared" si="8"/>
        <v>142.5</v>
      </c>
      <c r="I18" s="323">
        <v>3.5</v>
      </c>
      <c r="J18" s="214">
        <v>18.95</v>
      </c>
      <c r="K18" s="215">
        <v>3</v>
      </c>
      <c r="L18" s="216">
        <v>0.45</v>
      </c>
      <c r="M18" s="217">
        <f t="shared" si="9"/>
        <v>21.95</v>
      </c>
      <c r="N18" s="218">
        <v>0.33</v>
      </c>
      <c r="O18" s="219">
        <v>0.1</v>
      </c>
      <c r="P18" s="220">
        <v>0.1</v>
      </c>
      <c r="Q18" s="323">
        <f t="shared" si="0"/>
        <v>10.5</v>
      </c>
      <c r="R18" s="214">
        <f t="shared" si="1"/>
        <v>56.849999999999994</v>
      </c>
      <c r="S18" s="215">
        <f t="shared" si="2"/>
        <v>9</v>
      </c>
      <c r="T18" s="216">
        <f t="shared" si="3"/>
        <v>1.35</v>
      </c>
      <c r="U18" s="221">
        <f t="shared" si="4"/>
        <v>65.849999999999994</v>
      </c>
      <c r="V18" s="218">
        <f t="shared" si="5"/>
        <v>0.99</v>
      </c>
      <c r="W18" s="219">
        <f t="shared" si="6"/>
        <v>0.30000000000000004</v>
      </c>
      <c r="X18" s="220">
        <f t="shared" si="7"/>
        <v>0.30000000000000004</v>
      </c>
      <c r="Y18" s="14"/>
    </row>
    <row r="19" spans="1:25" s="7" customFormat="1" ht="12" customHeight="1">
      <c r="A19" s="95"/>
      <c r="B19" s="86"/>
      <c r="C19" s="20" t="s">
        <v>420</v>
      </c>
      <c r="D19" s="20" t="s">
        <v>421</v>
      </c>
      <c r="E19" s="26">
        <v>3</v>
      </c>
      <c r="F19" s="28" t="s">
        <v>423</v>
      </c>
      <c r="G19" s="119">
        <v>47.5</v>
      </c>
      <c r="H19" s="119">
        <f t="shared" si="8"/>
        <v>142.5</v>
      </c>
      <c r="I19" s="323">
        <v>3.5</v>
      </c>
      <c r="J19" s="214">
        <v>12.95</v>
      </c>
      <c r="K19" s="215">
        <v>3</v>
      </c>
      <c r="L19" s="216">
        <v>0.45</v>
      </c>
      <c r="M19" s="217">
        <f t="shared" si="9"/>
        <v>15.95</v>
      </c>
      <c r="N19" s="218">
        <v>0.33</v>
      </c>
      <c r="O19" s="219">
        <v>0.1</v>
      </c>
      <c r="P19" s="220">
        <v>0.1</v>
      </c>
      <c r="Q19" s="323">
        <f t="shared" si="0"/>
        <v>10.5</v>
      </c>
      <c r="R19" s="214">
        <f t="shared" si="1"/>
        <v>38.849999999999994</v>
      </c>
      <c r="S19" s="215">
        <f t="shared" si="2"/>
        <v>9</v>
      </c>
      <c r="T19" s="216">
        <f t="shared" si="3"/>
        <v>1.35</v>
      </c>
      <c r="U19" s="221">
        <f t="shared" si="4"/>
        <v>47.849999999999994</v>
      </c>
      <c r="V19" s="218">
        <f t="shared" si="5"/>
        <v>0.99</v>
      </c>
      <c r="W19" s="219">
        <f t="shared" si="6"/>
        <v>0.30000000000000004</v>
      </c>
      <c r="X19" s="220">
        <f t="shared" si="7"/>
        <v>0.30000000000000004</v>
      </c>
      <c r="Y19" s="14"/>
    </row>
    <row r="20" spans="1:25" s="7" customFormat="1" ht="12" customHeight="1">
      <c r="A20" s="95">
        <v>40425</v>
      </c>
      <c r="B20" s="87">
        <v>629</v>
      </c>
      <c r="C20" s="20" t="s">
        <v>424</v>
      </c>
      <c r="D20" s="20" t="s">
        <v>425</v>
      </c>
      <c r="E20" s="26">
        <v>24</v>
      </c>
      <c r="F20" s="28" t="s">
        <v>426</v>
      </c>
      <c r="G20" s="119">
        <v>38</v>
      </c>
      <c r="H20" s="119">
        <f t="shared" si="8"/>
        <v>912</v>
      </c>
      <c r="I20" s="323">
        <v>3.5</v>
      </c>
      <c r="J20" s="214">
        <v>7.25</v>
      </c>
      <c r="K20" s="215">
        <v>2.8</v>
      </c>
      <c r="L20" s="216">
        <v>0.42</v>
      </c>
      <c r="M20" s="217">
        <f>J20+K20</f>
        <v>10.050000000000001</v>
      </c>
      <c r="N20" s="218">
        <v>0.33</v>
      </c>
      <c r="O20" s="219">
        <v>0.1</v>
      </c>
      <c r="P20" s="220">
        <v>0.1</v>
      </c>
      <c r="Q20" s="323">
        <f t="shared" si="0"/>
        <v>84</v>
      </c>
      <c r="R20" s="214">
        <f t="shared" si="1"/>
        <v>174</v>
      </c>
      <c r="S20" s="215">
        <f t="shared" si="2"/>
        <v>67.199999999999989</v>
      </c>
      <c r="T20" s="216">
        <f t="shared" si="3"/>
        <v>10.08</v>
      </c>
      <c r="U20" s="221">
        <f t="shared" si="4"/>
        <v>241.20000000000002</v>
      </c>
      <c r="V20" s="218">
        <f t="shared" si="5"/>
        <v>7.92</v>
      </c>
      <c r="W20" s="219">
        <f t="shared" si="6"/>
        <v>2.4000000000000004</v>
      </c>
      <c r="X20" s="220">
        <f t="shared" si="7"/>
        <v>2.4000000000000004</v>
      </c>
      <c r="Y20" s="14"/>
    </row>
    <row r="21" spans="1:25" s="7" customFormat="1" ht="12" customHeight="1">
      <c r="A21" s="95">
        <v>40427</v>
      </c>
      <c r="B21" s="86">
        <v>630</v>
      </c>
      <c r="C21" s="20" t="s">
        <v>427</v>
      </c>
      <c r="D21" s="20" t="s">
        <v>242</v>
      </c>
      <c r="E21" s="26">
        <v>12</v>
      </c>
      <c r="F21" s="28" t="s">
        <v>428</v>
      </c>
      <c r="G21" s="119">
        <v>43.5</v>
      </c>
      <c r="H21" s="119">
        <f t="shared" si="8"/>
        <v>522</v>
      </c>
      <c r="I21" s="323">
        <v>3.5</v>
      </c>
      <c r="J21" s="214">
        <v>11.57</v>
      </c>
      <c r="K21" s="215">
        <v>6</v>
      </c>
      <c r="L21" s="216">
        <v>0.9</v>
      </c>
      <c r="M21" s="217">
        <f t="shared" si="9"/>
        <v>17.57</v>
      </c>
      <c r="N21" s="218">
        <v>0.33</v>
      </c>
      <c r="O21" s="219">
        <v>0.1</v>
      </c>
      <c r="P21" s="220">
        <v>0.1</v>
      </c>
      <c r="Q21" s="323">
        <f t="shared" si="0"/>
        <v>42</v>
      </c>
      <c r="R21" s="214">
        <f t="shared" si="1"/>
        <v>138.84</v>
      </c>
      <c r="S21" s="215">
        <f t="shared" si="2"/>
        <v>72</v>
      </c>
      <c r="T21" s="216">
        <f t="shared" si="3"/>
        <v>10.8</v>
      </c>
      <c r="U21" s="221">
        <f t="shared" si="4"/>
        <v>210.84</v>
      </c>
      <c r="V21" s="218">
        <f t="shared" si="5"/>
        <v>3.96</v>
      </c>
      <c r="W21" s="219">
        <f t="shared" si="6"/>
        <v>1.2000000000000002</v>
      </c>
      <c r="X21" s="220">
        <f t="shared" si="7"/>
        <v>1.2000000000000002</v>
      </c>
      <c r="Y21" s="14"/>
    </row>
    <row r="22" spans="1:25" s="7" customFormat="1" ht="12" customHeight="1">
      <c r="A22" s="95"/>
      <c r="B22" s="86"/>
      <c r="C22" s="20" t="s">
        <v>427</v>
      </c>
      <c r="D22" s="20" t="s">
        <v>242</v>
      </c>
      <c r="E22" s="26">
        <v>12</v>
      </c>
      <c r="F22" s="28" t="s">
        <v>429</v>
      </c>
      <c r="G22" s="119">
        <v>43.5</v>
      </c>
      <c r="H22" s="119">
        <f t="shared" si="8"/>
        <v>522</v>
      </c>
      <c r="I22" s="323">
        <v>3.5</v>
      </c>
      <c r="J22" s="214">
        <v>11.57</v>
      </c>
      <c r="K22" s="215">
        <v>6</v>
      </c>
      <c r="L22" s="216">
        <v>0.9</v>
      </c>
      <c r="M22" s="217">
        <f t="shared" si="9"/>
        <v>17.57</v>
      </c>
      <c r="N22" s="218">
        <v>0.33</v>
      </c>
      <c r="O22" s="219">
        <v>0.1</v>
      </c>
      <c r="P22" s="220">
        <v>0.1</v>
      </c>
      <c r="Q22" s="323">
        <f t="shared" si="0"/>
        <v>42</v>
      </c>
      <c r="R22" s="214">
        <f t="shared" si="1"/>
        <v>138.84</v>
      </c>
      <c r="S22" s="215">
        <f t="shared" si="2"/>
        <v>72</v>
      </c>
      <c r="T22" s="216">
        <f t="shared" si="3"/>
        <v>10.8</v>
      </c>
      <c r="U22" s="221">
        <f t="shared" si="4"/>
        <v>210.84</v>
      </c>
      <c r="V22" s="218">
        <f t="shared" si="5"/>
        <v>3.96</v>
      </c>
      <c r="W22" s="219">
        <f t="shared" si="6"/>
        <v>1.2000000000000002</v>
      </c>
      <c r="X22" s="220">
        <f t="shared" si="7"/>
        <v>1.2000000000000002</v>
      </c>
      <c r="Y22" s="14"/>
    </row>
    <row r="23" spans="1:25" s="7" customFormat="1" ht="12" customHeight="1">
      <c r="A23" s="95"/>
      <c r="B23" s="86"/>
      <c r="C23" s="20" t="s">
        <v>427</v>
      </c>
      <c r="D23" s="20" t="s">
        <v>242</v>
      </c>
      <c r="E23" s="26">
        <v>24</v>
      </c>
      <c r="F23" s="28" t="s">
        <v>430</v>
      </c>
      <c r="G23" s="119">
        <v>12.5</v>
      </c>
      <c r="H23" s="119">
        <f t="shared" si="8"/>
        <v>300</v>
      </c>
      <c r="I23" s="323">
        <v>1</v>
      </c>
      <c r="J23" s="214">
        <v>0.78</v>
      </c>
      <c r="K23" s="215">
        <v>2.2999999999999998</v>
      </c>
      <c r="L23" s="216">
        <v>0.35</v>
      </c>
      <c r="M23" s="217">
        <f t="shared" si="9"/>
        <v>3.08</v>
      </c>
      <c r="N23" s="218">
        <v>0.28999999999999998</v>
      </c>
      <c r="O23" s="219">
        <v>0.1</v>
      </c>
      <c r="P23" s="220">
        <v>0.1</v>
      </c>
      <c r="Q23" s="323">
        <f t="shared" si="0"/>
        <v>24</v>
      </c>
      <c r="R23" s="214">
        <f t="shared" si="1"/>
        <v>18.72</v>
      </c>
      <c r="S23" s="215">
        <f t="shared" si="2"/>
        <v>55.199999999999996</v>
      </c>
      <c r="T23" s="216">
        <f t="shared" si="3"/>
        <v>8.3999999999999986</v>
      </c>
      <c r="U23" s="221">
        <f t="shared" si="4"/>
        <v>73.92</v>
      </c>
      <c r="V23" s="218">
        <f t="shared" si="5"/>
        <v>6.9599999999999991</v>
      </c>
      <c r="W23" s="219">
        <f t="shared" si="6"/>
        <v>2.4000000000000004</v>
      </c>
      <c r="X23" s="220">
        <f t="shared" si="7"/>
        <v>2.4000000000000004</v>
      </c>
      <c r="Y23" s="14"/>
    </row>
    <row r="24" spans="1:25" s="7" customFormat="1" ht="12" customHeight="1">
      <c r="A24" s="95"/>
      <c r="B24" s="87"/>
      <c r="C24" s="20" t="s">
        <v>427</v>
      </c>
      <c r="D24" s="20" t="s">
        <v>242</v>
      </c>
      <c r="E24" s="26">
        <v>12</v>
      </c>
      <c r="F24" s="28" t="s">
        <v>431</v>
      </c>
      <c r="G24" s="37">
        <v>27.5</v>
      </c>
      <c r="H24" s="119">
        <f t="shared" si="8"/>
        <v>330</v>
      </c>
      <c r="I24" s="323">
        <v>3.5</v>
      </c>
      <c r="J24" s="214">
        <v>9.5</v>
      </c>
      <c r="K24" s="215">
        <v>2</v>
      </c>
      <c r="L24" s="216">
        <v>0.3</v>
      </c>
      <c r="M24" s="217">
        <f t="shared" si="9"/>
        <v>11.5</v>
      </c>
      <c r="N24" s="218">
        <v>0.25</v>
      </c>
      <c r="O24" s="219">
        <v>0.1</v>
      </c>
      <c r="P24" s="220">
        <v>0.1</v>
      </c>
      <c r="Q24" s="323">
        <f t="shared" si="0"/>
        <v>42</v>
      </c>
      <c r="R24" s="214">
        <f t="shared" si="1"/>
        <v>114</v>
      </c>
      <c r="S24" s="215">
        <f t="shared" si="2"/>
        <v>24</v>
      </c>
      <c r="T24" s="216">
        <f t="shared" si="3"/>
        <v>3.5999999999999996</v>
      </c>
      <c r="U24" s="221">
        <f t="shared" si="4"/>
        <v>138</v>
      </c>
      <c r="V24" s="218">
        <f t="shared" si="5"/>
        <v>3</v>
      </c>
      <c r="W24" s="219">
        <f t="shared" si="6"/>
        <v>1.2000000000000002</v>
      </c>
      <c r="X24" s="220">
        <f t="shared" si="7"/>
        <v>1.2000000000000002</v>
      </c>
      <c r="Y24" s="14"/>
    </row>
    <row r="25" spans="1:25" s="7" customFormat="1" ht="12" customHeight="1">
      <c r="A25" s="95"/>
      <c r="B25" s="87"/>
      <c r="C25" s="20" t="s">
        <v>427</v>
      </c>
      <c r="D25" s="20" t="s">
        <v>242</v>
      </c>
      <c r="E25" s="26">
        <v>12</v>
      </c>
      <c r="F25" s="28" t="s">
        <v>432</v>
      </c>
      <c r="G25" s="37">
        <v>22</v>
      </c>
      <c r="H25" s="119">
        <f t="shared" si="8"/>
        <v>264</v>
      </c>
      <c r="I25" s="323">
        <v>3.5</v>
      </c>
      <c r="J25" s="214">
        <v>7.03</v>
      </c>
      <c r="K25" s="215">
        <v>2</v>
      </c>
      <c r="L25" s="216">
        <v>0.3</v>
      </c>
      <c r="M25" s="217">
        <f t="shared" si="9"/>
        <v>9.0300000000000011</v>
      </c>
      <c r="N25" s="218">
        <v>0.25</v>
      </c>
      <c r="O25" s="219">
        <v>0.1</v>
      </c>
      <c r="P25" s="220">
        <v>0.1</v>
      </c>
      <c r="Q25" s="323">
        <f t="shared" si="0"/>
        <v>42</v>
      </c>
      <c r="R25" s="214">
        <f t="shared" si="1"/>
        <v>84.36</v>
      </c>
      <c r="S25" s="215">
        <f t="shared" si="2"/>
        <v>24</v>
      </c>
      <c r="T25" s="216">
        <f t="shared" si="3"/>
        <v>3.5999999999999996</v>
      </c>
      <c r="U25" s="221">
        <f t="shared" si="4"/>
        <v>108.36000000000001</v>
      </c>
      <c r="V25" s="218">
        <f t="shared" si="5"/>
        <v>3</v>
      </c>
      <c r="W25" s="219">
        <f t="shared" si="6"/>
        <v>1.2000000000000002</v>
      </c>
      <c r="X25" s="220">
        <f t="shared" si="7"/>
        <v>1.2000000000000002</v>
      </c>
      <c r="Y25" s="14"/>
    </row>
    <row r="26" spans="1:25" s="7" customFormat="1" ht="12" customHeight="1">
      <c r="A26" s="95">
        <v>40427</v>
      </c>
      <c r="B26" s="86">
        <v>631</v>
      </c>
      <c r="C26" s="20" t="s">
        <v>433</v>
      </c>
      <c r="D26" s="20" t="s">
        <v>42</v>
      </c>
      <c r="E26" s="26">
        <v>20</v>
      </c>
      <c r="F26" s="28" t="s">
        <v>434</v>
      </c>
      <c r="G26" s="37">
        <v>41</v>
      </c>
      <c r="H26" s="119">
        <f t="shared" si="8"/>
        <v>820</v>
      </c>
      <c r="I26" s="323">
        <v>3.5</v>
      </c>
      <c r="J26" s="214">
        <v>6</v>
      </c>
      <c r="K26" s="215">
        <v>1.8</v>
      </c>
      <c r="L26" s="216">
        <v>0.27</v>
      </c>
      <c r="M26" s="217">
        <f t="shared" si="9"/>
        <v>7.8</v>
      </c>
      <c r="N26" s="218">
        <v>0.33</v>
      </c>
      <c r="O26" s="219">
        <v>0.1</v>
      </c>
      <c r="P26" s="220">
        <v>0.1</v>
      </c>
      <c r="Q26" s="323">
        <f t="shared" si="0"/>
        <v>70</v>
      </c>
      <c r="R26" s="214">
        <f t="shared" si="1"/>
        <v>120</v>
      </c>
      <c r="S26" s="215">
        <f t="shared" si="2"/>
        <v>36</v>
      </c>
      <c r="T26" s="216">
        <f t="shared" si="3"/>
        <v>5.4</v>
      </c>
      <c r="U26" s="221">
        <f t="shared" si="4"/>
        <v>156</v>
      </c>
      <c r="V26" s="218">
        <f t="shared" si="5"/>
        <v>6.6000000000000005</v>
      </c>
      <c r="W26" s="219">
        <f t="shared" si="6"/>
        <v>2</v>
      </c>
      <c r="X26" s="220">
        <f t="shared" si="7"/>
        <v>2</v>
      </c>
      <c r="Y26" s="14"/>
    </row>
    <row r="27" spans="1:25" s="7" customFormat="1" ht="12" customHeight="1">
      <c r="A27" s="95"/>
      <c r="B27" s="86"/>
      <c r="C27" s="20" t="s">
        <v>433</v>
      </c>
      <c r="D27" s="20" t="s">
        <v>42</v>
      </c>
      <c r="E27" s="26">
        <v>23</v>
      </c>
      <c r="F27" s="28" t="s">
        <v>435</v>
      </c>
      <c r="G27" s="37">
        <v>37</v>
      </c>
      <c r="H27" s="119">
        <f t="shared" si="8"/>
        <v>851</v>
      </c>
      <c r="I27" s="323">
        <v>3.5</v>
      </c>
      <c r="J27" s="214">
        <v>3.26</v>
      </c>
      <c r="K27" s="215">
        <v>1.8</v>
      </c>
      <c r="L27" s="216">
        <v>0.27</v>
      </c>
      <c r="M27" s="217">
        <f t="shared" si="9"/>
        <v>5.0599999999999996</v>
      </c>
      <c r="N27" s="218">
        <v>0.33</v>
      </c>
      <c r="O27" s="219">
        <v>0.1</v>
      </c>
      <c r="P27" s="220">
        <v>0.1</v>
      </c>
      <c r="Q27" s="323">
        <f t="shared" si="0"/>
        <v>80.5</v>
      </c>
      <c r="R27" s="214">
        <f t="shared" si="1"/>
        <v>74.97999999999999</v>
      </c>
      <c r="S27" s="215">
        <f t="shared" si="2"/>
        <v>41.4</v>
      </c>
      <c r="T27" s="216">
        <f t="shared" si="3"/>
        <v>6.2100000000000009</v>
      </c>
      <c r="U27" s="221">
        <f t="shared" si="4"/>
        <v>116.38</v>
      </c>
      <c r="V27" s="218">
        <f t="shared" si="5"/>
        <v>7.5900000000000007</v>
      </c>
      <c r="W27" s="219">
        <f t="shared" si="6"/>
        <v>2.3000000000000003</v>
      </c>
      <c r="X27" s="220">
        <f t="shared" si="7"/>
        <v>2.3000000000000003</v>
      </c>
      <c r="Y27" s="14"/>
    </row>
    <row r="28" spans="1:25" s="7" customFormat="1" ht="12" customHeight="1">
      <c r="A28" s="95"/>
      <c r="B28" s="86"/>
      <c r="C28" s="20" t="s">
        <v>433</v>
      </c>
      <c r="D28" s="20" t="s">
        <v>42</v>
      </c>
      <c r="E28" s="26">
        <v>1</v>
      </c>
      <c r="F28" s="28" t="s">
        <v>436</v>
      </c>
      <c r="G28" s="119">
        <v>37</v>
      </c>
      <c r="H28" s="119">
        <f t="shared" si="8"/>
        <v>37</v>
      </c>
      <c r="I28" s="323">
        <v>3.5</v>
      </c>
      <c r="J28" s="214">
        <v>3.46</v>
      </c>
      <c r="K28" s="215">
        <v>1.8</v>
      </c>
      <c r="L28" s="216">
        <v>0.27</v>
      </c>
      <c r="M28" s="217">
        <f t="shared" si="9"/>
        <v>5.26</v>
      </c>
      <c r="N28" s="218">
        <v>0.33</v>
      </c>
      <c r="O28" s="219">
        <v>0.1</v>
      </c>
      <c r="P28" s="220">
        <v>0.1</v>
      </c>
      <c r="Q28" s="323">
        <f t="shared" si="0"/>
        <v>3.5</v>
      </c>
      <c r="R28" s="214">
        <f t="shared" si="1"/>
        <v>3.46</v>
      </c>
      <c r="S28" s="215">
        <f t="shared" si="2"/>
        <v>1.8</v>
      </c>
      <c r="T28" s="216">
        <f t="shared" si="3"/>
        <v>0.27</v>
      </c>
      <c r="U28" s="221">
        <f t="shared" si="4"/>
        <v>5.26</v>
      </c>
      <c r="V28" s="218">
        <f t="shared" si="5"/>
        <v>0.33</v>
      </c>
      <c r="W28" s="219">
        <f t="shared" si="6"/>
        <v>0.1</v>
      </c>
      <c r="X28" s="220">
        <f t="shared" si="7"/>
        <v>0.1</v>
      </c>
      <c r="Y28" s="14"/>
    </row>
    <row r="29" spans="1:25" s="7" customFormat="1" ht="12" customHeight="1">
      <c r="A29" s="95">
        <v>40424</v>
      </c>
      <c r="B29" s="86">
        <v>632</v>
      </c>
      <c r="C29" s="20" t="s">
        <v>437</v>
      </c>
      <c r="D29" s="20" t="s">
        <v>59</v>
      </c>
      <c r="E29" s="28">
        <v>100</v>
      </c>
      <c r="F29" s="28" t="s">
        <v>438</v>
      </c>
      <c r="G29" s="119">
        <v>49</v>
      </c>
      <c r="H29" s="119">
        <f t="shared" si="8"/>
        <v>4900</v>
      </c>
      <c r="I29" s="323">
        <v>6.5</v>
      </c>
      <c r="J29" s="214">
        <v>8.39</v>
      </c>
      <c r="K29" s="215">
        <v>0</v>
      </c>
      <c r="L29" s="216">
        <v>0</v>
      </c>
      <c r="M29" s="217">
        <f t="shared" si="9"/>
        <v>8.39</v>
      </c>
      <c r="N29" s="218">
        <v>0.5</v>
      </c>
      <c r="O29" s="219">
        <v>0.1</v>
      </c>
      <c r="P29" s="220">
        <v>0.2</v>
      </c>
      <c r="Q29" s="325">
        <f t="shared" si="0"/>
        <v>650</v>
      </c>
      <c r="R29" s="214">
        <f t="shared" si="1"/>
        <v>839</v>
      </c>
      <c r="S29" s="215">
        <f t="shared" si="2"/>
        <v>0</v>
      </c>
      <c r="T29" s="216">
        <f t="shared" si="3"/>
        <v>0</v>
      </c>
      <c r="U29" s="221">
        <f t="shared" si="4"/>
        <v>839</v>
      </c>
      <c r="V29" s="218">
        <f t="shared" si="5"/>
        <v>50</v>
      </c>
      <c r="W29" s="219">
        <f t="shared" si="6"/>
        <v>10</v>
      </c>
      <c r="X29" s="220">
        <f t="shared" si="7"/>
        <v>20</v>
      </c>
      <c r="Y29" s="14"/>
    </row>
    <row r="30" spans="1:25" s="7" customFormat="1" ht="12" customHeight="1">
      <c r="A30" s="95"/>
      <c r="B30" s="86"/>
      <c r="C30" s="20" t="s">
        <v>437</v>
      </c>
      <c r="D30" s="20" t="s">
        <v>59</v>
      </c>
      <c r="E30" s="28">
        <v>100</v>
      </c>
      <c r="F30" s="28" t="s">
        <v>439</v>
      </c>
      <c r="G30" s="119">
        <v>45</v>
      </c>
      <c r="H30" s="119">
        <f t="shared" si="8"/>
        <v>4500</v>
      </c>
      <c r="I30" s="323">
        <v>4</v>
      </c>
      <c r="J30" s="214">
        <v>18.39</v>
      </c>
      <c r="K30" s="215">
        <v>0</v>
      </c>
      <c r="L30" s="216">
        <v>0</v>
      </c>
      <c r="M30" s="217">
        <f t="shared" si="9"/>
        <v>18.39</v>
      </c>
      <c r="N30" s="218">
        <v>0.21</v>
      </c>
      <c r="O30" s="219">
        <v>0.1</v>
      </c>
      <c r="P30" s="220">
        <v>0.1</v>
      </c>
      <c r="Q30" s="325">
        <f t="shared" si="0"/>
        <v>400</v>
      </c>
      <c r="R30" s="222">
        <f t="shared" si="1"/>
        <v>1839</v>
      </c>
      <c r="S30" s="215">
        <f t="shared" si="2"/>
        <v>0</v>
      </c>
      <c r="T30" s="216">
        <f t="shared" si="3"/>
        <v>0</v>
      </c>
      <c r="U30" s="221">
        <f t="shared" si="4"/>
        <v>1839</v>
      </c>
      <c r="V30" s="218">
        <f t="shared" si="5"/>
        <v>21</v>
      </c>
      <c r="W30" s="219">
        <f t="shared" si="6"/>
        <v>10</v>
      </c>
      <c r="X30" s="220">
        <f t="shared" si="7"/>
        <v>10</v>
      </c>
      <c r="Y30" s="14"/>
    </row>
    <row r="31" spans="1:25" s="7" customFormat="1" ht="12" customHeight="1">
      <c r="A31" s="95">
        <v>40427</v>
      </c>
      <c r="B31" s="86">
        <v>633</v>
      </c>
      <c r="C31" s="20" t="s">
        <v>440</v>
      </c>
      <c r="D31" s="20" t="s">
        <v>441</v>
      </c>
      <c r="E31" s="28">
        <v>16</v>
      </c>
      <c r="F31" s="28" t="s">
        <v>442</v>
      </c>
      <c r="G31" s="119">
        <v>38</v>
      </c>
      <c r="H31" s="119">
        <f t="shared" si="8"/>
        <v>608</v>
      </c>
      <c r="I31" s="323">
        <v>3.5</v>
      </c>
      <c r="J31" s="214">
        <v>-1.25</v>
      </c>
      <c r="K31" s="215">
        <v>6.4</v>
      </c>
      <c r="L31" s="216">
        <v>0.96</v>
      </c>
      <c r="M31" s="217">
        <f t="shared" si="9"/>
        <v>5.15</v>
      </c>
      <c r="N31" s="218">
        <v>0.33</v>
      </c>
      <c r="O31" s="219">
        <v>0.1</v>
      </c>
      <c r="P31" s="220">
        <v>0.1</v>
      </c>
      <c r="Q31" s="323">
        <f t="shared" si="0"/>
        <v>56</v>
      </c>
      <c r="R31" s="214">
        <f t="shared" si="1"/>
        <v>-20</v>
      </c>
      <c r="S31" s="215">
        <f t="shared" si="2"/>
        <v>102.4</v>
      </c>
      <c r="T31" s="216">
        <f t="shared" si="3"/>
        <v>15.36</v>
      </c>
      <c r="U31" s="221">
        <f t="shared" si="4"/>
        <v>82.4</v>
      </c>
      <c r="V31" s="218">
        <f t="shared" si="5"/>
        <v>5.28</v>
      </c>
      <c r="W31" s="219">
        <f t="shared" si="6"/>
        <v>1.6</v>
      </c>
      <c r="X31" s="220">
        <f t="shared" si="7"/>
        <v>1.6</v>
      </c>
      <c r="Y31" s="14"/>
    </row>
    <row r="32" spans="1:25" s="7" customFormat="1" ht="12" customHeight="1">
      <c r="A32" s="95"/>
      <c r="B32" s="86"/>
      <c r="C32" s="20" t="s">
        <v>440</v>
      </c>
      <c r="D32" s="20" t="s">
        <v>441</v>
      </c>
      <c r="E32" s="28">
        <v>11</v>
      </c>
      <c r="F32" s="28" t="s">
        <v>443</v>
      </c>
      <c r="G32" s="119">
        <v>35</v>
      </c>
      <c r="H32" s="119">
        <f t="shared" si="8"/>
        <v>385</v>
      </c>
      <c r="I32" s="323">
        <v>3.5</v>
      </c>
      <c r="J32" s="214">
        <v>-1.25</v>
      </c>
      <c r="K32" s="215">
        <v>6.4</v>
      </c>
      <c r="L32" s="216">
        <v>0.96</v>
      </c>
      <c r="M32" s="217">
        <f t="shared" si="9"/>
        <v>5.15</v>
      </c>
      <c r="N32" s="218">
        <v>0.33</v>
      </c>
      <c r="O32" s="219">
        <v>0.1</v>
      </c>
      <c r="P32" s="220">
        <v>0.1</v>
      </c>
      <c r="Q32" s="323">
        <f t="shared" si="0"/>
        <v>38.5</v>
      </c>
      <c r="R32" s="214">
        <f t="shared" si="1"/>
        <v>-13.75</v>
      </c>
      <c r="S32" s="215">
        <f t="shared" si="2"/>
        <v>70.400000000000006</v>
      </c>
      <c r="T32" s="216">
        <f t="shared" si="3"/>
        <v>10.559999999999999</v>
      </c>
      <c r="U32" s="221">
        <f t="shared" si="4"/>
        <v>56.650000000000006</v>
      </c>
      <c r="V32" s="218">
        <f t="shared" si="5"/>
        <v>3.6300000000000003</v>
      </c>
      <c r="W32" s="219">
        <f t="shared" si="6"/>
        <v>1.1000000000000001</v>
      </c>
      <c r="X32" s="220">
        <f t="shared" si="7"/>
        <v>1.1000000000000001</v>
      </c>
      <c r="Y32" s="14"/>
    </row>
    <row r="33" spans="1:25" s="7" customFormat="1" ht="12" customHeight="1">
      <c r="A33" s="95">
        <v>40429</v>
      </c>
      <c r="B33" s="86">
        <v>634</v>
      </c>
      <c r="C33" s="20" t="s">
        <v>444</v>
      </c>
      <c r="D33" s="20" t="s">
        <v>425</v>
      </c>
      <c r="E33" s="28">
        <v>8</v>
      </c>
      <c r="F33" s="28" t="s">
        <v>445</v>
      </c>
      <c r="G33" s="119">
        <v>36</v>
      </c>
      <c r="H33" s="119">
        <f t="shared" si="8"/>
        <v>288</v>
      </c>
      <c r="I33" s="323">
        <v>3.5</v>
      </c>
      <c r="J33" s="214">
        <v>3.74</v>
      </c>
      <c r="K33" s="215">
        <v>1.3</v>
      </c>
      <c r="L33" s="216">
        <v>0.2</v>
      </c>
      <c r="M33" s="217">
        <f t="shared" si="9"/>
        <v>5.04</v>
      </c>
      <c r="N33" s="218">
        <v>0.33</v>
      </c>
      <c r="O33" s="219">
        <v>0.1</v>
      </c>
      <c r="P33" s="220">
        <v>0.1</v>
      </c>
      <c r="Q33" s="323">
        <f t="shared" si="0"/>
        <v>28</v>
      </c>
      <c r="R33" s="214">
        <f t="shared" si="1"/>
        <v>29.92</v>
      </c>
      <c r="S33" s="215">
        <f t="shared" si="2"/>
        <v>10.4</v>
      </c>
      <c r="T33" s="216">
        <f t="shared" si="3"/>
        <v>1.6</v>
      </c>
      <c r="U33" s="221">
        <f t="shared" si="4"/>
        <v>40.32</v>
      </c>
      <c r="V33" s="218">
        <f t="shared" si="5"/>
        <v>2.64</v>
      </c>
      <c r="W33" s="219">
        <f t="shared" si="6"/>
        <v>0.8</v>
      </c>
      <c r="X33" s="220">
        <f t="shared" si="7"/>
        <v>0.8</v>
      </c>
      <c r="Y33" s="14"/>
    </row>
    <row r="34" spans="1:25" s="7" customFormat="1" ht="12" customHeight="1">
      <c r="A34" s="95"/>
      <c r="B34" s="86"/>
      <c r="C34" s="20" t="s">
        <v>444</v>
      </c>
      <c r="D34" s="20" t="s">
        <v>425</v>
      </c>
      <c r="E34" s="28">
        <v>7</v>
      </c>
      <c r="F34" s="28" t="s">
        <v>446</v>
      </c>
      <c r="G34" s="119">
        <v>32</v>
      </c>
      <c r="H34" s="119">
        <f t="shared" si="8"/>
        <v>224</v>
      </c>
      <c r="I34" s="323">
        <v>3.5</v>
      </c>
      <c r="J34" s="214">
        <v>5.03</v>
      </c>
      <c r="K34" s="215">
        <v>1.3</v>
      </c>
      <c r="L34" s="216">
        <v>0.2</v>
      </c>
      <c r="M34" s="217">
        <f t="shared" si="9"/>
        <v>6.33</v>
      </c>
      <c r="N34" s="218">
        <v>0.33</v>
      </c>
      <c r="O34" s="219">
        <v>0.1</v>
      </c>
      <c r="P34" s="220">
        <v>0.1</v>
      </c>
      <c r="Q34" s="323">
        <f t="shared" si="0"/>
        <v>24.5</v>
      </c>
      <c r="R34" s="214">
        <f t="shared" si="1"/>
        <v>35.21</v>
      </c>
      <c r="S34" s="215">
        <f t="shared" si="2"/>
        <v>9.1</v>
      </c>
      <c r="T34" s="216">
        <f t="shared" si="3"/>
        <v>1.4000000000000001</v>
      </c>
      <c r="U34" s="221">
        <f t="shared" si="4"/>
        <v>44.31</v>
      </c>
      <c r="V34" s="218">
        <f t="shared" si="5"/>
        <v>2.31</v>
      </c>
      <c r="W34" s="219">
        <f t="shared" si="6"/>
        <v>0.70000000000000007</v>
      </c>
      <c r="X34" s="220">
        <f t="shared" si="7"/>
        <v>0.70000000000000007</v>
      </c>
      <c r="Y34" s="14"/>
    </row>
    <row r="35" spans="1:25" s="7" customFormat="1" ht="12" customHeight="1">
      <c r="A35" s="95">
        <v>40429</v>
      </c>
      <c r="B35" s="86">
        <v>635</v>
      </c>
      <c r="C35" s="20" t="s">
        <v>308</v>
      </c>
      <c r="D35" s="20" t="s">
        <v>309</v>
      </c>
      <c r="E35" s="28">
        <v>10</v>
      </c>
      <c r="F35" s="28" t="s">
        <v>447</v>
      </c>
      <c r="G35" s="119">
        <v>71</v>
      </c>
      <c r="H35" s="119">
        <f t="shared" si="8"/>
        <v>710</v>
      </c>
      <c r="I35" s="323">
        <v>3.5</v>
      </c>
      <c r="J35" s="214">
        <v>10.55</v>
      </c>
      <c r="K35" s="215">
        <v>1.7</v>
      </c>
      <c r="L35" s="216">
        <v>0.26</v>
      </c>
      <c r="M35" s="221">
        <f t="shared" si="9"/>
        <v>12.25</v>
      </c>
      <c r="N35" s="218">
        <v>0</v>
      </c>
      <c r="O35" s="219">
        <v>0.1</v>
      </c>
      <c r="P35" s="220">
        <v>0.1</v>
      </c>
      <c r="Q35" s="323">
        <f t="shared" si="0"/>
        <v>35</v>
      </c>
      <c r="R35" s="214">
        <f t="shared" si="1"/>
        <v>105.5</v>
      </c>
      <c r="S35" s="215">
        <f t="shared" si="2"/>
        <v>17</v>
      </c>
      <c r="T35" s="216">
        <f t="shared" si="3"/>
        <v>2.6</v>
      </c>
      <c r="U35" s="221">
        <f t="shared" si="4"/>
        <v>122.5</v>
      </c>
      <c r="V35" s="218">
        <f t="shared" si="5"/>
        <v>0</v>
      </c>
      <c r="W35" s="219">
        <f t="shared" si="6"/>
        <v>1</v>
      </c>
      <c r="X35" s="220">
        <f t="shared" si="7"/>
        <v>1</v>
      </c>
      <c r="Y35" s="14"/>
    </row>
    <row r="36" spans="1:25" s="7" customFormat="1" ht="12" customHeight="1">
      <c r="A36" s="95"/>
      <c r="B36" s="86"/>
      <c r="C36" s="20" t="s">
        <v>308</v>
      </c>
      <c r="D36" s="20" t="s">
        <v>309</v>
      </c>
      <c r="E36" s="28">
        <v>10</v>
      </c>
      <c r="F36" s="28" t="s">
        <v>448</v>
      </c>
      <c r="G36" s="119">
        <v>75</v>
      </c>
      <c r="H36" s="119">
        <f t="shared" si="8"/>
        <v>750</v>
      </c>
      <c r="I36" s="323">
        <v>5.5</v>
      </c>
      <c r="J36" s="222">
        <v>23</v>
      </c>
      <c r="K36" s="215">
        <v>2</v>
      </c>
      <c r="L36" s="216">
        <v>0.3</v>
      </c>
      <c r="M36" s="221">
        <f t="shared" si="9"/>
        <v>25</v>
      </c>
      <c r="N36" s="218">
        <v>0.63</v>
      </c>
      <c r="O36" s="219">
        <v>0.1</v>
      </c>
      <c r="P36" s="220">
        <v>0.1</v>
      </c>
      <c r="Q36" s="323">
        <f t="shared" si="0"/>
        <v>55</v>
      </c>
      <c r="R36" s="214">
        <f t="shared" si="1"/>
        <v>230</v>
      </c>
      <c r="S36" s="215">
        <f t="shared" si="2"/>
        <v>20</v>
      </c>
      <c r="T36" s="216">
        <f t="shared" si="3"/>
        <v>3</v>
      </c>
      <c r="U36" s="221">
        <f t="shared" si="4"/>
        <v>250</v>
      </c>
      <c r="V36" s="218">
        <f t="shared" si="5"/>
        <v>6.3</v>
      </c>
      <c r="W36" s="219">
        <f t="shared" si="6"/>
        <v>1</v>
      </c>
      <c r="X36" s="220">
        <f t="shared" si="7"/>
        <v>1</v>
      </c>
      <c r="Y36" s="14"/>
    </row>
    <row r="37" spans="1:25" s="7" customFormat="1" ht="12" customHeight="1">
      <c r="A37" s="95"/>
      <c r="B37" s="86"/>
      <c r="C37" s="20" t="s">
        <v>308</v>
      </c>
      <c r="D37" s="20" t="s">
        <v>309</v>
      </c>
      <c r="E37" s="28">
        <f>10+1</f>
        <v>11</v>
      </c>
      <c r="F37" s="28" t="s">
        <v>449</v>
      </c>
      <c r="G37" s="119">
        <v>58.5</v>
      </c>
      <c r="H37" s="119">
        <f t="shared" si="8"/>
        <v>643.5</v>
      </c>
      <c r="I37" s="323">
        <v>4.5</v>
      </c>
      <c r="J37" s="214">
        <v>6.81</v>
      </c>
      <c r="K37" s="215">
        <v>0</v>
      </c>
      <c r="L37" s="216">
        <v>0</v>
      </c>
      <c r="M37" s="221">
        <f t="shared" si="9"/>
        <v>6.81</v>
      </c>
      <c r="N37" s="218">
        <v>0.57999999999999996</v>
      </c>
      <c r="O37" s="219">
        <v>0.2</v>
      </c>
      <c r="P37" s="220">
        <v>0.2</v>
      </c>
      <c r="Q37" s="323">
        <f t="shared" si="0"/>
        <v>49.5</v>
      </c>
      <c r="R37" s="214">
        <f t="shared" si="1"/>
        <v>74.91</v>
      </c>
      <c r="S37" s="215">
        <f t="shared" si="2"/>
        <v>0</v>
      </c>
      <c r="T37" s="216">
        <f t="shared" si="3"/>
        <v>0</v>
      </c>
      <c r="U37" s="221">
        <f t="shared" si="4"/>
        <v>74.91</v>
      </c>
      <c r="V37" s="218">
        <f t="shared" si="5"/>
        <v>6.38</v>
      </c>
      <c r="W37" s="219">
        <f t="shared" si="6"/>
        <v>2.2000000000000002</v>
      </c>
      <c r="X37" s="220">
        <f t="shared" si="7"/>
        <v>2.2000000000000002</v>
      </c>
      <c r="Y37" s="14"/>
    </row>
    <row r="38" spans="1:25" s="7" customFormat="1" ht="12" customHeight="1">
      <c r="A38" s="95">
        <v>40429</v>
      </c>
      <c r="B38" s="86">
        <v>636</v>
      </c>
      <c r="C38" s="20" t="s">
        <v>450</v>
      </c>
      <c r="D38" s="20" t="s">
        <v>425</v>
      </c>
      <c r="E38" s="28">
        <v>9</v>
      </c>
      <c r="F38" s="28" t="s">
        <v>451</v>
      </c>
      <c r="G38" s="119">
        <f>38+1.5</f>
        <v>39.5</v>
      </c>
      <c r="H38" s="119">
        <f t="shared" si="8"/>
        <v>355.5</v>
      </c>
      <c r="I38" s="323">
        <v>3.5</v>
      </c>
      <c r="J38" s="214">
        <v>3.56</v>
      </c>
      <c r="K38" s="215">
        <v>2</v>
      </c>
      <c r="L38" s="216">
        <v>0.3</v>
      </c>
      <c r="M38" s="221">
        <f t="shared" si="9"/>
        <v>5.5600000000000005</v>
      </c>
      <c r="N38" s="218">
        <v>0.33</v>
      </c>
      <c r="O38" s="219">
        <v>0.1</v>
      </c>
      <c r="P38" s="220">
        <v>0.1</v>
      </c>
      <c r="Q38" s="323">
        <f t="shared" si="0"/>
        <v>31.5</v>
      </c>
      <c r="R38" s="214">
        <f t="shared" si="1"/>
        <v>32.04</v>
      </c>
      <c r="S38" s="215">
        <f t="shared" si="2"/>
        <v>18</v>
      </c>
      <c r="T38" s="216">
        <f t="shared" si="3"/>
        <v>2.6999999999999997</v>
      </c>
      <c r="U38" s="221">
        <f t="shared" si="4"/>
        <v>50.040000000000006</v>
      </c>
      <c r="V38" s="218">
        <f t="shared" si="5"/>
        <v>2.97</v>
      </c>
      <c r="W38" s="219">
        <f t="shared" si="6"/>
        <v>0.9</v>
      </c>
      <c r="X38" s="220">
        <f t="shared" si="7"/>
        <v>0.9</v>
      </c>
      <c r="Y38" s="14"/>
    </row>
    <row r="39" spans="1:25" s="7" customFormat="1" ht="12" customHeight="1">
      <c r="A39" s="95"/>
      <c r="B39" s="86"/>
      <c r="C39" s="20" t="s">
        <v>450</v>
      </c>
      <c r="D39" s="20" t="s">
        <v>425</v>
      </c>
      <c r="E39" s="28">
        <v>36</v>
      </c>
      <c r="F39" s="28" t="s">
        <v>452</v>
      </c>
      <c r="G39" s="119">
        <f>34+1.5</f>
        <v>35.5</v>
      </c>
      <c r="H39" s="119">
        <f t="shared" si="8"/>
        <v>1278</v>
      </c>
      <c r="I39" s="323">
        <v>3.5</v>
      </c>
      <c r="J39" s="214">
        <v>6.72</v>
      </c>
      <c r="K39" s="215">
        <v>2</v>
      </c>
      <c r="L39" s="216">
        <v>0.3</v>
      </c>
      <c r="M39" s="221">
        <f t="shared" si="9"/>
        <v>8.7199999999999989</v>
      </c>
      <c r="N39" s="218">
        <v>0.33</v>
      </c>
      <c r="O39" s="219">
        <v>0.1</v>
      </c>
      <c r="P39" s="220">
        <v>0.1</v>
      </c>
      <c r="Q39" s="323">
        <f t="shared" si="0"/>
        <v>126</v>
      </c>
      <c r="R39" s="214">
        <f t="shared" si="1"/>
        <v>241.92</v>
      </c>
      <c r="S39" s="215">
        <f t="shared" si="2"/>
        <v>72</v>
      </c>
      <c r="T39" s="216">
        <f t="shared" si="3"/>
        <v>10.799999999999999</v>
      </c>
      <c r="U39" s="221">
        <f t="shared" si="4"/>
        <v>313.91999999999996</v>
      </c>
      <c r="V39" s="218">
        <f t="shared" si="5"/>
        <v>11.88</v>
      </c>
      <c r="W39" s="219">
        <f t="shared" si="6"/>
        <v>3.6</v>
      </c>
      <c r="X39" s="220">
        <f t="shared" si="7"/>
        <v>3.6</v>
      </c>
      <c r="Y39" s="14"/>
    </row>
    <row r="40" spans="1:25" s="7" customFormat="1" ht="12" customHeight="1">
      <c r="A40" s="95">
        <v>40429</v>
      </c>
      <c r="B40" s="86">
        <v>637</v>
      </c>
      <c r="C40" s="20" t="s">
        <v>453</v>
      </c>
      <c r="D40" s="20" t="s">
        <v>42</v>
      </c>
      <c r="E40" s="28">
        <v>24</v>
      </c>
      <c r="F40" s="28" t="s">
        <v>454</v>
      </c>
      <c r="G40" s="119">
        <v>95.7</v>
      </c>
      <c r="H40" s="119">
        <f t="shared" si="8"/>
        <v>2296.8000000000002</v>
      </c>
      <c r="I40" s="323">
        <v>4.5</v>
      </c>
      <c r="J40" s="214">
        <v>15.92</v>
      </c>
      <c r="K40" s="215">
        <v>0</v>
      </c>
      <c r="L40" s="216">
        <v>0</v>
      </c>
      <c r="M40" s="221">
        <f t="shared" si="9"/>
        <v>15.92</v>
      </c>
      <c r="N40" s="218">
        <v>0.57999999999999996</v>
      </c>
      <c r="O40" s="219">
        <v>0.2</v>
      </c>
      <c r="P40" s="220">
        <v>0.2</v>
      </c>
      <c r="Q40" s="325">
        <f t="shared" ref="Q40:Q71" si="10">E40*I40</f>
        <v>108</v>
      </c>
      <c r="R40" s="214">
        <f t="shared" ref="R40:R71" si="11">E40*J40</f>
        <v>382.08</v>
      </c>
      <c r="S40" s="215">
        <f t="shared" ref="S40:S71" si="12">E40*K40</f>
        <v>0</v>
      </c>
      <c r="T40" s="216">
        <f t="shared" ref="T40:T71" si="13">E40*L40</f>
        <v>0</v>
      </c>
      <c r="U40" s="221">
        <f t="shared" ref="U40:U71" si="14">E40*M40</f>
        <v>382.08</v>
      </c>
      <c r="V40" s="218">
        <f t="shared" ref="V40:V71" si="15">N40*E40</f>
        <v>13.919999999999998</v>
      </c>
      <c r="W40" s="219">
        <f t="shared" ref="W40:W71" si="16">O40*E40</f>
        <v>4.8000000000000007</v>
      </c>
      <c r="X40" s="220">
        <f t="shared" ref="X40:X71" si="17">P40*E40</f>
        <v>4.8000000000000007</v>
      </c>
      <c r="Y40" s="14"/>
    </row>
    <row r="41" spans="1:25" s="7" customFormat="1" ht="12" customHeight="1">
      <c r="A41" s="95"/>
      <c r="B41" s="86"/>
      <c r="C41" s="20" t="s">
        <v>453</v>
      </c>
      <c r="D41" s="20" t="s">
        <v>42</v>
      </c>
      <c r="E41" s="28">
        <v>14</v>
      </c>
      <c r="F41" s="28" t="s">
        <v>455</v>
      </c>
      <c r="G41" s="119">
        <v>122.5</v>
      </c>
      <c r="H41" s="119">
        <f t="shared" si="8"/>
        <v>1715</v>
      </c>
      <c r="I41" s="323">
        <v>5</v>
      </c>
      <c r="J41" s="214">
        <v>26.61</v>
      </c>
      <c r="K41" s="215">
        <v>1.8</v>
      </c>
      <c r="L41" s="216">
        <v>0.27</v>
      </c>
      <c r="M41" s="221">
        <f t="shared" si="9"/>
        <v>28.41</v>
      </c>
      <c r="N41" s="218">
        <v>0.57999999999999996</v>
      </c>
      <c r="O41" s="219">
        <v>0.2</v>
      </c>
      <c r="P41" s="220">
        <v>0.2</v>
      </c>
      <c r="Q41" s="323">
        <f t="shared" si="10"/>
        <v>70</v>
      </c>
      <c r="R41" s="214">
        <f t="shared" si="11"/>
        <v>372.53999999999996</v>
      </c>
      <c r="S41" s="215">
        <f t="shared" si="12"/>
        <v>25.2</v>
      </c>
      <c r="T41" s="216">
        <f t="shared" si="13"/>
        <v>3.7800000000000002</v>
      </c>
      <c r="U41" s="221">
        <f t="shared" si="14"/>
        <v>397.74</v>
      </c>
      <c r="V41" s="218">
        <f t="shared" si="15"/>
        <v>8.1199999999999992</v>
      </c>
      <c r="W41" s="219">
        <f t="shared" si="16"/>
        <v>2.8000000000000003</v>
      </c>
      <c r="X41" s="220">
        <f t="shared" si="17"/>
        <v>2.8000000000000003</v>
      </c>
      <c r="Y41" s="14"/>
    </row>
    <row r="42" spans="1:25" s="7" customFormat="1" ht="12" customHeight="1">
      <c r="A42" s="95"/>
      <c r="B42" s="86"/>
      <c r="C42" s="20" t="s">
        <v>453</v>
      </c>
      <c r="D42" s="20" t="s">
        <v>42</v>
      </c>
      <c r="E42" s="28">
        <v>14</v>
      </c>
      <c r="F42" s="28" t="s">
        <v>456</v>
      </c>
      <c r="G42" s="119">
        <v>83</v>
      </c>
      <c r="H42" s="119">
        <f t="shared" si="8"/>
        <v>1162</v>
      </c>
      <c r="I42" s="323">
        <v>4.5</v>
      </c>
      <c r="J42" s="214">
        <v>15.92</v>
      </c>
      <c r="K42" s="215">
        <v>0</v>
      </c>
      <c r="L42" s="216">
        <v>0</v>
      </c>
      <c r="M42" s="221">
        <f t="shared" si="9"/>
        <v>15.92</v>
      </c>
      <c r="N42" s="218">
        <v>0.57999999999999996</v>
      </c>
      <c r="O42" s="219">
        <v>0.2</v>
      </c>
      <c r="P42" s="220">
        <v>0.2</v>
      </c>
      <c r="Q42" s="323">
        <f t="shared" si="10"/>
        <v>63</v>
      </c>
      <c r="R42" s="214">
        <f t="shared" si="11"/>
        <v>222.88</v>
      </c>
      <c r="S42" s="215">
        <f t="shared" si="12"/>
        <v>0</v>
      </c>
      <c r="T42" s="216">
        <f t="shared" si="13"/>
        <v>0</v>
      </c>
      <c r="U42" s="221">
        <f t="shared" si="14"/>
        <v>222.88</v>
      </c>
      <c r="V42" s="218">
        <f t="shared" si="15"/>
        <v>8.1199999999999992</v>
      </c>
      <c r="W42" s="219">
        <f t="shared" si="16"/>
        <v>2.8000000000000003</v>
      </c>
      <c r="X42" s="220">
        <f t="shared" si="17"/>
        <v>2.8000000000000003</v>
      </c>
      <c r="Y42" s="14"/>
    </row>
    <row r="43" spans="1:25" s="7" customFormat="1" ht="12" customHeight="1">
      <c r="A43" s="95"/>
      <c r="B43" s="86"/>
      <c r="C43" s="20" t="s">
        <v>453</v>
      </c>
      <c r="D43" s="20" t="s">
        <v>42</v>
      </c>
      <c r="E43" s="28">
        <v>14</v>
      </c>
      <c r="F43" s="28" t="s">
        <v>457</v>
      </c>
      <c r="G43" s="119">
        <v>13.85</v>
      </c>
      <c r="H43" s="119">
        <f t="shared" si="8"/>
        <v>193.9</v>
      </c>
      <c r="I43" s="323">
        <v>0</v>
      </c>
      <c r="J43" s="214">
        <v>0</v>
      </c>
      <c r="K43" s="215">
        <v>0</v>
      </c>
      <c r="L43" s="216">
        <v>0</v>
      </c>
      <c r="M43" s="221">
        <f t="shared" si="9"/>
        <v>0</v>
      </c>
      <c r="N43" s="218">
        <v>0</v>
      </c>
      <c r="O43" s="219">
        <v>0</v>
      </c>
      <c r="P43" s="220">
        <v>0</v>
      </c>
      <c r="Q43" s="323">
        <f t="shared" si="10"/>
        <v>0</v>
      </c>
      <c r="R43" s="214">
        <f t="shared" si="11"/>
        <v>0</v>
      </c>
      <c r="S43" s="215">
        <f t="shared" si="12"/>
        <v>0</v>
      </c>
      <c r="T43" s="216">
        <f t="shared" si="13"/>
        <v>0</v>
      </c>
      <c r="U43" s="221">
        <f t="shared" si="14"/>
        <v>0</v>
      </c>
      <c r="V43" s="218">
        <f t="shared" si="15"/>
        <v>0</v>
      </c>
      <c r="W43" s="219">
        <f t="shared" si="16"/>
        <v>0</v>
      </c>
      <c r="X43" s="220">
        <f t="shared" si="17"/>
        <v>0</v>
      </c>
      <c r="Y43" s="14"/>
    </row>
    <row r="44" spans="1:25" s="7" customFormat="1" ht="12" customHeight="1">
      <c r="A44" s="95">
        <v>40429</v>
      </c>
      <c r="B44" s="86">
        <v>638</v>
      </c>
      <c r="C44" s="20" t="s">
        <v>440</v>
      </c>
      <c r="D44" s="20" t="s">
        <v>441</v>
      </c>
      <c r="E44" s="28">
        <f>25-3</f>
        <v>22</v>
      </c>
      <c r="F44" s="28" t="s">
        <v>458</v>
      </c>
      <c r="G44" s="119">
        <v>30</v>
      </c>
      <c r="H44" s="119">
        <f t="shared" si="8"/>
        <v>660</v>
      </c>
      <c r="I44" s="323">
        <v>3.5</v>
      </c>
      <c r="J44" s="214">
        <v>0.67</v>
      </c>
      <c r="K44" s="215">
        <v>2</v>
      </c>
      <c r="L44" s="216">
        <v>0.3</v>
      </c>
      <c r="M44" s="221">
        <f t="shared" si="9"/>
        <v>2.67</v>
      </c>
      <c r="N44" s="218">
        <v>0.33</v>
      </c>
      <c r="O44" s="219">
        <v>0.1</v>
      </c>
      <c r="P44" s="220">
        <v>0.1</v>
      </c>
      <c r="Q44" s="323">
        <f t="shared" si="10"/>
        <v>77</v>
      </c>
      <c r="R44" s="214">
        <f t="shared" si="11"/>
        <v>14.74</v>
      </c>
      <c r="S44" s="215">
        <f t="shared" si="12"/>
        <v>44</v>
      </c>
      <c r="T44" s="216">
        <f t="shared" si="13"/>
        <v>6.6</v>
      </c>
      <c r="U44" s="221">
        <f t="shared" si="14"/>
        <v>58.739999999999995</v>
      </c>
      <c r="V44" s="218">
        <f t="shared" si="15"/>
        <v>7.2600000000000007</v>
      </c>
      <c r="W44" s="219">
        <f t="shared" si="16"/>
        <v>2.2000000000000002</v>
      </c>
      <c r="X44" s="220">
        <f t="shared" si="17"/>
        <v>2.2000000000000002</v>
      </c>
      <c r="Y44" s="14"/>
    </row>
    <row r="45" spans="1:25" s="7" customFormat="1" ht="12" customHeight="1">
      <c r="A45" s="95"/>
      <c r="B45" s="86"/>
      <c r="C45" s="20" t="s">
        <v>440</v>
      </c>
      <c r="D45" s="20" t="s">
        <v>441</v>
      </c>
      <c r="E45" s="28">
        <f>28-2</f>
        <v>26</v>
      </c>
      <c r="F45" s="28" t="s">
        <v>459</v>
      </c>
      <c r="G45" s="119">
        <v>33</v>
      </c>
      <c r="H45" s="119">
        <f t="shared" si="8"/>
        <v>858</v>
      </c>
      <c r="I45" s="323">
        <v>3.5</v>
      </c>
      <c r="J45" s="214">
        <v>0.97</v>
      </c>
      <c r="K45" s="215">
        <v>2</v>
      </c>
      <c r="L45" s="216">
        <v>0.3</v>
      </c>
      <c r="M45" s="221">
        <f t="shared" si="9"/>
        <v>2.9699999999999998</v>
      </c>
      <c r="N45" s="218">
        <v>0.33</v>
      </c>
      <c r="O45" s="219">
        <v>0.1</v>
      </c>
      <c r="P45" s="220">
        <v>0.1</v>
      </c>
      <c r="Q45" s="323">
        <f t="shared" si="10"/>
        <v>91</v>
      </c>
      <c r="R45" s="214">
        <f t="shared" si="11"/>
        <v>25.22</v>
      </c>
      <c r="S45" s="215">
        <f t="shared" si="12"/>
        <v>52</v>
      </c>
      <c r="T45" s="216">
        <f t="shared" si="13"/>
        <v>7.8</v>
      </c>
      <c r="U45" s="221">
        <f t="shared" si="14"/>
        <v>77.22</v>
      </c>
      <c r="V45" s="218">
        <f>N45*E45</f>
        <v>8.58</v>
      </c>
      <c r="W45" s="219">
        <f>O45*E45</f>
        <v>2.6</v>
      </c>
      <c r="X45" s="220">
        <f>P45*E45</f>
        <v>2.6</v>
      </c>
      <c r="Y45" s="14"/>
    </row>
    <row r="46" spans="1:25" s="7" customFormat="1" ht="12" customHeight="1">
      <c r="A46" s="95"/>
      <c r="B46" s="86"/>
      <c r="C46" s="20" t="s">
        <v>440</v>
      </c>
      <c r="D46" s="20" t="s">
        <v>441</v>
      </c>
      <c r="E46" s="28">
        <v>3</v>
      </c>
      <c r="F46" s="28" t="s">
        <v>460</v>
      </c>
      <c r="G46" s="119">
        <v>33</v>
      </c>
      <c r="H46" s="119">
        <f t="shared" si="8"/>
        <v>99</v>
      </c>
      <c r="I46" s="323">
        <v>3.5</v>
      </c>
      <c r="J46" s="214">
        <v>0.67</v>
      </c>
      <c r="K46" s="215">
        <v>2</v>
      </c>
      <c r="L46" s="216">
        <v>0.3</v>
      </c>
      <c r="M46" s="221">
        <f t="shared" si="9"/>
        <v>2.67</v>
      </c>
      <c r="N46" s="218">
        <v>0.33</v>
      </c>
      <c r="O46" s="219">
        <v>0.1</v>
      </c>
      <c r="P46" s="220">
        <v>0.1</v>
      </c>
      <c r="Q46" s="323">
        <f t="shared" si="10"/>
        <v>10.5</v>
      </c>
      <c r="R46" s="214">
        <f t="shared" si="11"/>
        <v>2.0100000000000002</v>
      </c>
      <c r="S46" s="215">
        <f t="shared" si="12"/>
        <v>6</v>
      </c>
      <c r="T46" s="216">
        <f t="shared" si="13"/>
        <v>0.89999999999999991</v>
      </c>
      <c r="U46" s="221">
        <f t="shared" si="14"/>
        <v>8.01</v>
      </c>
      <c r="V46" s="218">
        <f t="shared" si="15"/>
        <v>0.99</v>
      </c>
      <c r="W46" s="219">
        <f t="shared" si="16"/>
        <v>0.30000000000000004</v>
      </c>
      <c r="X46" s="220">
        <f t="shared" si="17"/>
        <v>0.30000000000000004</v>
      </c>
      <c r="Y46" s="14"/>
    </row>
    <row r="47" spans="1:25" s="7" customFormat="1" ht="12" customHeight="1">
      <c r="A47" s="95"/>
      <c r="B47" s="86"/>
      <c r="C47" s="20" t="s">
        <v>440</v>
      </c>
      <c r="D47" s="20" t="s">
        <v>441</v>
      </c>
      <c r="E47" s="28">
        <v>2</v>
      </c>
      <c r="F47" s="28" t="s">
        <v>461</v>
      </c>
      <c r="G47" s="119">
        <v>36</v>
      </c>
      <c r="H47" s="119">
        <f t="shared" si="8"/>
        <v>72</v>
      </c>
      <c r="I47" s="323">
        <v>3.5</v>
      </c>
      <c r="J47" s="214">
        <v>0.97</v>
      </c>
      <c r="K47" s="215">
        <v>2</v>
      </c>
      <c r="L47" s="216">
        <v>0.3</v>
      </c>
      <c r="M47" s="221">
        <f t="shared" si="9"/>
        <v>2.9699999999999998</v>
      </c>
      <c r="N47" s="218">
        <v>0.33</v>
      </c>
      <c r="O47" s="219">
        <v>0.1</v>
      </c>
      <c r="P47" s="220">
        <v>0.1</v>
      </c>
      <c r="Q47" s="323">
        <f t="shared" si="10"/>
        <v>7</v>
      </c>
      <c r="R47" s="214">
        <f t="shared" si="11"/>
        <v>1.94</v>
      </c>
      <c r="S47" s="215">
        <f t="shared" si="12"/>
        <v>4</v>
      </c>
      <c r="T47" s="216">
        <f t="shared" si="13"/>
        <v>0.6</v>
      </c>
      <c r="U47" s="221">
        <f t="shared" si="14"/>
        <v>5.9399999999999995</v>
      </c>
      <c r="V47" s="218">
        <f>N47*E47</f>
        <v>0.66</v>
      </c>
      <c r="W47" s="219">
        <f>O47*E47</f>
        <v>0.2</v>
      </c>
      <c r="X47" s="220">
        <f>P47*E47</f>
        <v>0.2</v>
      </c>
      <c r="Y47" s="14"/>
    </row>
    <row r="48" spans="1:25" s="7" customFormat="1" ht="12" customHeight="1">
      <c r="A48" s="95">
        <v>40429</v>
      </c>
      <c r="B48" s="86">
        <v>639</v>
      </c>
      <c r="C48" s="20" t="s">
        <v>440</v>
      </c>
      <c r="D48" s="20" t="s">
        <v>441</v>
      </c>
      <c r="E48" s="28">
        <v>30</v>
      </c>
      <c r="F48" s="28" t="s">
        <v>462</v>
      </c>
      <c r="G48" s="119">
        <v>30</v>
      </c>
      <c r="H48" s="119">
        <f t="shared" si="8"/>
        <v>900</v>
      </c>
      <c r="I48" s="323">
        <v>3.5</v>
      </c>
      <c r="J48" s="214">
        <v>1.44</v>
      </c>
      <c r="K48" s="215">
        <v>2</v>
      </c>
      <c r="L48" s="216">
        <v>0.3</v>
      </c>
      <c r="M48" s="221">
        <f t="shared" si="9"/>
        <v>3.44</v>
      </c>
      <c r="N48" s="218">
        <v>0.33</v>
      </c>
      <c r="O48" s="219">
        <v>0.1</v>
      </c>
      <c r="P48" s="220">
        <v>0.1</v>
      </c>
      <c r="Q48" s="323">
        <f t="shared" si="10"/>
        <v>105</v>
      </c>
      <c r="R48" s="214">
        <f t="shared" si="11"/>
        <v>43.199999999999996</v>
      </c>
      <c r="S48" s="215">
        <f t="shared" si="12"/>
        <v>60</v>
      </c>
      <c r="T48" s="216">
        <f t="shared" si="13"/>
        <v>9</v>
      </c>
      <c r="U48" s="221">
        <f t="shared" si="14"/>
        <v>103.2</v>
      </c>
      <c r="V48" s="218">
        <f t="shared" si="15"/>
        <v>9.9</v>
      </c>
      <c r="W48" s="219">
        <f t="shared" si="16"/>
        <v>3</v>
      </c>
      <c r="X48" s="220">
        <f t="shared" si="17"/>
        <v>3</v>
      </c>
      <c r="Y48" s="14"/>
    </row>
    <row r="49" spans="1:25" s="7" customFormat="1" ht="12" customHeight="1">
      <c r="A49" s="95"/>
      <c r="B49" s="86"/>
      <c r="C49" s="20" t="s">
        <v>440</v>
      </c>
      <c r="D49" s="20" t="s">
        <v>441</v>
      </c>
      <c r="E49" s="28">
        <v>40</v>
      </c>
      <c r="F49" s="28" t="s">
        <v>463</v>
      </c>
      <c r="G49" s="119">
        <v>33</v>
      </c>
      <c r="H49" s="119">
        <f t="shared" si="8"/>
        <v>1320</v>
      </c>
      <c r="I49" s="323">
        <v>3.5</v>
      </c>
      <c r="J49" s="214">
        <v>1.17</v>
      </c>
      <c r="K49" s="215">
        <v>2</v>
      </c>
      <c r="L49" s="216">
        <v>0.3</v>
      </c>
      <c r="M49" s="221">
        <f t="shared" si="9"/>
        <v>3.17</v>
      </c>
      <c r="N49" s="218">
        <v>0.33</v>
      </c>
      <c r="O49" s="219">
        <v>0.1</v>
      </c>
      <c r="P49" s="220">
        <v>0.1</v>
      </c>
      <c r="Q49" s="323">
        <f t="shared" si="10"/>
        <v>140</v>
      </c>
      <c r="R49" s="214">
        <f t="shared" si="11"/>
        <v>46.8</v>
      </c>
      <c r="S49" s="215">
        <f t="shared" si="12"/>
        <v>80</v>
      </c>
      <c r="T49" s="216">
        <f t="shared" si="13"/>
        <v>12</v>
      </c>
      <c r="U49" s="221">
        <f t="shared" si="14"/>
        <v>126.8</v>
      </c>
      <c r="V49" s="218">
        <f t="shared" si="15"/>
        <v>13.200000000000001</v>
      </c>
      <c r="W49" s="219">
        <f t="shared" si="16"/>
        <v>4</v>
      </c>
      <c r="X49" s="220">
        <f t="shared" si="17"/>
        <v>4</v>
      </c>
      <c r="Y49" s="14"/>
    </row>
    <row r="50" spans="1:25" s="7" customFormat="1" ht="12" customHeight="1">
      <c r="A50" s="95">
        <v>40430</v>
      </c>
      <c r="B50" s="86">
        <v>640</v>
      </c>
      <c r="C50" s="20" t="s">
        <v>285</v>
      </c>
      <c r="D50" s="20" t="s">
        <v>286</v>
      </c>
      <c r="E50" s="28">
        <v>25</v>
      </c>
      <c r="F50" s="28" t="s">
        <v>464</v>
      </c>
      <c r="G50" s="119">
        <v>12.5</v>
      </c>
      <c r="H50" s="119">
        <f t="shared" si="8"/>
        <v>312.5</v>
      </c>
      <c r="I50" s="323">
        <v>1</v>
      </c>
      <c r="J50" s="214">
        <v>1.7</v>
      </c>
      <c r="K50" s="215">
        <v>1.5</v>
      </c>
      <c r="L50" s="216">
        <v>0.23</v>
      </c>
      <c r="M50" s="221">
        <f t="shared" si="9"/>
        <v>3.2</v>
      </c>
      <c r="N50" s="218">
        <v>0.28999999999999998</v>
      </c>
      <c r="O50" s="219">
        <v>0.1</v>
      </c>
      <c r="P50" s="220">
        <v>0.1</v>
      </c>
      <c r="Q50" s="323">
        <f t="shared" si="10"/>
        <v>25</v>
      </c>
      <c r="R50" s="214">
        <f t="shared" si="11"/>
        <v>42.5</v>
      </c>
      <c r="S50" s="215">
        <f t="shared" si="12"/>
        <v>37.5</v>
      </c>
      <c r="T50" s="216">
        <f t="shared" si="13"/>
        <v>5.75</v>
      </c>
      <c r="U50" s="221">
        <f t="shared" si="14"/>
        <v>80</v>
      </c>
      <c r="V50" s="218">
        <f t="shared" si="15"/>
        <v>7.2499999999999991</v>
      </c>
      <c r="W50" s="219">
        <f t="shared" si="16"/>
        <v>2.5</v>
      </c>
      <c r="X50" s="220">
        <f t="shared" si="17"/>
        <v>2.5</v>
      </c>
      <c r="Y50" s="14"/>
    </row>
    <row r="51" spans="1:25" s="7" customFormat="1" ht="12" customHeight="1">
      <c r="A51" s="104">
        <v>40430</v>
      </c>
      <c r="B51" s="97">
        <v>641</v>
      </c>
      <c r="C51" s="96"/>
      <c r="D51" s="96"/>
      <c r="E51" s="45"/>
      <c r="F51" s="45" t="s">
        <v>651</v>
      </c>
      <c r="G51" s="119">
        <v>0</v>
      </c>
      <c r="H51" s="119">
        <f t="shared" si="8"/>
        <v>0</v>
      </c>
      <c r="I51" s="323">
        <v>0</v>
      </c>
      <c r="J51" s="214">
        <v>0</v>
      </c>
      <c r="K51" s="215">
        <v>0</v>
      </c>
      <c r="L51" s="216">
        <v>0</v>
      </c>
      <c r="M51" s="221">
        <f t="shared" si="9"/>
        <v>0</v>
      </c>
      <c r="N51" s="218">
        <v>0</v>
      </c>
      <c r="O51" s="219">
        <v>0</v>
      </c>
      <c r="P51" s="220">
        <v>0</v>
      </c>
      <c r="Q51" s="323">
        <f t="shared" si="10"/>
        <v>0</v>
      </c>
      <c r="R51" s="214">
        <f t="shared" si="11"/>
        <v>0</v>
      </c>
      <c r="S51" s="215">
        <f t="shared" si="12"/>
        <v>0</v>
      </c>
      <c r="T51" s="216">
        <f t="shared" si="13"/>
        <v>0</v>
      </c>
      <c r="U51" s="221">
        <f t="shared" si="14"/>
        <v>0</v>
      </c>
      <c r="V51" s="218">
        <f t="shared" si="15"/>
        <v>0</v>
      </c>
      <c r="W51" s="219">
        <f t="shared" si="16"/>
        <v>0</v>
      </c>
      <c r="X51" s="220">
        <f t="shared" si="17"/>
        <v>0</v>
      </c>
      <c r="Y51" s="14"/>
    </row>
    <row r="52" spans="1:25" s="7" customFormat="1" ht="12" customHeight="1">
      <c r="A52" s="95">
        <v>40436</v>
      </c>
      <c r="B52" s="86">
        <v>642</v>
      </c>
      <c r="C52" s="20" t="s">
        <v>209</v>
      </c>
      <c r="D52" s="20" t="s">
        <v>210</v>
      </c>
      <c r="E52" s="28">
        <v>42</v>
      </c>
      <c r="F52" s="28" t="s">
        <v>465</v>
      </c>
      <c r="G52" s="119">
        <v>30</v>
      </c>
      <c r="H52" s="119">
        <f t="shared" si="8"/>
        <v>1260</v>
      </c>
      <c r="I52" s="323">
        <v>3.5</v>
      </c>
      <c r="J52" s="214">
        <v>3.81</v>
      </c>
      <c r="K52" s="215">
        <v>1.7</v>
      </c>
      <c r="L52" s="216">
        <v>0.26</v>
      </c>
      <c r="M52" s="221">
        <f t="shared" si="9"/>
        <v>5.51</v>
      </c>
      <c r="N52" s="218">
        <v>0.33</v>
      </c>
      <c r="O52" s="219">
        <v>0.1</v>
      </c>
      <c r="P52" s="220">
        <v>0.1</v>
      </c>
      <c r="Q52" s="323">
        <f t="shared" si="10"/>
        <v>147</v>
      </c>
      <c r="R52" s="214">
        <f t="shared" si="11"/>
        <v>160.02000000000001</v>
      </c>
      <c r="S52" s="215">
        <f t="shared" si="12"/>
        <v>71.399999999999991</v>
      </c>
      <c r="T52" s="216">
        <f t="shared" si="13"/>
        <v>10.92</v>
      </c>
      <c r="U52" s="221">
        <f t="shared" si="14"/>
        <v>231.42</v>
      </c>
      <c r="V52" s="218">
        <f t="shared" si="15"/>
        <v>13.860000000000001</v>
      </c>
      <c r="W52" s="219">
        <f t="shared" si="16"/>
        <v>4.2</v>
      </c>
      <c r="X52" s="220">
        <f t="shared" si="17"/>
        <v>4.2</v>
      </c>
      <c r="Y52" s="14"/>
    </row>
    <row r="53" spans="1:25" s="7" customFormat="1" ht="12" customHeight="1">
      <c r="A53" s="95"/>
      <c r="B53" s="86"/>
      <c r="C53" s="20" t="s">
        <v>209</v>
      </c>
      <c r="D53" s="20" t="s">
        <v>210</v>
      </c>
      <c r="E53" s="28">
        <v>42</v>
      </c>
      <c r="F53" s="28" t="s">
        <v>466</v>
      </c>
      <c r="G53" s="119">
        <v>30</v>
      </c>
      <c r="H53" s="119">
        <f t="shared" si="8"/>
        <v>1260</v>
      </c>
      <c r="I53" s="323">
        <v>3.5</v>
      </c>
      <c r="J53" s="214">
        <v>3.81</v>
      </c>
      <c r="K53" s="215">
        <v>1.7</v>
      </c>
      <c r="L53" s="216">
        <v>0.26</v>
      </c>
      <c r="M53" s="221">
        <f t="shared" si="9"/>
        <v>5.51</v>
      </c>
      <c r="N53" s="218">
        <v>0.33</v>
      </c>
      <c r="O53" s="219">
        <v>0.1</v>
      </c>
      <c r="P53" s="220">
        <v>0.1</v>
      </c>
      <c r="Q53" s="323">
        <f t="shared" si="10"/>
        <v>147</v>
      </c>
      <c r="R53" s="214">
        <f t="shared" si="11"/>
        <v>160.02000000000001</v>
      </c>
      <c r="S53" s="215">
        <f t="shared" si="12"/>
        <v>71.399999999999991</v>
      </c>
      <c r="T53" s="216">
        <f t="shared" si="13"/>
        <v>10.92</v>
      </c>
      <c r="U53" s="221">
        <f t="shared" si="14"/>
        <v>231.42</v>
      </c>
      <c r="V53" s="218">
        <f t="shared" si="15"/>
        <v>13.860000000000001</v>
      </c>
      <c r="W53" s="219">
        <f t="shared" si="16"/>
        <v>4.2</v>
      </c>
      <c r="X53" s="220">
        <f t="shared" si="17"/>
        <v>4.2</v>
      </c>
      <c r="Y53" s="14"/>
    </row>
    <row r="54" spans="1:25" s="7" customFormat="1" ht="12" customHeight="1">
      <c r="A54" s="95"/>
      <c r="B54" s="86"/>
      <c r="C54" s="20" t="s">
        <v>209</v>
      </c>
      <c r="D54" s="20" t="s">
        <v>210</v>
      </c>
      <c r="E54" s="28">
        <v>2</v>
      </c>
      <c r="F54" s="28" t="s">
        <v>467</v>
      </c>
      <c r="G54" s="119">
        <v>34</v>
      </c>
      <c r="H54" s="119">
        <f t="shared" si="8"/>
        <v>68</v>
      </c>
      <c r="I54" s="323">
        <v>3.5</v>
      </c>
      <c r="J54" s="214">
        <v>2.9</v>
      </c>
      <c r="K54" s="215">
        <v>1.7</v>
      </c>
      <c r="L54" s="216">
        <v>0.26</v>
      </c>
      <c r="M54" s="221">
        <f t="shared" si="9"/>
        <v>4.5999999999999996</v>
      </c>
      <c r="N54" s="218">
        <v>0.33</v>
      </c>
      <c r="O54" s="219">
        <v>0.1</v>
      </c>
      <c r="P54" s="220">
        <v>0.1</v>
      </c>
      <c r="Q54" s="323">
        <f t="shared" si="10"/>
        <v>7</v>
      </c>
      <c r="R54" s="214">
        <f t="shared" si="11"/>
        <v>5.8</v>
      </c>
      <c r="S54" s="215">
        <f t="shared" si="12"/>
        <v>3.4</v>
      </c>
      <c r="T54" s="216">
        <f t="shared" si="13"/>
        <v>0.52</v>
      </c>
      <c r="U54" s="221">
        <f t="shared" si="14"/>
        <v>9.1999999999999993</v>
      </c>
      <c r="V54" s="218">
        <f t="shared" si="15"/>
        <v>0.66</v>
      </c>
      <c r="W54" s="219">
        <f t="shared" si="16"/>
        <v>0.2</v>
      </c>
      <c r="X54" s="220">
        <f t="shared" si="17"/>
        <v>0.2</v>
      </c>
      <c r="Y54" s="14"/>
    </row>
    <row r="55" spans="1:25" s="7" customFormat="1" ht="12" customHeight="1">
      <c r="A55" s="95"/>
      <c r="B55" s="86"/>
      <c r="C55" s="20" t="s">
        <v>209</v>
      </c>
      <c r="D55" s="20" t="s">
        <v>210</v>
      </c>
      <c r="E55" s="28">
        <v>2</v>
      </c>
      <c r="F55" s="28" t="s">
        <v>468</v>
      </c>
      <c r="G55" s="119">
        <v>34</v>
      </c>
      <c r="H55" s="119">
        <f t="shared" si="8"/>
        <v>68</v>
      </c>
      <c r="I55" s="323">
        <v>3.5</v>
      </c>
      <c r="J55" s="214">
        <v>2.9</v>
      </c>
      <c r="K55" s="215">
        <v>1.7</v>
      </c>
      <c r="L55" s="216">
        <v>0.26</v>
      </c>
      <c r="M55" s="221">
        <f t="shared" si="9"/>
        <v>4.5999999999999996</v>
      </c>
      <c r="N55" s="218">
        <v>0.33</v>
      </c>
      <c r="O55" s="219">
        <v>0.1</v>
      </c>
      <c r="P55" s="220">
        <v>0.1</v>
      </c>
      <c r="Q55" s="323">
        <f t="shared" si="10"/>
        <v>7</v>
      </c>
      <c r="R55" s="214">
        <f t="shared" si="11"/>
        <v>5.8</v>
      </c>
      <c r="S55" s="215">
        <f t="shared" si="12"/>
        <v>3.4</v>
      </c>
      <c r="T55" s="216">
        <f t="shared" si="13"/>
        <v>0.52</v>
      </c>
      <c r="U55" s="221">
        <f t="shared" si="14"/>
        <v>9.1999999999999993</v>
      </c>
      <c r="V55" s="218">
        <f t="shared" si="15"/>
        <v>0.66</v>
      </c>
      <c r="W55" s="219">
        <f t="shared" si="16"/>
        <v>0.2</v>
      </c>
      <c r="X55" s="220">
        <f t="shared" si="17"/>
        <v>0.2</v>
      </c>
      <c r="Y55" s="14"/>
    </row>
    <row r="56" spans="1:25" s="7" customFormat="1" ht="12" customHeight="1">
      <c r="A56" s="95">
        <v>40436</v>
      </c>
      <c r="B56" s="86">
        <v>643</v>
      </c>
      <c r="C56" s="20" t="s">
        <v>469</v>
      </c>
      <c r="D56" s="20" t="s">
        <v>59</v>
      </c>
      <c r="E56" s="28">
        <v>100</v>
      </c>
      <c r="F56" s="28" t="s">
        <v>470</v>
      </c>
      <c r="G56" s="119">
        <v>36.5</v>
      </c>
      <c r="H56" s="119">
        <f t="shared" si="8"/>
        <v>3650</v>
      </c>
      <c r="I56" s="323">
        <v>3.5</v>
      </c>
      <c r="J56" s="214">
        <v>4.91</v>
      </c>
      <c r="K56" s="215">
        <v>0</v>
      </c>
      <c r="L56" s="216">
        <v>0</v>
      </c>
      <c r="M56" s="221">
        <f t="shared" si="9"/>
        <v>4.91</v>
      </c>
      <c r="N56" s="218">
        <v>0.33</v>
      </c>
      <c r="O56" s="219">
        <v>0.1</v>
      </c>
      <c r="P56" s="220">
        <v>0.1</v>
      </c>
      <c r="Q56" s="323">
        <f t="shared" si="10"/>
        <v>350</v>
      </c>
      <c r="R56" s="214">
        <f t="shared" si="11"/>
        <v>491</v>
      </c>
      <c r="S56" s="215">
        <f t="shared" si="12"/>
        <v>0</v>
      </c>
      <c r="T56" s="216">
        <f t="shared" si="13"/>
        <v>0</v>
      </c>
      <c r="U56" s="221">
        <f t="shared" si="14"/>
        <v>491</v>
      </c>
      <c r="V56" s="218">
        <f t="shared" si="15"/>
        <v>33</v>
      </c>
      <c r="W56" s="219">
        <f t="shared" si="16"/>
        <v>10</v>
      </c>
      <c r="X56" s="220">
        <f t="shared" si="17"/>
        <v>10</v>
      </c>
      <c r="Y56" s="14"/>
    </row>
    <row r="57" spans="1:25" s="7" customFormat="1" ht="12" customHeight="1">
      <c r="A57" s="95"/>
      <c r="B57" s="86"/>
      <c r="C57" s="20" t="s">
        <v>469</v>
      </c>
      <c r="D57" s="20" t="s">
        <v>59</v>
      </c>
      <c r="E57" s="28">
        <v>100</v>
      </c>
      <c r="F57" s="28" t="s">
        <v>471</v>
      </c>
      <c r="G57" s="119">
        <v>36.5</v>
      </c>
      <c r="H57" s="119">
        <f t="shared" si="8"/>
        <v>3650</v>
      </c>
      <c r="I57" s="323">
        <v>3.5</v>
      </c>
      <c r="J57" s="214">
        <v>4.91</v>
      </c>
      <c r="K57" s="215">
        <v>0</v>
      </c>
      <c r="L57" s="216">
        <v>0</v>
      </c>
      <c r="M57" s="221">
        <f t="shared" si="9"/>
        <v>4.91</v>
      </c>
      <c r="N57" s="218">
        <v>0.33</v>
      </c>
      <c r="O57" s="219">
        <v>0.1</v>
      </c>
      <c r="P57" s="220">
        <v>0.1</v>
      </c>
      <c r="Q57" s="323">
        <f t="shared" si="10"/>
        <v>350</v>
      </c>
      <c r="R57" s="214">
        <f t="shared" si="11"/>
        <v>491</v>
      </c>
      <c r="S57" s="215">
        <f t="shared" si="12"/>
        <v>0</v>
      </c>
      <c r="T57" s="216">
        <f t="shared" si="13"/>
        <v>0</v>
      </c>
      <c r="U57" s="221">
        <f t="shared" si="14"/>
        <v>491</v>
      </c>
      <c r="V57" s="218">
        <f t="shared" si="15"/>
        <v>33</v>
      </c>
      <c r="W57" s="219">
        <f t="shared" si="16"/>
        <v>10</v>
      </c>
      <c r="X57" s="220">
        <f t="shared" si="17"/>
        <v>10</v>
      </c>
      <c r="Y57" s="14"/>
    </row>
    <row r="58" spans="1:25" ht="12" customHeight="1">
      <c r="A58" s="95"/>
      <c r="B58" s="86"/>
      <c r="C58" s="20" t="s">
        <v>469</v>
      </c>
      <c r="D58" s="20" t="s">
        <v>59</v>
      </c>
      <c r="E58" s="28">
        <v>100</v>
      </c>
      <c r="F58" s="28" t="s">
        <v>472</v>
      </c>
      <c r="G58" s="119">
        <v>36.5</v>
      </c>
      <c r="H58" s="119">
        <f t="shared" si="8"/>
        <v>3650</v>
      </c>
      <c r="I58" s="323">
        <v>3.5</v>
      </c>
      <c r="J58" s="214">
        <v>4.0999999999999996</v>
      </c>
      <c r="K58" s="215">
        <v>0</v>
      </c>
      <c r="L58" s="216">
        <v>0</v>
      </c>
      <c r="M58" s="221">
        <f t="shared" si="9"/>
        <v>4.0999999999999996</v>
      </c>
      <c r="N58" s="218">
        <v>0.33</v>
      </c>
      <c r="O58" s="219">
        <v>0.1</v>
      </c>
      <c r="P58" s="220">
        <v>0.1</v>
      </c>
      <c r="Q58" s="323">
        <f t="shared" si="10"/>
        <v>350</v>
      </c>
      <c r="R58" s="214">
        <f t="shared" si="11"/>
        <v>409.99999999999994</v>
      </c>
      <c r="S58" s="215">
        <f t="shared" si="12"/>
        <v>0</v>
      </c>
      <c r="T58" s="216">
        <f t="shared" si="13"/>
        <v>0</v>
      </c>
      <c r="U58" s="221">
        <f t="shared" si="14"/>
        <v>409.99999999999994</v>
      </c>
      <c r="V58" s="218">
        <f t="shared" si="15"/>
        <v>33</v>
      </c>
      <c r="W58" s="219">
        <f t="shared" si="16"/>
        <v>10</v>
      </c>
      <c r="X58" s="220">
        <f t="shared" si="17"/>
        <v>10</v>
      </c>
      <c r="Y58" s="14"/>
    </row>
    <row r="59" spans="1:25" ht="12" customHeight="1">
      <c r="A59" s="95">
        <v>40434</v>
      </c>
      <c r="B59" s="86">
        <v>644</v>
      </c>
      <c r="C59" s="20" t="s">
        <v>473</v>
      </c>
      <c r="D59" s="20" t="s">
        <v>474</v>
      </c>
      <c r="E59" s="28">
        <f>24+1</f>
        <v>25</v>
      </c>
      <c r="F59" s="28" t="s">
        <v>475</v>
      </c>
      <c r="G59" s="119">
        <v>14.5</v>
      </c>
      <c r="H59" s="119">
        <f t="shared" si="8"/>
        <v>362.5</v>
      </c>
      <c r="I59" s="323">
        <v>1</v>
      </c>
      <c r="J59" s="214">
        <v>3.03</v>
      </c>
      <c r="K59" s="215">
        <v>1.2</v>
      </c>
      <c r="L59" s="216">
        <v>0.18</v>
      </c>
      <c r="M59" s="221">
        <f t="shared" si="9"/>
        <v>4.2299999999999995</v>
      </c>
      <c r="N59" s="218">
        <v>0.28999999999999998</v>
      </c>
      <c r="O59" s="219">
        <v>0.1</v>
      </c>
      <c r="P59" s="220">
        <v>0.1</v>
      </c>
      <c r="Q59" s="323">
        <f t="shared" si="10"/>
        <v>25</v>
      </c>
      <c r="R59" s="214">
        <f t="shared" si="11"/>
        <v>75.75</v>
      </c>
      <c r="S59" s="215">
        <f t="shared" si="12"/>
        <v>30</v>
      </c>
      <c r="T59" s="216">
        <f t="shared" si="13"/>
        <v>4.5</v>
      </c>
      <c r="U59" s="221">
        <f t="shared" si="14"/>
        <v>105.74999999999999</v>
      </c>
      <c r="V59" s="218">
        <f t="shared" si="15"/>
        <v>7.2499999999999991</v>
      </c>
      <c r="W59" s="219">
        <f t="shared" si="16"/>
        <v>2.5</v>
      </c>
      <c r="X59" s="220">
        <f t="shared" si="17"/>
        <v>2.5</v>
      </c>
      <c r="Y59" s="14"/>
    </row>
    <row r="60" spans="1:25" ht="12" customHeight="1">
      <c r="A60" s="95"/>
      <c r="B60" s="86"/>
      <c r="C60" s="20" t="s">
        <v>473</v>
      </c>
      <c r="D60" s="20" t="s">
        <v>474</v>
      </c>
      <c r="E60" s="28">
        <v>24</v>
      </c>
      <c r="F60" s="28" t="s">
        <v>476</v>
      </c>
      <c r="G60" s="119">
        <v>14.5</v>
      </c>
      <c r="H60" s="119">
        <f t="shared" si="8"/>
        <v>348</v>
      </c>
      <c r="I60" s="323">
        <v>1</v>
      </c>
      <c r="J60" s="214">
        <v>3.03</v>
      </c>
      <c r="K60" s="215">
        <v>1.2</v>
      </c>
      <c r="L60" s="216">
        <v>0.18</v>
      </c>
      <c r="M60" s="221">
        <f t="shared" si="9"/>
        <v>4.2299999999999995</v>
      </c>
      <c r="N60" s="218">
        <v>0.28999999999999998</v>
      </c>
      <c r="O60" s="219">
        <v>0.1</v>
      </c>
      <c r="P60" s="220">
        <v>0.1</v>
      </c>
      <c r="Q60" s="323">
        <f t="shared" si="10"/>
        <v>24</v>
      </c>
      <c r="R60" s="214">
        <f t="shared" si="11"/>
        <v>72.72</v>
      </c>
      <c r="S60" s="215">
        <f t="shared" si="12"/>
        <v>28.799999999999997</v>
      </c>
      <c r="T60" s="216">
        <f t="shared" si="13"/>
        <v>4.32</v>
      </c>
      <c r="U60" s="221">
        <f t="shared" si="14"/>
        <v>101.51999999999998</v>
      </c>
      <c r="V60" s="218">
        <f t="shared" si="15"/>
        <v>6.9599999999999991</v>
      </c>
      <c r="W60" s="219">
        <f t="shared" si="16"/>
        <v>2.4000000000000004</v>
      </c>
      <c r="X60" s="220">
        <f t="shared" si="17"/>
        <v>2.4000000000000004</v>
      </c>
      <c r="Y60" s="14"/>
    </row>
    <row r="61" spans="1:25" ht="12" customHeight="1">
      <c r="A61" s="95"/>
      <c r="B61" s="86"/>
      <c r="C61" s="20" t="s">
        <v>473</v>
      </c>
      <c r="D61" s="20" t="s">
        <v>474</v>
      </c>
      <c r="E61" s="28">
        <v>12</v>
      </c>
      <c r="F61" s="28" t="s">
        <v>477</v>
      </c>
      <c r="G61" s="119">
        <f>37-3</f>
        <v>34</v>
      </c>
      <c r="H61" s="119">
        <f t="shared" si="8"/>
        <v>408</v>
      </c>
      <c r="I61" s="323">
        <v>3.5</v>
      </c>
      <c r="J61" s="214">
        <v>5.8</v>
      </c>
      <c r="K61" s="215">
        <v>1.2</v>
      </c>
      <c r="L61" s="216">
        <v>0.18</v>
      </c>
      <c r="M61" s="221">
        <f t="shared" si="9"/>
        <v>7</v>
      </c>
      <c r="N61" s="218">
        <v>0.33</v>
      </c>
      <c r="O61" s="219">
        <v>0.1</v>
      </c>
      <c r="P61" s="220">
        <v>0.1</v>
      </c>
      <c r="Q61" s="323">
        <f t="shared" si="10"/>
        <v>42</v>
      </c>
      <c r="R61" s="214">
        <f t="shared" si="11"/>
        <v>69.599999999999994</v>
      </c>
      <c r="S61" s="215">
        <f t="shared" si="12"/>
        <v>14.399999999999999</v>
      </c>
      <c r="T61" s="216">
        <f t="shared" si="13"/>
        <v>2.16</v>
      </c>
      <c r="U61" s="221">
        <f t="shared" si="14"/>
        <v>84</v>
      </c>
      <c r="V61" s="218">
        <f t="shared" si="15"/>
        <v>3.96</v>
      </c>
      <c r="W61" s="219">
        <f t="shared" si="16"/>
        <v>1.2000000000000002</v>
      </c>
      <c r="X61" s="220">
        <f t="shared" si="17"/>
        <v>1.2000000000000002</v>
      </c>
      <c r="Y61" s="14"/>
    </row>
    <row r="62" spans="1:25" ht="12" customHeight="1">
      <c r="A62" s="95"/>
      <c r="B62" s="86"/>
      <c r="C62" s="20" t="s">
        <v>473</v>
      </c>
      <c r="D62" s="20" t="s">
        <v>474</v>
      </c>
      <c r="E62" s="28">
        <v>12</v>
      </c>
      <c r="F62" s="28" t="s">
        <v>478</v>
      </c>
      <c r="G62" s="119">
        <f>37-3</f>
        <v>34</v>
      </c>
      <c r="H62" s="119">
        <f t="shared" si="8"/>
        <v>408</v>
      </c>
      <c r="I62" s="323">
        <v>3.5</v>
      </c>
      <c r="J62" s="214">
        <v>5.8</v>
      </c>
      <c r="K62" s="215">
        <v>1.2</v>
      </c>
      <c r="L62" s="216">
        <v>0.18</v>
      </c>
      <c r="M62" s="221">
        <f t="shared" si="9"/>
        <v>7</v>
      </c>
      <c r="N62" s="218">
        <v>0.33</v>
      </c>
      <c r="O62" s="219">
        <v>0.1</v>
      </c>
      <c r="P62" s="220">
        <v>0.1</v>
      </c>
      <c r="Q62" s="323">
        <f t="shared" si="10"/>
        <v>42</v>
      </c>
      <c r="R62" s="214">
        <f t="shared" si="11"/>
        <v>69.599999999999994</v>
      </c>
      <c r="S62" s="215">
        <f t="shared" si="12"/>
        <v>14.399999999999999</v>
      </c>
      <c r="T62" s="216">
        <f t="shared" si="13"/>
        <v>2.16</v>
      </c>
      <c r="U62" s="221">
        <f t="shared" si="14"/>
        <v>84</v>
      </c>
      <c r="V62" s="218">
        <f t="shared" si="15"/>
        <v>3.96</v>
      </c>
      <c r="W62" s="219">
        <f t="shared" si="16"/>
        <v>1.2000000000000002</v>
      </c>
      <c r="X62" s="220">
        <f t="shared" si="17"/>
        <v>1.2000000000000002</v>
      </c>
      <c r="Y62" s="14"/>
    </row>
    <row r="63" spans="1:25" ht="12" customHeight="1">
      <c r="A63" s="95"/>
      <c r="B63" s="86"/>
      <c r="C63" s="20" t="s">
        <v>473</v>
      </c>
      <c r="D63" s="20" t="s">
        <v>474</v>
      </c>
      <c r="E63" s="28">
        <v>12</v>
      </c>
      <c r="F63" s="28" t="s">
        <v>479</v>
      </c>
      <c r="G63" s="119">
        <f>39-3</f>
        <v>36</v>
      </c>
      <c r="H63" s="119">
        <f t="shared" si="8"/>
        <v>432</v>
      </c>
      <c r="I63" s="323">
        <v>3.5</v>
      </c>
      <c r="J63" s="214">
        <v>3.35</v>
      </c>
      <c r="K63" s="215">
        <v>1.2</v>
      </c>
      <c r="L63" s="216">
        <v>0.18</v>
      </c>
      <c r="M63" s="221">
        <f t="shared" si="9"/>
        <v>4.55</v>
      </c>
      <c r="N63" s="218">
        <v>0.33</v>
      </c>
      <c r="O63" s="219">
        <v>0.1</v>
      </c>
      <c r="P63" s="220">
        <v>0.1</v>
      </c>
      <c r="Q63" s="323">
        <f t="shared" si="10"/>
        <v>42</v>
      </c>
      <c r="R63" s="214">
        <f t="shared" si="11"/>
        <v>40.200000000000003</v>
      </c>
      <c r="S63" s="215">
        <f t="shared" si="12"/>
        <v>14.399999999999999</v>
      </c>
      <c r="T63" s="216">
        <f t="shared" si="13"/>
        <v>2.16</v>
      </c>
      <c r="U63" s="221">
        <f t="shared" si="14"/>
        <v>54.599999999999994</v>
      </c>
      <c r="V63" s="218">
        <f t="shared" si="15"/>
        <v>3.96</v>
      </c>
      <c r="W63" s="219">
        <f t="shared" si="16"/>
        <v>1.2000000000000002</v>
      </c>
      <c r="X63" s="220">
        <f t="shared" si="17"/>
        <v>1.2000000000000002</v>
      </c>
      <c r="Y63" s="14"/>
    </row>
    <row r="64" spans="1:25" ht="12" customHeight="1">
      <c r="A64" s="95"/>
      <c r="B64" s="86"/>
      <c r="C64" s="20" t="s">
        <v>473</v>
      </c>
      <c r="D64" s="20" t="s">
        <v>474</v>
      </c>
      <c r="E64" s="28">
        <v>12</v>
      </c>
      <c r="F64" s="28" t="s">
        <v>480</v>
      </c>
      <c r="G64" s="119">
        <f>39-3</f>
        <v>36</v>
      </c>
      <c r="H64" s="119">
        <f t="shared" si="8"/>
        <v>432</v>
      </c>
      <c r="I64" s="323">
        <v>3.5</v>
      </c>
      <c r="J64" s="214">
        <v>3.35</v>
      </c>
      <c r="K64" s="215">
        <v>1.2</v>
      </c>
      <c r="L64" s="216">
        <v>0.18</v>
      </c>
      <c r="M64" s="221">
        <f t="shared" si="9"/>
        <v>4.55</v>
      </c>
      <c r="N64" s="218">
        <v>0.33</v>
      </c>
      <c r="O64" s="219">
        <v>0.1</v>
      </c>
      <c r="P64" s="220">
        <v>0.1</v>
      </c>
      <c r="Q64" s="323">
        <f t="shared" si="10"/>
        <v>42</v>
      </c>
      <c r="R64" s="214">
        <f t="shared" si="11"/>
        <v>40.200000000000003</v>
      </c>
      <c r="S64" s="215">
        <f t="shared" si="12"/>
        <v>14.399999999999999</v>
      </c>
      <c r="T64" s="216">
        <f t="shared" si="13"/>
        <v>2.16</v>
      </c>
      <c r="U64" s="221">
        <f t="shared" si="14"/>
        <v>54.599999999999994</v>
      </c>
      <c r="V64" s="218">
        <f t="shared" si="15"/>
        <v>3.96</v>
      </c>
      <c r="W64" s="219">
        <f t="shared" si="16"/>
        <v>1.2000000000000002</v>
      </c>
      <c r="X64" s="220">
        <f t="shared" si="17"/>
        <v>1.2000000000000002</v>
      </c>
      <c r="Y64" s="14"/>
    </row>
    <row r="65" spans="1:25" ht="12" customHeight="1">
      <c r="A65" s="95">
        <v>40434</v>
      </c>
      <c r="B65" s="86">
        <v>645</v>
      </c>
      <c r="C65" s="20" t="s">
        <v>481</v>
      </c>
      <c r="D65" s="20" t="s">
        <v>42</v>
      </c>
      <c r="E65" s="28">
        <v>8</v>
      </c>
      <c r="F65" s="28" t="s">
        <v>482</v>
      </c>
      <c r="G65" s="119">
        <v>45</v>
      </c>
      <c r="H65" s="119">
        <f t="shared" si="8"/>
        <v>360</v>
      </c>
      <c r="I65" s="323">
        <v>1.5</v>
      </c>
      <c r="J65" s="222">
        <v>27.86</v>
      </c>
      <c r="K65" s="215">
        <v>0.9</v>
      </c>
      <c r="L65" s="216">
        <v>0.14000000000000001</v>
      </c>
      <c r="M65" s="221">
        <f t="shared" si="9"/>
        <v>28.759999999999998</v>
      </c>
      <c r="N65" s="218">
        <v>0.21</v>
      </c>
      <c r="O65" s="219">
        <v>0.1</v>
      </c>
      <c r="P65" s="220">
        <v>0.1</v>
      </c>
      <c r="Q65" s="323">
        <f t="shared" si="10"/>
        <v>12</v>
      </c>
      <c r="R65" s="214">
        <f t="shared" si="11"/>
        <v>222.88</v>
      </c>
      <c r="S65" s="215">
        <f t="shared" si="12"/>
        <v>7.2</v>
      </c>
      <c r="T65" s="216">
        <f t="shared" si="13"/>
        <v>1.1200000000000001</v>
      </c>
      <c r="U65" s="221">
        <f t="shared" si="14"/>
        <v>230.07999999999998</v>
      </c>
      <c r="V65" s="218">
        <f t="shared" si="15"/>
        <v>1.68</v>
      </c>
      <c r="W65" s="219">
        <f t="shared" si="16"/>
        <v>0.8</v>
      </c>
      <c r="X65" s="220">
        <f t="shared" si="17"/>
        <v>0.8</v>
      </c>
      <c r="Y65" s="14"/>
    </row>
    <row r="66" spans="1:25" ht="12" customHeight="1">
      <c r="A66" s="95"/>
      <c r="B66" s="86"/>
      <c r="C66" s="20" t="s">
        <v>481</v>
      </c>
      <c r="D66" s="20" t="s">
        <v>42</v>
      </c>
      <c r="E66" s="28">
        <v>2</v>
      </c>
      <c r="F66" s="28" t="s">
        <v>483</v>
      </c>
      <c r="G66" s="119">
        <v>45</v>
      </c>
      <c r="H66" s="119">
        <f t="shared" si="8"/>
        <v>90</v>
      </c>
      <c r="I66" s="323">
        <v>1.5</v>
      </c>
      <c r="J66" s="214">
        <v>23.76</v>
      </c>
      <c r="K66" s="215">
        <v>0.9</v>
      </c>
      <c r="L66" s="216">
        <v>0.14000000000000001</v>
      </c>
      <c r="M66" s="221">
        <f t="shared" si="9"/>
        <v>24.66</v>
      </c>
      <c r="N66" s="218">
        <v>0.21</v>
      </c>
      <c r="O66" s="219">
        <v>0.1</v>
      </c>
      <c r="P66" s="220">
        <v>0.1</v>
      </c>
      <c r="Q66" s="323">
        <f t="shared" si="10"/>
        <v>3</v>
      </c>
      <c r="R66" s="214">
        <f t="shared" si="11"/>
        <v>47.52</v>
      </c>
      <c r="S66" s="215">
        <f t="shared" si="12"/>
        <v>1.8</v>
      </c>
      <c r="T66" s="216">
        <f t="shared" si="13"/>
        <v>0.28000000000000003</v>
      </c>
      <c r="U66" s="221">
        <f t="shared" si="14"/>
        <v>49.32</v>
      </c>
      <c r="V66" s="218">
        <f t="shared" si="15"/>
        <v>0.42</v>
      </c>
      <c r="W66" s="219">
        <f t="shared" si="16"/>
        <v>0.2</v>
      </c>
      <c r="X66" s="220">
        <f t="shared" si="17"/>
        <v>0.2</v>
      </c>
      <c r="Y66" s="14"/>
    </row>
    <row r="67" spans="1:25" ht="12" customHeight="1">
      <c r="A67" s="95"/>
      <c r="B67" s="86"/>
      <c r="C67" s="20" t="s">
        <v>481</v>
      </c>
      <c r="D67" s="20" t="s">
        <v>42</v>
      </c>
      <c r="E67" s="28">
        <v>8</v>
      </c>
      <c r="F67" s="28" t="s">
        <v>484</v>
      </c>
      <c r="G67" s="119">
        <v>40</v>
      </c>
      <c r="H67" s="119">
        <f t="shared" si="8"/>
        <v>320</v>
      </c>
      <c r="I67" s="323">
        <v>3.5</v>
      </c>
      <c r="J67" s="214">
        <v>3.11</v>
      </c>
      <c r="K67" s="215">
        <v>0.6</v>
      </c>
      <c r="L67" s="216">
        <v>0.09</v>
      </c>
      <c r="M67" s="221">
        <f t="shared" si="9"/>
        <v>3.71</v>
      </c>
      <c r="N67" s="218">
        <v>0</v>
      </c>
      <c r="O67" s="219">
        <v>0.1</v>
      </c>
      <c r="P67" s="220">
        <v>0.1</v>
      </c>
      <c r="Q67" s="323">
        <f t="shared" si="10"/>
        <v>28</v>
      </c>
      <c r="R67" s="214">
        <f t="shared" si="11"/>
        <v>24.88</v>
      </c>
      <c r="S67" s="215">
        <f t="shared" si="12"/>
        <v>4.8</v>
      </c>
      <c r="T67" s="216">
        <f t="shared" si="13"/>
        <v>0.72</v>
      </c>
      <c r="U67" s="221">
        <f t="shared" si="14"/>
        <v>29.68</v>
      </c>
      <c r="V67" s="218">
        <f t="shared" si="15"/>
        <v>0</v>
      </c>
      <c r="W67" s="219">
        <f t="shared" si="16"/>
        <v>0.8</v>
      </c>
      <c r="X67" s="220">
        <f t="shared" si="17"/>
        <v>0.8</v>
      </c>
      <c r="Y67" s="14"/>
    </row>
    <row r="68" spans="1:25" ht="12" customHeight="1">
      <c r="A68" s="95">
        <v>40435</v>
      </c>
      <c r="B68" s="86">
        <v>646</v>
      </c>
      <c r="C68" s="20" t="s">
        <v>485</v>
      </c>
      <c r="D68" s="20" t="s">
        <v>486</v>
      </c>
      <c r="E68" s="28">
        <f>44+1</f>
        <v>45</v>
      </c>
      <c r="F68" s="28" t="s">
        <v>487</v>
      </c>
      <c r="G68" s="119">
        <f>39.5+2.5</f>
        <v>42</v>
      </c>
      <c r="H68" s="119">
        <f t="shared" si="8"/>
        <v>1890</v>
      </c>
      <c r="I68" s="323">
        <v>3.5</v>
      </c>
      <c r="J68" s="214">
        <v>9.5</v>
      </c>
      <c r="K68" s="215">
        <v>3.5</v>
      </c>
      <c r="L68" s="216">
        <v>0.53</v>
      </c>
      <c r="M68" s="221">
        <f t="shared" si="9"/>
        <v>13</v>
      </c>
      <c r="N68" s="218">
        <v>0.33</v>
      </c>
      <c r="O68" s="219">
        <v>0.1</v>
      </c>
      <c r="P68" s="220">
        <v>0.1</v>
      </c>
      <c r="Q68" s="323">
        <f t="shared" si="10"/>
        <v>157.5</v>
      </c>
      <c r="R68" s="214">
        <f t="shared" si="11"/>
        <v>427.5</v>
      </c>
      <c r="S68" s="215">
        <f t="shared" si="12"/>
        <v>157.5</v>
      </c>
      <c r="T68" s="216">
        <f t="shared" si="13"/>
        <v>23.85</v>
      </c>
      <c r="U68" s="221">
        <f t="shared" si="14"/>
        <v>585</v>
      </c>
      <c r="V68" s="218">
        <f t="shared" si="15"/>
        <v>14.850000000000001</v>
      </c>
      <c r="W68" s="219">
        <f t="shared" si="16"/>
        <v>4.5</v>
      </c>
      <c r="X68" s="220">
        <f t="shared" si="17"/>
        <v>4.5</v>
      </c>
      <c r="Y68" s="14"/>
    </row>
    <row r="69" spans="1:25" ht="12" customHeight="1">
      <c r="A69" s="95"/>
      <c r="B69" s="86"/>
      <c r="C69" s="20" t="s">
        <v>485</v>
      </c>
      <c r="D69" s="20" t="s">
        <v>486</v>
      </c>
      <c r="E69" s="28">
        <v>44</v>
      </c>
      <c r="F69" s="28" t="s">
        <v>488</v>
      </c>
      <c r="G69" s="119">
        <f>42.5+2.5</f>
        <v>45</v>
      </c>
      <c r="H69" s="119">
        <f t="shared" si="8"/>
        <v>1980</v>
      </c>
      <c r="I69" s="323">
        <v>3.5</v>
      </c>
      <c r="J69" s="222">
        <v>10.82</v>
      </c>
      <c r="K69" s="215">
        <v>3.5</v>
      </c>
      <c r="L69" s="216">
        <v>0.53</v>
      </c>
      <c r="M69" s="221">
        <f t="shared" si="9"/>
        <v>14.32</v>
      </c>
      <c r="N69" s="218">
        <v>0.33</v>
      </c>
      <c r="O69" s="219">
        <v>0.1</v>
      </c>
      <c r="P69" s="220">
        <v>0.1</v>
      </c>
      <c r="Q69" s="323">
        <f t="shared" si="10"/>
        <v>154</v>
      </c>
      <c r="R69" s="214">
        <f t="shared" si="11"/>
        <v>476.08000000000004</v>
      </c>
      <c r="S69" s="215">
        <f t="shared" si="12"/>
        <v>154</v>
      </c>
      <c r="T69" s="216">
        <f t="shared" si="13"/>
        <v>23.32</v>
      </c>
      <c r="U69" s="221">
        <f t="shared" si="14"/>
        <v>630.08000000000004</v>
      </c>
      <c r="V69" s="218">
        <f t="shared" si="15"/>
        <v>14.520000000000001</v>
      </c>
      <c r="W69" s="219">
        <f t="shared" si="16"/>
        <v>4.4000000000000004</v>
      </c>
      <c r="X69" s="220">
        <f t="shared" si="17"/>
        <v>4.4000000000000004</v>
      </c>
      <c r="Y69" s="14"/>
    </row>
    <row r="70" spans="1:25" ht="12" customHeight="1">
      <c r="A70" s="95"/>
      <c r="B70" s="86"/>
      <c r="C70" s="20" t="s">
        <v>485</v>
      </c>
      <c r="D70" s="20" t="s">
        <v>486</v>
      </c>
      <c r="E70" s="28">
        <v>6</v>
      </c>
      <c r="F70" s="28" t="s">
        <v>489</v>
      </c>
      <c r="G70" s="119">
        <v>39.5</v>
      </c>
      <c r="H70" s="119">
        <f t="shared" si="8"/>
        <v>237</v>
      </c>
      <c r="I70" s="323">
        <v>3.5</v>
      </c>
      <c r="J70" s="214">
        <v>8.67</v>
      </c>
      <c r="K70" s="215">
        <v>3.5</v>
      </c>
      <c r="L70" s="216">
        <v>0.53</v>
      </c>
      <c r="M70" s="221">
        <f t="shared" si="9"/>
        <v>12.17</v>
      </c>
      <c r="N70" s="218">
        <v>0.33</v>
      </c>
      <c r="O70" s="219">
        <v>0.1</v>
      </c>
      <c r="P70" s="220">
        <v>0.1</v>
      </c>
      <c r="Q70" s="323">
        <f t="shared" si="10"/>
        <v>21</v>
      </c>
      <c r="R70" s="214">
        <f t="shared" si="11"/>
        <v>52.019999999999996</v>
      </c>
      <c r="S70" s="215">
        <f t="shared" si="12"/>
        <v>21</v>
      </c>
      <c r="T70" s="216">
        <f t="shared" si="13"/>
        <v>3.18</v>
      </c>
      <c r="U70" s="221">
        <f t="shared" si="14"/>
        <v>73.02</v>
      </c>
      <c r="V70" s="218">
        <f t="shared" si="15"/>
        <v>1.98</v>
      </c>
      <c r="W70" s="219">
        <f t="shared" si="16"/>
        <v>0.60000000000000009</v>
      </c>
      <c r="X70" s="220">
        <f t="shared" si="17"/>
        <v>0.60000000000000009</v>
      </c>
      <c r="Y70" s="14"/>
    </row>
    <row r="71" spans="1:25" ht="12" customHeight="1">
      <c r="A71" s="95"/>
      <c r="B71" s="86"/>
      <c r="C71" s="20" t="s">
        <v>485</v>
      </c>
      <c r="D71" s="20" t="s">
        <v>486</v>
      </c>
      <c r="E71" s="28">
        <v>6</v>
      </c>
      <c r="F71" s="28" t="s">
        <v>490</v>
      </c>
      <c r="G71" s="119">
        <v>42.5</v>
      </c>
      <c r="H71" s="119">
        <f t="shared" si="8"/>
        <v>255</v>
      </c>
      <c r="I71" s="323">
        <v>3.5</v>
      </c>
      <c r="J71" s="214">
        <v>7.15</v>
      </c>
      <c r="K71" s="215">
        <v>3.5</v>
      </c>
      <c r="L71" s="216">
        <v>0.53</v>
      </c>
      <c r="M71" s="221">
        <f t="shared" si="9"/>
        <v>10.65</v>
      </c>
      <c r="N71" s="218">
        <v>0.33</v>
      </c>
      <c r="O71" s="219">
        <v>0.1</v>
      </c>
      <c r="P71" s="220">
        <v>0.1</v>
      </c>
      <c r="Q71" s="323">
        <f t="shared" si="10"/>
        <v>21</v>
      </c>
      <c r="R71" s="214">
        <f t="shared" si="11"/>
        <v>42.900000000000006</v>
      </c>
      <c r="S71" s="215">
        <f t="shared" si="12"/>
        <v>21</v>
      </c>
      <c r="T71" s="216">
        <f t="shared" si="13"/>
        <v>3.18</v>
      </c>
      <c r="U71" s="221">
        <f t="shared" si="14"/>
        <v>63.900000000000006</v>
      </c>
      <c r="V71" s="218">
        <f t="shared" si="15"/>
        <v>1.98</v>
      </c>
      <c r="W71" s="219">
        <f t="shared" si="16"/>
        <v>0.60000000000000009</v>
      </c>
      <c r="X71" s="220">
        <f t="shared" si="17"/>
        <v>0.60000000000000009</v>
      </c>
      <c r="Y71" s="14"/>
    </row>
    <row r="72" spans="1:25" ht="12" customHeight="1">
      <c r="A72" s="95">
        <v>40434</v>
      </c>
      <c r="B72" s="86">
        <v>647</v>
      </c>
      <c r="C72" s="20" t="s">
        <v>491</v>
      </c>
      <c r="D72" s="20" t="s">
        <v>213</v>
      </c>
      <c r="E72" s="28">
        <v>30</v>
      </c>
      <c r="F72" s="28" t="s">
        <v>492</v>
      </c>
      <c r="G72" s="119">
        <v>85</v>
      </c>
      <c r="H72" s="119">
        <f t="shared" si="8"/>
        <v>2550</v>
      </c>
      <c r="I72" s="323">
        <v>8.5</v>
      </c>
      <c r="J72" s="214">
        <v>13.98</v>
      </c>
      <c r="K72" s="215">
        <v>3.5</v>
      </c>
      <c r="L72" s="216">
        <v>0.53</v>
      </c>
      <c r="M72" s="221">
        <f t="shared" ref="M72:M92" si="18">J72+K72</f>
        <v>17.48</v>
      </c>
      <c r="N72" s="218">
        <v>1.1299999999999999</v>
      </c>
      <c r="O72" s="219">
        <v>0.2</v>
      </c>
      <c r="P72" s="220">
        <v>0.2</v>
      </c>
      <c r="Q72" s="323">
        <f t="shared" ref="Q72:Q103" si="19">E72*I72</f>
        <v>255</v>
      </c>
      <c r="R72" s="214">
        <f t="shared" ref="R72:R103" si="20">E72*J72</f>
        <v>419.40000000000003</v>
      </c>
      <c r="S72" s="215">
        <f t="shared" ref="S72:S103" si="21">E72*K72</f>
        <v>105</v>
      </c>
      <c r="T72" s="216">
        <f t="shared" ref="T72:T103" si="22">E72*L72</f>
        <v>15.9</v>
      </c>
      <c r="U72" s="221">
        <f t="shared" ref="U72:U103" si="23">E72*M72</f>
        <v>524.4</v>
      </c>
      <c r="V72" s="218">
        <f t="shared" ref="V72:V103" si="24">N72*E72</f>
        <v>33.9</v>
      </c>
      <c r="W72" s="219">
        <f t="shared" ref="W72:W103" si="25">O72*E72</f>
        <v>6</v>
      </c>
      <c r="X72" s="220">
        <f t="shared" ref="X72:X103" si="26">P72*E72</f>
        <v>6</v>
      </c>
      <c r="Y72" s="14"/>
    </row>
    <row r="73" spans="1:25" ht="12" customHeight="1">
      <c r="A73" s="95"/>
      <c r="B73" s="86"/>
      <c r="C73" s="20" t="s">
        <v>491</v>
      </c>
      <c r="D73" s="20" t="s">
        <v>213</v>
      </c>
      <c r="E73" s="28">
        <v>30</v>
      </c>
      <c r="F73" s="28" t="s">
        <v>493</v>
      </c>
      <c r="G73" s="119">
        <v>80</v>
      </c>
      <c r="H73" s="119">
        <f t="shared" si="8"/>
        <v>2400</v>
      </c>
      <c r="I73" s="323">
        <v>8.5</v>
      </c>
      <c r="J73" s="214">
        <v>13.98</v>
      </c>
      <c r="K73" s="215">
        <v>3.5</v>
      </c>
      <c r="L73" s="216">
        <v>0.53</v>
      </c>
      <c r="M73" s="221">
        <f t="shared" si="18"/>
        <v>17.48</v>
      </c>
      <c r="N73" s="218">
        <v>1.1299999999999999</v>
      </c>
      <c r="O73" s="219">
        <v>0.2</v>
      </c>
      <c r="P73" s="220">
        <v>0.2</v>
      </c>
      <c r="Q73" s="323">
        <f t="shared" si="19"/>
        <v>255</v>
      </c>
      <c r="R73" s="214">
        <f t="shared" si="20"/>
        <v>419.40000000000003</v>
      </c>
      <c r="S73" s="215">
        <f t="shared" si="21"/>
        <v>105</v>
      </c>
      <c r="T73" s="216">
        <f t="shared" si="22"/>
        <v>15.9</v>
      </c>
      <c r="U73" s="221">
        <f t="shared" si="23"/>
        <v>524.4</v>
      </c>
      <c r="V73" s="218">
        <f t="shared" si="24"/>
        <v>33.9</v>
      </c>
      <c r="W73" s="219">
        <f t="shared" si="25"/>
        <v>6</v>
      </c>
      <c r="X73" s="220">
        <f t="shared" si="26"/>
        <v>6</v>
      </c>
      <c r="Y73" s="14"/>
    </row>
    <row r="74" spans="1:25" ht="12" customHeight="1">
      <c r="A74" s="95">
        <v>40435</v>
      </c>
      <c r="B74" s="86">
        <v>648</v>
      </c>
      <c r="C74" s="20" t="s">
        <v>494</v>
      </c>
      <c r="D74" s="24" t="s">
        <v>425</v>
      </c>
      <c r="E74" s="28">
        <v>9</v>
      </c>
      <c r="F74" s="28" t="s">
        <v>495</v>
      </c>
      <c r="G74" s="119">
        <v>49</v>
      </c>
      <c r="H74" s="119">
        <f t="shared" ref="H74:H137" si="27">E74*G74</f>
        <v>441</v>
      </c>
      <c r="I74" s="323">
        <v>3.5</v>
      </c>
      <c r="J74" s="214">
        <v>5.68</v>
      </c>
      <c r="K74" s="215">
        <v>3.5</v>
      </c>
      <c r="L74" s="216">
        <v>0.53</v>
      </c>
      <c r="M74" s="221">
        <f t="shared" si="18"/>
        <v>9.18</v>
      </c>
      <c r="N74" s="218">
        <v>0.33</v>
      </c>
      <c r="O74" s="219">
        <v>0.1</v>
      </c>
      <c r="P74" s="220">
        <v>0.1</v>
      </c>
      <c r="Q74" s="323">
        <f t="shared" si="19"/>
        <v>31.5</v>
      </c>
      <c r="R74" s="214">
        <f t="shared" si="20"/>
        <v>51.12</v>
      </c>
      <c r="S74" s="215">
        <f t="shared" si="21"/>
        <v>31.5</v>
      </c>
      <c r="T74" s="216">
        <f t="shared" si="22"/>
        <v>4.7700000000000005</v>
      </c>
      <c r="U74" s="221">
        <f t="shared" si="23"/>
        <v>82.62</v>
      </c>
      <c r="V74" s="218">
        <f t="shared" si="24"/>
        <v>2.97</v>
      </c>
      <c r="W74" s="219">
        <f t="shared" si="25"/>
        <v>0.9</v>
      </c>
      <c r="X74" s="220">
        <f t="shared" si="26"/>
        <v>0.9</v>
      </c>
      <c r="Y74" s="14"/>
    </row>
    <row r="75" spans="1:25" ht="12" customHeight="1">
      <c r="A75" s="95"/>
      <c r="B75" s="86"/>
      <c r="C75" s="20" t="s">
        <v>494</v>
      </c>
      <c r="D75" s="20" t="s">
        <v>425</v>
      </c>
      <c r="E75" s="28">
        <v>10</v>
      </c>
      <c r="F75" s="28" t="s">
        <v>496</v>
      </c>
      <c r="G75" s="119">
        <v>18</v>
      </c>
      <c r="H75" s="119">
        <f t="shared" si="27"/>
        <v>180</v>
      </c>
      <c r="I75" s="323">
        <v>1</v>
      </c>
      <c r="J75" s="214">
        <v>0</v>
      </c>
      <c r="K75" s="215">
        <v>3.5</v>
      </c>
      <c r="L75" s="216">
        <v>0.53</v>
      </c>
      <c r="M75" s="221">
        <f t="shared" si="18"/>
        <v>3.5</v>
      </c>
      <c r="N75" s="218">
        <v>0.3</v>
      </c>
      <c r="O75" s="219">
        <v>0.1</v>
      </c>
      <c r="P75" s="220">
        <v>0.1</v>
      </c>
      <c r="Q75" s="323">
        <f t="shared" si="19"/>
        <v>10</v>
      </c>
      <c r="R75" s="214">
        <f t="shared" si="20"/>
        <v>0</v>
      </c>
      <c r="S75" s="215">
        <f t="shared" si="21"/>
        <v>35</v>
      </c>
      <c r="T75" s="216">
        <f t="shared" si="22"/>
        <v>5.3000000000000007</v>
      </c>
      <c r="U75" s="221">
        <f t="shared" si="23"/>
        <v>35</v>
      </c>
      <c r="V75" s="218">
        <f t="shared" si="24"/>
        <v>3</v>
      </c>
      <c r="W75" s="219">
        <f t="shared" si="25"/>
        <v>1</v>
      </c>
      <c r="X75" s="220">
        <f t="shared" si="26"/>
        <v>1</v>
      </c>
      <c r="Y75" s="14"/>
    </row>
    <row r="76" spans="1:25" ht="12" customHeight="1">
      <c r="A76" s="95">
        <v>40436</v>
      </c>
      <c r="B76" s="86">
        <v>649</v>
      </c>
      <c r="C76" s="20" t="s">
        <v>497</v>
      </c>
      <c r="D76" s="20" t="s">
        <v>498</v>
      </c>
      <c r="E76" s="28">
        <v>12</v>
      </c>
      <c r="F76" s="28" t="s">
        <v>499</v>
      </c>
      <c r="G76" s="119">
        <v>43</v>
      </c>
      <c r="H76" s="119">
        <f t="shared" si="27"/>
        <v>516</v>
      </c>
      <c r="I76" s="323">
        <v>3.5</v>
      </c>
      <c r="J76" s="214">
        <v>7.81</v>
      </c>
      <c r="K76" s="215">
        <v>4</v>
      </c>
      <c r="L76" s="216">
        <v>0.6</v>
      </c>
      <c r="M76" s="221">
        <f t="shared" si="18"/>
        <v>11.809999999999999</v>
      </c>
      <c r="N76" s="218">
        <v>0.33</v>
      </c>
      <c r="O76" s="219">
        <v>0.1</v>
      </c>
      <c r="P76" s="220">
        <v>0.1</v>
      </c>
      <c r="Q76" s="323">
        <f t="shared" si="19"/>
        <v>42</v>
      </c>
      <c r="R76" s="214">
        <f t="shared" si="20"/>
        <v>93.72</v>
      </c>
      <c r="S76" s="215">
        <f t="shared" si="21"/>
        <v>48</v>
      </c>
      <c r="T76" s="216">
        <f t="shared" si="22"/>
        <v>7.1999999999999993</v>
      </c>
      <c r="U76" s="221">
        <f t="shared" si="23"/>
        <v>141.71999999999997</v>
      </c>
      <c r="V76" s="218">
        <f t="shared" si="24"/>
        <v>3.96</v>
      </c>
      <c r="W76" s="219">
        <f t="shared" si="25"/>
        <v>1.2000000000000002</v>
      </c>
      <c r="X76" s="220">
        <f t="shared" si="26"/>
        <v>1.2000000000000002</v>
      </c>
      <c r="Y76" s="14"/>
    </row>
    <row r="77" spans="1:25" ht="12" customHeight="1">
      <c r="A77" s="95">
        <v>40436</v>
      </c>
      <c r="B77" s="86">
        <v>650</v>
      </c>
      <c r="C77" s="20" t="s">
        <v>500</v>
      </c>
      <c r="D77" s="20" t="s">
        <v>144</v>
      </c>
      <c r="E77" s="28">
        <v>12</v>
      </c>
      <c r="F77" s="28" t="s">
        <v>501</v>
      </c>
      <c r="G77" s="119">
        <v>55.5</v>
      </c>
      <c r="H77" s="119">
        <f t="shared" si="27"/>
        <v>666</v>
      </c>
      <c r="I77" s="323">
        <v>3.5</v>
      </c>
      <c r="J77" s="214">
        <v>9.64</v>
      </c>
      <c r="K77" s="215">
        <v>0</v>
      </c>
      <c r="L77" s="216">
        <v>0</v>
      </c>
      <c r="M77" s="221">
        <f t="shared" si="18"/>
        <v>9.64</v>
      </c>
      <c r="N77" s="218">
        <v>0.33</v>
      </c>
      <c r="O77" s="219">
        <v>0.1</v>
      </c>
      <c r="P77" s="220">
        <v>0.1</v>
      </c>
      <c r="Q77" s="323">
        <f t="shared" si="19"/>
        <v>42</v>
      </c>
      <c r="R77" s="214">
        <f t="shared" si="20"/>
        <v>115.68</v>
      </c>
      <c r="S77" s="215">
        <f t="shared" si="21"/>
        <v>0</v>
      </c>
      <c r="T77" s="216">
        <f t="shared" si="22"/>
        <v>0</v>
      </c>
      <c r="U77" s="221">
        <f t="shared" si="23"/>
        <v>115.68</v>
      </c>
      <c r="V77" s="218">
        <f t="shared" si="24"/>
        <v>3.96</v>
      </c>
      <c r="W77" s="219">
        <f t="shared" si="25"/>
        <v>1.2000000000000002</v>
      </c>
      <c r="X77" s="220">
        <f t="shared" si="26"/>
        <v>1.2000000000000002</v>
      </c>
      <c r="Y77" s="14"/>
    </row>
    <row r="78" spans="1:25" ht="12" customHeight="1">
      <c r="A78" s="95"/>
      <c r="B78" s="86"/>
      <c r="C78" s="20" t="s">
        <v>500</v>
      </c>
      <c r="D78" s="20" t="s">
        <v>144</v>
      </c>
      <c r="E78" s="28">
        <v>1</v>
      </c>
      <c r="F78" s="28" t="s">
        <v>502</v>
      </c>
      <c r="G78" s="119">
        <v>55.5</v>
      </c>
      <c r="H78" s="119">
        <f t="shared" si="27"/>
        <v>55.5</v>
      </c>
      <c r="I78" s="323">
        <v>3.5</v>
      </c>
      <c r="J78" s="214">
        <v>8.94</v>
      </c>
      <c r="K78" s="215">
        <v>0</v>
      </c>
      <c r="L78" s="216">
        <v>0</v>
      </c>
      <c r="M78" s="221">
        <f t="shared" si="18"/>
        <v>8.94</v>
      </c>
      <c r="N78" s="218">
        <v>0.33</v>
      </c>
      <c r="O78" s="219">
        <v>0.1</v>
      </c>
      <c r="P78" s="220">
        <v>0.1</v>
      </c>
      <c r="Q78" s="323">
        <f t="shared" si="19"/>
        <v>3.5</v>
      </c>
      <c r="R78" s="214">
        <f t="shared" si="20"/>
        <v>8.94</v>
      </c>
      <c r="S78" s="215">
        <f t="shared" si="21"/>
        <v>0</v>
      </c>
      <c r="T78" s="216">
        <f t="shared" si="22"/>
        <v>0</v>
      </c>
      <c r="U78" s="221">
        <f t="shared" si="23"/>
        <v>8.94</v>
      </c>
      <c r="V78" s="218">
        <f t="shared" si="24"/>
        <v>0.33</v>
      </c>
      <c r="W78" s="219">
        <f t="shared" si="25"/>
        <v>0.1</v>
      </c>
      <c r="X78" s="220">
        <f t="shared" si="26"/>
        <v>0.1</v>
      </c>
      <c r="Y78" s="14"/>
    </row>
    <row r="79" spans="1:25" ht="12" customHeight="1">
      <c r="A79" s="95">
        <v>40431</v>
      </c>
      <c r="B79" s="86">
        <v>651</v>
      </c>
      <c r="C79" s="20" t="s">
        <v>503</v>
      </c>
      <c r="D79" s="20" t="s">
        <v>245</v>
      </c>
      <c r="E79" s="28">
        <v>1</v>
      </c>
      <c r="F79" s="28" t="s">
        <v>504</v>
      </c>
      <c r="G79" s="119">
        <v>67.5</v>
      </c>
      <c r="H79" s="119">
        <f t="shared" si="27"/>
        <v>67.5</v>
      </c>
      <c r="I79" s="323">
        <v>5</v>
      </c>
      <c r="J79" s="214">
        <v>17.07</v>
      </c>
      <c r="K79" s="215">
        <v>0</v>
      </c>
      <c r="L79" s="216">
        <v>0</v>
      </c>
      <c r="M79" s="221">
        <f t="shared" si="18"/>
        <v>17.07</v>
      </c>
      <c r="N79" s="218">
        <v>0.57999999999999996</v>
      </c>
      <c r="O79" s="219">
        <v>0.1</v>
      </c>
      <c r="P79" s="220">
        <v>0.1</v>
      </c>
      <c r="Q79" s="323">
        <f t="shared" si="19"/>
        <v>5</v>
      </c>
      <c r="R79" s="214">
        <f t="shared" si="20"/>
        <v>17.07</v>
      </c>
      <c r="S79" s="215">
        <f t="shared" si="21"/>
        <v>0</v>
      </c>
      <c r="T79" s="216">
        <f t="shared" si="22"/>
        <v>0</v>
      </c>
      <c r="U79" s="221">
        <f t="shared" si="23"/>
        <v>17.07</v>
      </c>
      <c r="V79" s="218">
        <f t="shared" si="24"/>
        <v>0.57999999999999996</v>
      </c>
      <c r="W79" s="219">
        <f t="shared" si="25"/>
        <v>0.1</v>
      </c>
      <c r="X79" s="220">
        <f t="shared" si="26"/>
        <v>0.1</v>
      </c>
      <c r="Y79" s="14"/>
    </row>
    <row r="80" spans="1:25" ht="12" customHeight="1">
      <c r="A80" s="95"/>
      <c r="B80" s="86"/>
      <c r="C80" s="20" t="s">
        <v>503</v>
      </c>
      <c r="D80" s="20" t="s">
        <v>245</v>
      </c>
      <c r="E80" s="28">
        <v>1</v>
      </c>
      <c r="F80" s="28" t="s">
        <v>505</v>
      </c>
      <c r="G80" s="119">
        <v>45</v>
      </c>
      <c r="H80" s="119">
        <f t="shared" si="27"/>
        <v>45</v>
      </c>
      <c r="I80" s="323">
        <v>5.5</v>
      </c>
      <c r="J80" s="214">
        <v>7.59</v>
      </c>
      <c r="K80" s="215">
        <v>5.5</v>
      </c>
      <c r="L80" s="216">
        <v>0.83</v>
      </c>
      <c r="M80" s="221">
        <f t="shared" si="18"/>
        <v>13.09</v>
      </c>
      <c r="N80" s="218">
        <v>0.57999999999999996</v>
      </c>
      <c r="O80" s="219">
        <v>0.1</v>
      </c>
      <c r="P80" s="220">
        <v>0.1</v>
      </c>
      <c r="Q80" s="323">
        <f t="shared" si="19"/>
        <v>5.5</v>
      </c>
      <c r="R80" s="214">
        <f t="shared" si="20"/>
        <v>7.59</v>
      </c>
      <c r="S80" s="215">
        <f t="shared" si="21"/>
        <v>5.5</v>
      </c>
      <c r="T80" s="216">
        <f t="shared" si="22"/>
        <v>0.83</v>
      </c>
      <c r="U80" s="221">
        <f t="shared" si="23"/>
        <v>13.09</v>
      </c>
      <c r="V80" s="218">
        <f t="shared" si="24"/>
        <v>0.57999999999999996</v>
      </c>
      <c r="W80" s="219">
        <f t="shared" si="25"/>
        <v>0.1</v>
      </c>
      <c r="X80" s="220">
        <f t="shared" si="26"/>
        <v>0.1</v>
      </c>
      <c r="Y80" s="14"/>
    </row>
    <row r="81" spans="1:25" ht="12" customHeight="1">
      <c r="A81" s="95"/>
      <c r="B81" s="86"/>
      <c r="C81" s="20" t="s">
        <v>503</v>
      </c>
      <c r="D81" s="20" t="s">
        <v>245</v>
      </c>
      <c r="E81" s="26">
        <v>1</v>
      </c>
      <c r="F81" s="20" t="s">
        <v>506</v>
      </c>
      <c r="G81" s="37">
        <v>98.6</v>
      </c>
      <c r="H81" s="119">
        <f t="shared" si="27"/>
        <v>98.6</v>
      </c>
      <c r="I81" s="323">
        <v>0</v>
      </c>
      <c r="J81" s="214">
        <v>0</v>
      </c>
      <c r="K81" s="215">
        <v>0</v>
      </c>
      <c r="L81" s="216">
        <v>0</v>
      </c>
      <c r="M81" s="221">
        <f>J81+K81</f>
        <v>0</v>
      </c>
      <c r="N81" s="218">
        <v>0</v>
      </c>
      <c r="O81" s="219">
        <v>0</v>
      </c>
      <c r="P81" s="220">
        <v>0</v>
      </c>
      <c r="Q81" s="323">
        <f t="shared" si="19"/>
        <v>0</v>
      </c>
      <c r="R81" s="214">
        <f t="shared" si="20"/>
        <v>0</v>
      </c>
      <c r="S81" s="215">
        <f t="shared" si="21"/>
        <v>0</v>
      </c>
      <c r="T81" s="216">
        <f t="shared" si="22"/>
        <v>0</v>
      </c>
      <c r="U81" s="221">
        <f t="shared" si="23"/>
        <v>0</v>
      </c>
      <c r="V81" s="218">
        <f t="shared" si="24"/>
        <v>0</v>
      </c>
      <c r="W81" s="219">
        <f t="shared" si="25"/>
        <v>0</v>
      </c>
      <c r="X81" s="220">
        <f t="shared" si="26"/>
        <v>0</v>
      </c>
      <c r="Y81" s="14"/>
    </row>
    <row r="82" spans="1:25" ht="12" customHeight="1">
      <c r="A82" s="95">
        <v>40434</v>
      </c>
      <c r="B82" s="86">
        <v>652</v>
      </c>
      <c r="C82" s="20" t="s">
        <v>507</v>
      </c>
      <c r="D82" s="20" t="s">
        <v>425</v>
      </c>
      <c r="E82" s="26">
        <v>253</v>
      </c>
      <c r="F82" s="20" t="s">
        <v>508</v>
      </c>
      <c r="G82" s="37">
        <v>38.5</v>
      </c>
      <c r="H82" s="119">
        <f t="shared" si="27"/>
        <v>9740.5</v>
      </c>
      <c r="I82" s="323">
        <v>4</v>
      </c>
      <c r="J82" s="214">
        <v>11.63</v>
      </c>
      <c r="K82" s="215">
        <v>6</v>
      </c>
      <c r="L82" s="216">
        <v>0.9</v>
      </c>
      <c r="M82" s="221">
        <f t="shared" si="18"/>
        <v>17.630000000000003</v>
      </c>
      <c r="N82" s="218">
        <v>0.28999999999999998</v>
      </c>
      <c r="O82" s="219">
        <v>0.1</v>
      </c>
      <c r="P82" s="220">
        <v>0.1</v>
      </c>
      <c r="Q82" s="325">
        <f t="shared" si="19"/>
        <v>1012</v>
      </c>
      <c r="R82" s="214">
        <f t="shared" si="20"/>
        <v>2942.3900000000003</v>
      </c>
      <c r="S82" s="215">
        <f t="shared" si="21"/>
        <v>1518</v>
      </c>
      <c r="T82" s="216">
        <f t="shared" si="22"/>
        <v>227.70000000000002</v>
      </c>
      <c r="U82" s="221">
        <f t="shared" si="23"/>
        <v>4460.3900000000003</v>
      </c>
      <c r="V82" s="218">
        <f t="shared" si="24"/>
        <v>73.36999999999999</v>
      </c>
      <c r="W82" s="219">
        <f t="shared" si="25"/>
        <v>25.3</v>
      </c>
      <c r="X82" s="220">
        <f t="shared" si="26"/>
        <v>25.3</v>
      </c>
      <c r="Y82" s="14"/>
    </row>
    <row r="83" spans="1:25" ht="12" customHeight="1">
      <c r="A83" s="95">
        <v>40434</v>
      </c>
      <c r="B83" s="86">
        <v>653</v>
      </c>
      <c r="C83" s="20" t="s">
        <v>509</v>
      </c>
      <c r="D83" s="20" t="s">
        <v>42</v>
      </c>
      <c r="E83" s="28">
        <v>15</v>
      </c>
      <c r="F83" s="28" t="s">
        <v>510</v>
      </c>
      <c r="G83" s="119">
        <v>28</v>
      </c>
      <c r="H83" s="119">
        <f t="shared" si="27"/>
        <v>420</v>
      </c>
      <c r="I83" s="323">
        <v>1.5</v>
      </c>
      <c r="J83" s="214">
        <v>11.91</v>
      </c>
      <c r="K83" s="215">
        <v>1.2</v>
      </c>
      <c r="L83" s="216">
        <v>0.18</v>
      </c>
      <c r="M83" s="221">
        <f t="shared" si="18"/>
        <v>13.11</v>
      </c>
      <c r="N83" s="218">
        <v>0.33</v>
      </c>
      <c r="O83" s="219">
        <v>0.1</v>
      </c>
      <c r="P83" s="220">
        <v>0.2</v>
      </c>
      <c r="Q83" s="323">
        <f t="shared" si="19"/>
        <v>22.5</v>
      </c>
      <c r="R83" s="214">
        <f t="shared" si="20"/>
        <v>178.65</v>
      </c>
      <c r="S83" s="215">
        <f t="shared" si="21"/>
        <v>18</v>
      </c>
      <c r="T83" s="216">
        <f t="shared" si="22"/>
        <v>2.6999999999999997</v>
      </c>
      <c r="U83" s="221">
        <f t="shared" si="23"/>
        <v>196.64999999999998</v>
      </c>
      <c r="V83" s="218">
        <f t="shared" si="24"/>
        <v>4.95</v>
      </c>
      <c r="W83" s="219">
        <f t="shared" si="25"/>
        <v>1.5</v>
      </c>
      <c r="X83" s="220">
        <f t="shared" si="26"/>
        <v>3</v>
      </c>
      <c r="Y83" s="14"/>
    </row>
    <row r="84" spans="1:25" ht="12" customHeight="1">
      <c r="A84" s="95">
        <v>40436</v>
      </c>
      <c r="B84" s="86">
        <v>654</v>
      </c>
      <c r="C84" s="20" t="s">
        <v>511</v>
      </c>
      <c r="D84" s="20" t="s">
        <v>512</v>
      </c>
      <c r="E84" s="28">
        <v>12</v>
      </c>
      <c r="F84" s="28" t="s">
        <v>513</v>
      </c>
      <c r="G84" s="119">
        <v>95</v>
      </c>
      <c r="H84" s="119">
        <f t="shared" si="27"/>
        <v>1140</v>
      </c>
      <c r="I84" s="323">
        <v>3.5</v>
      </c>
      <c r="J84" s="214">
        <v>9.11</v>
      </c>
      <c r="K84" s="215">
        <v>0</v>
      </c>
      <c r="L84" s="216">
        <v>0</v>
      </c>
      <c r="M84" s="221">
        <f t="shared" si="18"/>
        <v>9.11</v>
      </c>
      <c r="N84" s="218">
        <v>0.33</v>
      </c>
      <c r="O84" s="219">
        <v>0.1</v>
      </c>
      <c r="P84" s="220">
        <v>0.1</v>
      </c>
      <c r="Q84" s="323">
        <f t="shared" si="19"/>
        <v>42</v>
      </c>
      <c r="R84" s="214">
        <f t="shared" si="20"/>
        <v>109.32</v>
      </c>
      <c r="S84" s="215">
        <f t="shared" si="21"/>
        <v>0</v>
      </c>
      <c r="T84" s="216">
        <f t="shared" si="22"/>
        <v>0</v>
      </c>
      <c r="U84" s="221">
        <f t="shared" si="23"/>
        <v>109.32</v>
      </c>
      <c r="V84" s="218">
        <f t="shared" si="24"/>
        <v>3.96</v>
      </c>
      <c r="W84" s="219">
        <f t="shared" si="25"/>
        <v>1.2000000000000002</v>
      </c>
      <c r="X84" s="220">
        <f t="shared" si="26"/>
        <v>1.2000000000000002</v>
      </c>
      <c r="Y84" s="14"/>
    </row>
    <row r="85" spans="1:25" ht="12" customHeight="1">
      <c r="A85" s="95">
        <v>40437</v>
      </c>
      <c r="B85" s="86">
        <v>655</v>
      </c>
      <c r="C85" s="20" t="s">
        <v>514</v>
      </c>
      <c r="D85" s="20" t="s">
        <v>42</v>
      </c>
      <c r="E85" s="28">
        <v>18</v>
      </c>
      <c r="F85" s="28" t="s">
        <v>515</v>
      </c>
      <c r="G85" s="119">
        <v>33</v>
      </c>
      <c r="H85" s="119">
        <f t="shared" si="27"/>
        <v>594</v>
      </c>
      <c r="I85" s="323">
        <v>3.5</v>
      </c>
      <c r="J85" s="214">
        <v>7.09</v>
      </c>
      <c r="K85" s="215">
        <v>0</v>
      </c>
      <c r="L85" s="216">
        <v>0</v>
      </c>
      <c r="M85" s="221">
        <f t="shared" si="18"/>
        <v>7.09</v>
      </c>
      <c r="N85" s="218">
        <v>0.33</v>
      </c>
      <c r="O85" s="219">
        <v>0.1</v>
      </c>
      <c r="P85" s="220">
        <v>0.1</v>
      </c>
      <c r="Q85" s="323">
        <f t="shared" si="19"/>
        <v>63</v>
      </c>
      <c r="R85" s="214">
        <f t="shared" si="20"/>
        <v>127.62</v>
      </c>
      <c r="S85" s="215">
        <f t="shared" si="21"/>
        <v>0</v>
      </c>
      <c r="T85" s="216">
        <f t="shared" si="22"/>
        <v>0</v>
      </c>
      <c r="U85" s="221">
        <f t="shared" si="23"/>
        <v>127.62</v>
      </c>
      <c r="V85" s="218">
        <f t="shared" si="24"/>
        <v>5.94</v>
      </c>
      <c r="W85" s="219">
        <f t="shared" si="25"/>
        <v>1.8</v>
      </c>
      <c r="X85" s="220">
        <f t="shared" si="26"/>
        <v>1.8</v>
      </c>
      <c r="Y85" s="14"/>
    </row>
    <row r="86" spans="1:25" ht="12" customHeight="1">
      <c r="A86" s="95">
        <v>40437</v>
      </c>
      <c r="B86" s="86">
        <v>656</v>
      </c>
      <c r="C86" s="20" t="s">
        <v>516</v>
      </c>
      <c r="D86" s="20" t="s">
        <v>42</v>
      </c>
      <c r="E86" s="28">
        <v>178</v>
      </c>
      <c r="F86" s="28" t="s">
        <v>517</v>
      </c>
      <c r="G86" s="119">
        <v>16.2</v>
      </c>
      <c r="H86" s="119">
        <f t="shared" si="27"/>
        <v>2883.6</v>
      </c>
      <c r="I86" s="323">
        <v>1</v>
      </c>
      <c r="J86" s="214">
        <v>0.16</v>
      </c>
      <c r="K86" s="215">
        <v>5.0999999999999996</v>
      </c>
      <c r="L86" s="216">
        <v>0.77</v>
      </c>
      <c r="M86" s="221">
        <f t="shared" si="18"/>
        <v>5.26</v>
      </c>
      <c r="N86" s="218">
        <v>0</v>
      </c>
      <c r="O86" s="219">
        <v>0.1</v>
      </c>
      <c r="P86" s="220">
        <v>0.1</v>
      </c>
      <c r="Q86" s="323">
        <f t="shared" si="19"/>
        <v>178</v>
      </c>
      <c r="R86" s="214">
        <f t="shared" si="20"/>
        <v>28.48</v>
      </c>
      <c r="S86" s="215">
        <f t="shared" si="21"/>
        <v>907.8</v>
      </c>
      <c r="T86" s="216">
        <f t="shared" si="22"/>
        <v>137.06</v>
      </c>
      <c r="U86" s="221">
        <f t="shared" si="23"/>
        <v>936.28</v>
      </c>
      <c r="V86" s="218">
        <f t="shared" si="24"/>
        <v>0</v>
      </c>
      <c r="W86" s="219">
        <f t="shared" si="25"/>
        <v>17.8</v>
      </c>
      <c r="X86" s="220">
        <f t="shared" si="26"/>
        <v>17.8</v>
      </c>
      <c r="Y86" s="14"/>
    </row>
    <row r="87" spans="1:25" ht="12" customHeight="1">
      <c r="A87" s="95"/>
      <c r="B87" s="86"/>
      <c r="C87" s="20" t="s">
        <v>516</v>
      </c>
      <c r="D87" s="20" t="s">
        <v>42</v>
      </c>
      <c r="E87" s="28">
        <v>16</v>
      </c>
      <c r="F87" s="28" t="s">
        <v>517</v>
      </c>
      <c r="G87" s="119">
        <v>17.5</v>
      </c>
      <c r="H87" s="119">
        <f t="shared" si="27"/>
        <v>280</v>
      </c>
      <c r="I87" s="323">
        <v>1</v>
      </c>
      <c r="J87" s="214">
        <v>0.16</v>
      </c>
      <c r="K87" s="215">
        <v>5.0999999999999996</v>
      </c>
      <c r="L87" s="216">
        <v>0.77</v>
      </c>
      <c r="M87" s="221">
        <f t="shared" si="18"/>
        <v>5.26</v>
      </c>
      <c r="N87" s="218">
        <v>0</v>
      </c>
      <c r="O87" s="219">
        <v>0.1</v>
      </c>
      <c r="P87" s="220">
        <v>0.1</v>
      </c>
      <c r="Q87" s="323">
        <f t="shared" si="19"/>
        <v>16</v>
      </c>
      <c r="R87" s="214">
        <f t="shared" si="20"/>
        <v>2.56</v>
      </c>
      <c r="S87" s="215">
        <f t="shared" si="21"/>
        <v>81.599999999999994</v>
      </c>
      <c r="T87" s="216">
        <f t="shared" si="22"/>
        <v>12.32</v>
      </c>
      <c r="U87" s="221">
        <f t="shared" si="23"/>
        <v>84.16</v>
      </c>
      <c r="V87" s="218">
        <f t="shared" si="24"/>
        <v>0</v>
      </c>
      <c r="W87" s="219">
        <f t="shared" si="25"/>
        <v>1.6</v>
      </c>
      <c r="X87" s="220">
        <f t="shared" si="26"/>
        <v>1.6</v>
      </c>
      <c r="Y87" s="14"/>
    </row>
    <row r="88" spans="1:25" ht="12" customHeight="1">
      <c r="A88" s="95">
        <v>40438</v>
      </c>
      <c r="B88" s="86">
        <v>657</v>
      </c>
      <c r="C88" s="20" t="s">
        <v>518</v>
      </c>
      <c r="D88" s="20" t="s">
        <v>42</v>
      </c>
      <c r="E88" s="28">
        <v>4</v>
      </c>
      <c r="F88" s="28" t="s">
        <v>519</v>
      </c>
      <c r="G88" s="119">
        <v>98.5</v>
      </c>
      <c r="H88" s="119">
        <f t="shared" si="27"/>
        <v>394</v>
      </c>
      <c r="I88" s="323">
        <v>5.5</v>
      </c>
      <c r="J88" s="222">
        <v>48.61</v>
      </c>
      <c r="K88" s="215">
        <v>9.5</v>
      </c>
      <c r="L88" s="216">
        <v>1.43</v>
      </c>
      <c r="M88" s="221">
        <f t="shared" si="18"/>
        <v>58.11</v>
      </c>
      <c r="N88" s="218">
        <v>0.67</v>
      </c>
      <c r="O88" s="219">
        <v>0.1</v>
      </c>
      <c r="P88" s="220">
        <v>0.1</v>
      </c>
      <c r="Q88" s="323">
        <f t="shared" si="19"/>
        <v>22</v>
      </c>
      <c r="R88" s="214">
        <f t="shared" si="20"/>
        <v>194.44</v>
      </c>
      <c r="S88" s="215">
        <f t="shared" si="21"/>
        <v>38</v>
      </c>
      <c r="T88" s="216">
        <f t="shared" si="22"/>
        <v>5.72</v>
      </c>
      <c r="U88" s="221">
        <f t="shared" si="23"/>
        <v>232.44</v>
      </c>
      <c r="V88" s="218">
        <f t="shared" si="24"/>
        <v>2.68</v>
      </c>
      <c r="W88" s="219">
        <f t="shared" si="25"/>
        <v>0.4</v>
      </c>
      <c r="X88" s="220">
        <f t="shared" si="26"/>
        <v>0.4</v>
      </c>
      <c r="Y88" s="14"/>
    </row>
    <row r="89" spans="1:25" ht="12" customHeight="1">
      <c r="A89" s="95">
        <v>40438</v>
      </c>
      <c r="B89" s="86">
        <v>658</v>
      </c>
      <c r="C89" s="20" t="s">
        <v>520</v>
      </c>
      <c r="D89" s="20" t="s">
        <v>425</v>
      </c>
      <c r="E89" s="28">
        <v>16</v>
      </c>
      <c r="F89" s="28" t="s">
        <v>521</v>
      </c>
      <c r="G89" s="119">
        <v>9.5</v>
      </c>
      <c r="H89" s="119">
        <f t="shared" si="27"/>
        <v>152</v>
      </c>
      <c r="I89" s="323">
        <v>1</v>
      </c>
      <c r="J89" s="214">
        <v>-2.5099999999999998</v>
      </c>
      <c r="K89" s="215">
        <v>3.5</v>
      </c>
      <c r="L89" s="216">
        <v>0.53</v>
      </c>
      <c r="M89" s="221">
        <f t="shared" si="18"/>
        <v>0.99000000000000021</v>
      </c>
      <c r="N89" s="218">
        <v>0.21</v>
      </c>
      <c r="O89" s="219">
        <v>0.1</v>
      </c>
      <c r="P89" s="220">
        <v>0.2</v>
      </c>
      <c r="Q89" s="323">
        <f t="shared" si="19"/>
        <v>16</v>
      </c>
      <c r="R89" s="214">
        <f t="shared" si="20"/>
        <v>-40.159999999999997</v>
      </c>
      <c r="S89" s="215">
        <f t="shared" si="21"/>
        <v>56</v>
      </c>
      <c r="T89" s="216">
        <f t="shared" si="22"/>
        <v>8.48</v>
      </c>
      <c r="U89" s="221">
        <f t="shared" si="23"/>
        <v>15.840000000000003</v>
      </c>
      <c r="V89" s="218">
        <f t="shared" si="24"/>
        <v>3.36</v>
      </c>
      <c r="W89" s="219">
        <f t="shared" si="25"/>
        <v>1.6</v>
      </c>
      <c r="X89" s="220">
        <f t="shared" si="26"/>
        <v>3.2</v>
      </c>
      <c r="Y89" s="14"/>
    </row>
    <row r="90" spans="1:25" ht="12" customHeight="1">
      <c r="A90" s="95">
        <v>37152</v>
      </c>
      <c r="B90" s="86">
        <v>659</v>
      </c>
      <c r="C90" s="20" t="s">
        <v>522</v>
      </c>
      <c r="D90" s="20" t="s">
        <v>523</v>
      </c>
      <c r="E90" s="28">
        <v>7</v>
      </c>
      <c r="F90" s="28" t="s">
        <v>524</v>
      </c>
      <c r="G90" s="119">
        <v>30</v>
      </c>
      <c r="H90" s="119">
        <f t="shared" si="27"/>
        <v>210</v>
      </c>
      <c r="I90" s="323">
        <v>3.5</v>
      </c>
      <c r="J90" s="214">
        <v>-3.03</v>
      </c>
      <c r="K90" s="215">
        <v>3.3</v>
      </c>
      <c r="L90" s="216">
        <v>0.5</v>
      </c>
      <c r="M90" s="221">
        <f t="shared" si="18"/>
        <v>0.27</v>
      </c>
      <c r="N90" s="218">
        <v>0.33</v>
      </c>
      <c r="O90" s="219">
        <v>0.1</v>
      </c>
      <c r="P90" s="220">
        <v>0.1</v>
      </c>
      <c r="Q90" s="323">
        <f t="shared" si="19"/>
        <v>24.5</v>
      </c>
      <c r="R90" s="214">
        <f t="shared" si="20"/>
        <v>-21.209999999999997</v>
      </c>
      <c r="S90" s="215">
        <f t="shared" si="21"/>
        <v>23.099999999999998</v>
      </c>
      <c r="T90" s="216">
        <f t="shared" si="22"/>
        <v>3.5</v>
      </c>
      <c r="U90" s="221">
        <f t="shared" si="23"/>
        <v>1.8900000000000001</v>
      </c>
      <c r="V90" s="218">
        <f t="shared" si="24"/>
        <v>2.31</v>
      </c>
      <c r="W90" s="219">
        <f t="shared" si="25"/>
        <v>0.70000000000000007</v>
      </c>
      <c r="X90" s="220">
        <f t="shared" si="26"/>
        <v>0.70000000000000007</v>
      </c>
      <c r="Y90" s="14"/>
    </row>
    <row r="91" spans="1:25" ht="12" customHeight="1">
      <c r="A91" s="95"/>
      <c r="B91" s="86"/>
      <c r="C91" s="20" t="s">
        <v>522</v>
      </c>
      <c r="D91" s="20" t="s">
        <v>523</v>
      </c>
      <c r="E91" s="28">
        <v>7</v>
      </c>
      <c r="F91" s="28" t="s">
        <v>525</v>
      </c>
      <c r="G91" s="119">
        <v>34</v>
      </c>
      <c r="H91" s="119">
        <f t="shared" si="27"/>
        <v>238</v>
      </c>
      <c r="I91" s="323">
        <v>3.5</v>
      </c>
      <c r="J91" s="214">
        <v>0.61</v>
      </c>
      <c r="K91" s="215">
        <v>3.3</v>
      </c>
      <c r="L91" s="216">
        <v>0.5</v>
      </c>
      <c r="M91" s="221">
        <f t="shared" si="18"/>
        <v>3.9099999999999997</v>
      </c>
      <c r="N91" s="218">
        <v>0.33</v>
      </c>
      <c r="O91" s="219">
        <v>0.1</v>
      </c>
      <c r="P91" s="220">
        <v>0.1</v>
      </c>
      <c r="Q91" s="323">
        <f t="shared" si="19"/>
        <v>24.5</v>
      </c>
      <c r="R91" s="214">
        <f t="shared" si="20"/>
        <v>4.2699999999999996</v>
      </c>
      <c r="S91" s="215">
        <f t="shared" si="21"/>
        <v>23.099999999999998</v>
      </c>
      <c r="T91" s="216">
        <f t="shared" si="22"/>
        <v>3.5</v>
      </c>
      <c r="U91" s="221">
        <f t="shared" si="23"/>
        <v>27.369999999999997</v>
      </c>
      <c r="V91" s="218">
        <f t="shared" si="24"/>
        <v>2.31</v>
      </c>
      <c r="W91" s="219">
        <f t="shared" si="25"/>
        <v>0.70000000000000007</v>
      </c>
      <c r="X91" s="220">
        <f t="shared" si="26"/>
        <v>0.70000000000000007</v>
      </c>
      <c r="Y91" s="14"/>
    </row>
    <row r="92" spans="1:25" ht="12" customHeight="1">
      <c r="A92" s="95"/>
      <c r="B92" s="86"/>
      <c r="C92" s="20" t="s">
        <v>522</v>
      </c>
      <c r="D92" s="20" t="s">
        <v>523</v>
      </c>
      <c r="E92" s="28">
        <v>4</v>
      </c>
      <c r="F92" s="28" t="s">
        <v>526</v>
      </c>
      <c r="G92" s="119">
        <v>38</v>
      </c>
      <c r="H92" s="119">
        <f t="shared" si="27"/>
        <v>152</v>
      </c>
      <c r="I92" s="323">
        <v>3.5</v>
      </c>
      <c r="J92" s="214">
        <v>3.87</v>
      </c>
      <c r="K92" s="215">
        <v>3.3</v>
      </c>
      <c r="L92" s="216">
        <v>0.5</v>
      </c>
      <c r="M92" s="221">
        <f t="shared" si="18"/>
        <v>7.17</v>
      </c>
      <c r="N92" s="218">
        <v>0.33</v>
      </c>
      <c r="O92" s="219">
        <v>0.1</v>
      </c>
      <c r="P92" s="220">
        <v>0.1</v>
      </c>
      <c r="Q92" s="323">
        <f t="shared" si="19"/>
        <v>14</v>
      </c>
      <c r="R92" s="214">
        <f t="shared" si="20"/>
        <v>15.48</v>
      </c>
      <c r="S92" s="215">
        <f t="shared" si="21"/>
        <v>13.2</v>
      </c>
      <c r="T92" s="216">
        <f t="shared" si="22"/>
        <v>2</v>
      </c>
      <c r="U92" s="221">
        <f t="shared" si="23"/>
        <v>28.68</v>
      </c>
      <c r="V92" s="218">
        <f t="shared" si="24"/>
        <v>1.32</v>
      </c>
      <c r="W92" s="219">
        <f t="shared" si="25"/>
        <v>0.4</v>
      </c>
      <c r="X92" s="220">
        <f t="shared" si="26"/>
        <v>0.4</v>
      </c>
      <c r="Y92" s="14"/>
    </row>
    <row r="93" spans="1:25" ht="12" customHeight="1">
      <c r="A93" s="95">
        <v>40439</v>
      </c>
      <c r="B93" s="86">
        <v>660</v>
      </c>
      <c r="C93" s="20" t="s">
        <v>527</v>
      </c>
      <c r="D93" s="20" t="s">
        <v>528</v>
      </c>
      <c r="E93" s="28">
        <v>4</v>
      </c>
      <c r="F93" s="28" t="s">
        <v>529</v>
      </c>
      <c r="G93" s="119">
        <v>38.5</v>
      </c>
      <c r="H93" s="119">
        <f t="shared" si="27"/>
        <v>154</v>
      </c>
      <c r="I93" s="323">
        <v>3.5</v>
      </c>
      <c r="J93" s="214">
        <v>11.25</v>
      </c>
      <c r="K93" s="215">
        <v>0.7</v>
      </c>
      <c r="L93" s="216">
        <v>0.11</v>
      </c>
      <c r="M93" s="221">
        <f t="shared" ref="M93:M153" si="28">J93+K93</f>
        <v>11.95</v>
      </c>
      <c r="N93" s="218">
        <v>0.33</v>
      </c>
      <c r="O93" s="219">
        <v>0.1</v>
      </c>
      <c r="P93" s="220">
        <v>0.1</v>
      </c>
      <c r="Q93" s="323">
        <f t="shared" si="19"/>
        <v>14</v>
      </c>
      <c r="R93" s="214">
        <f t="shared" si="20"/>
        <v>45</v>
      </c>
      <c r="S93" s="215">
        <f t="shared" si="21"/>
        <v>2.8</v>
      </c>
      <c r="T93" s="216">
        <f t="shared" si="22"/>
        <v>0.44</v>
      </c>
      <c r="U93" s="221">
        <f t="shared" si="23"/>
        <v>47.8</v>
      </c>
      <c r="V93" s="218">
        <f t="shared" si="24"/>
        <v>1.32</v>
      </c>
      <c r="W93" s="219">
        <f t="shared" si="25"/>
        <v>0.4</v>
      </c>
      <c r="X93" s="220">
        <f t="shared" si="26"/>
        <v>0.4</v>
      </c>
      <c r="Y93" s="14"/>
    </row>
    <row r="94" spans="1:25" ht="12" customHeight="1">
      <c r="A94" s="95"/>
      <c r="B94" s="86"/>
      <c r="C94" s="20" t="s">
        <v>527</v>
      </c>
      <c r="D94" s="20" t="s">
        <v>528</v>
      </c>
      <c r="E94" s="28">
        <v>9</v>
      </c>
      <c r="F94" s="28" t="s">
        <v>530</v>
      </c>
      <c r="G94" s="119">
        <v>42.5</v>
      </c>
      <c r="H94" s="119">
        <f t="shared" si="27"/>
        <v>382.5</v>
      </c>
      <c r="I94" s="323">
        <v>3.5</v>
      </c>
      <c r="J94" s="222">
        <v>10.1</v>
      </c>
      <c r="K94" s="215">
        <v>0.7</v>
      </c>
      <c r="L94" s="216">
        <v>0.11</v>
      </c>
      <c r="M94" s="221">
        <f t="shared" si="28"/>
        <v>10.799999999999999</v>
      </c>
      <c r="N94" s="218">
        <v>0.33</v>
      </c>
      <c r="O94" s="219">
        <v>0.1</v>
      </c>
      <c r="P94" s="220">
        <v>0.1</v>
      </c>
      <c r="Q94" s="323">
        <f t="shared" si="19"/>
        <v>31.5</v>
      </c>
      <c r="R94" s="214">
        <f t="shared" si="20"/>
        <v>90.899999999999991</v>
      </c>
      <c r="S94" s="215">
        <f t="shared" si="21"/>
        <v>6.3</v>
      </c>
      <c r="T94" s="216">
        <f t="shared" si="22"/>
        <v>0.99</v>
      </c>
      <c r="U94" s="221">
        <f t="shared" si="23"/>
        <v>97.199999999999989</v>
      </c>
      <c r="V94" s="218">
        <f t="shared" si="24"/>
        <v>2.97</v>
      </c>
      <c r="W94" s="219">
        <f t="shared" si="25"/>
        <v>0.9</v>
      </c>
      <c r="X94" s="220">
        <f t="shared" si="26"/>
        <v>0.9</v>
      </c>
      <c r="Y94" s="14"/>
    </row>
    <row r="95" spans="1:25" ht="12" customHeight="1">
      <c r="A95" s="95">
        <v>40439</v>
      </c>
      <c r="B95" s="86">
        <v>661</v>
      </c>
      <c r="C95" s="20" t="s">
        <v>531</v>
      </c>
      <c r="D95" s="20" t="s">
        <v>425</v>
      </c>
      <c r="E95" s="28">
        <v>21</v>
      </c>
      <c r="F95" s="28" t="s">
        <v>532</v>
      </c>
      <c r="G95" s="119">
        <v>13.5</v>
      </c>
      <c r="H95" s="119">
        <f t="shared" si="27"/>
        <v>283.5</v>
      </c>
      <c r="I95" s="323">
        <v>2</v>
      </c>
      <c r="J95" s="214">
        <v>1.79</v>
      </c>
      <c r="K95" s="215">
        <v>0</v>
      </c>
      <c r="L95" s="216">
        <v>0</v>
      </c>
      <c r="M95" s="221">
        <f t="shared" si="28"/>
        <v>1.79</v>
      </c>
      <c r="N95" s="218">
        <v>0.17</v>
      </c>
      <c r="O95" s="219">
        <v>0.1</v>
      </c>
      <c r="P95" s="220">
        <v>0.1</v>
      </c>
      <c r="Q95" s="323">
        <f t="shared" si="19"/>
        <v>42</v>
      </c>
      <c r="R95" s="214">
        <f t="shared" si="20"/>
        <v>37.590000000000003</v>
      </c>
      <c r="S95" s="215">
        <f t="shared" si="21"/>
        <v>0</v>
      </c>
      <c r="T95" s="216">
        <f t="shared" si="22"/>
        <v>0</v>
      </c>
      <c r="U95" s="221">
        <f t="shared" si="23"/>
        <v>37.590000000000003</v>
      </c>
      <c r="V95" s="218">
        <f t="shared" si="24"/>
        <v>3.5700000000000003</v>
      </c>
      <c r="W95" s="219">
        <f t="shared" si="25"/>
        <v>2.1</v>
      </c>
      <c r="X95" s="220">
        <f t="shared" si="26"/>
        <v>2.1</v>
      </c>
      <c r="Y95" s="14"/>
    </row>
    <row r="96" spans="1:25" ht="12" customHeight="1">
      <c r="A96" s="95"/>
      <c r="B96" s="86"/>
      <c r="C96" s="20" t="s">
        <v>531</v>
      </c>
      <c r="D96" s="20" t="s">
        <v>425</v>
      </c>
      <c r="E96" s="28">
        <v>21</v>
      </c>
      <c r="F96" s="28" t="s">
        <v>533</v>
      </c>
      <c r="G96" s="119">
        <v>13.5</v>
      </c>
      <c r="H96" s="119">
        <f t="shared" si="27"/>
        <v>283.5</v>
      </c>
      <c r="I96" s="323">
        <v>2</v>
      </c>
      <c r="J96" s="214">
        <v>1.79</v>
      </c>
      <c r="K96" s="215">
        <v>0</v>
      </c>
      <c r="L96" s="216">
        <v>0</v>
      </c>
      <c r="M96" s="221">
        <f t="shared" si="28"/>
        <v>1.79</v>
      </c>
      <c r="N96" s="218">
        <v>0.17</v>
      </c>
      <c r="O96" s="219">
        <v>0.1</v>
      </c>
      <c r="P96" s="220">
        <v>0.1</v>
      </c>
      <c r="Q96" s="323">
        <f t="shared" si="19"/>
        <v>42</v>
      </c>
      <c r="R96" s="214">
        <f t="shared" si="20"/>
        <v>37.590000000000003</v>
      </c>
      <c r="S96" s="215">
        <f t="shared" si="21"/>
        <v>0</v>
      </c>
      <c r="T96" s="216">
        <f t="shared" si="22"/>
        <v>0</v>
      </c>
      <c r="U96" s="221">
        <f t="shared" si="23"/>
        <v>37.590000000000003</v>
      </c>
      <c r="V96" s="218">
        <f t="shared" si="24"/>
        <v>3.5700000000000003</v>
      </c>
      <c r="W96" s="219">
        <f t="shared" si="25"/>
        <v>2.1</v>
      </c>
      <c r="X96" s="220">
        <f t="shared" si="26"/>
        <v>2.1</v>
      </c>
      <c r="Y96" s="14"/>
    </row>
    <row r="97" spans="1:25" ht="12" customHeight="1">
      <c r="A97" s="104">
        <v>40441</v>
      </c>
      <c r="B97" s="97">
        <v>662</v>
      </c>
      <c r="C97" s="96"/>
      <c r="D97" s="96"/>
      <c r="E97" s="45"/>
      <c r="F97" s="45" t="s">
        <v>404</v>
      </c>
      <c r="G97" s="119">
        <v>0</v>
      </c>
      <c r="H97" s="119">
        <v>0</v>
      </c>
      <c r="I97" s="323">
        <v>0</v>
      </c>
      <c r="J97" s="214">
        <v>0</v>
      </c>
      <c r="K97" s="215">
        <v>0</v>
      </c>
      <c r="L97" s="216">
        <v>0</v>
      </c>
      <c r="M97" s="221">
        <f t="shared" si="28"/>
        <v>0</v>
      </c>
      <c r="N97" s="218">
        <v>0</v>
      </c>
      <c r="O97" s="219">
        <v>0</v>
      </c>
      <c r="P97" s="220">
        <v>0</v>
      </c>
      <c r="Q97" s="323">
        <f t="shared" si="19"/>
        <v>0</v>
      </c>
      <c r="R97" s="214">
        <f t="shared" si="20"/>
        <v>0</v>
      </c>
      <c r="S97" s="215">
        <f t="shared" si="21"/>
        <v>0</v>
      </c>
      <c r="T97" s="216">
        <f t="shared" si="22"/>
        <v>0</v>
      </c>
      <c r="U97" s="221">
        <f t="shared" si="23"/>
        <v>0</v>
      </c>
      <c r="V97" s="218">
        <f t="shared" si="24"/>
        <v>0</v>
      </c>
      <c r="W97" s="219">
        <f t="shared" si="25"/>
        <v>0</v>
      </c>
      <c r="X97" s="220">
        <f t="shared" si="26"/>
        <v>0</v>
      </c>
      <c r="Y97" s="14"/>
    </row>
    <row r="98" spans="1:25" ht="12" customHeight="1">
      <c r="A98" s="95">
        <v>40441</v>
      </c>
      <c r="B98" s="86">
        <v>663</v>
      </c>
      <c r="C98" s="20" t="s">
        <v>500</v>
      </c>
      <c r="D98" s="20" t="s">
        <v>144</v>
      </c>
      <c r="E98" s="28">
        <v>12</v>
      </c>
      <c r="F98" s="28" t="s">
        <v>534</v>
      </c>
      <c r="G98" s="119">
        <v>30</v>
      </c>
      <c r="H98" s="119">
        <f t="shared" si="27"/>
        <v>360</v>
      </c>
      <c r="I98" s="323">
        <v>4</v>
      </c>
      <c r="J98" s="214">
        <v>11.02</v>
      </c>
      <c r="K98" s="215">
        <v>1</v>
      </c>
      <c r="L98" s="216">
        <v>0.15</v>
      </c>
      <c r="M98" s="221">
        <f t="shared" si="28"/>
        <v>12.02</v>
      </c>
      <c r="N98" s="218">
        <v>0.33</v>
      </c>
      <c r="O98" s="219">
        <v>0.1</v>
      </c>
      <c r="P98" s="220">
        <v>0.1</v>
      </c>
      <c r="Q98" s="323">
        <f t="shared" si="19"/>
        <v>48</v>
      </c>
      <c r="R98" s="214">
        <f t="shared" si="20"/>
        <v>132.24</v>
      </c>
      <c r="S98" s="215">
        <f t="shared" si="21"/>
        <v>12</v>
      </c>
      <c r="T98" s="216">
        <f t="shared" si="22"/>
        <v>1.7999999999999998</v>
      </c>
      <c r="U98" s="221">
        <f t="shared" si="23"/>
        <v>144.24</v>
      </c>
      <c r="V98" s="218">
        <f t="shared" si="24"/>
        <v>3.96</v>
      </c>
      <c r="W98" s="219">
        <f t="shared" si="25"/>
        <v>1.2000000000000002</v>
      </c>
      <c r="X98" s="220">
        <f t="shared" si="26"/>
        <v>1.2000000000000002</v>
      </c>
      <c r="Y98" s="14"/>
    </row>
    <row r="99" spans="1:25" ht="12" customHeight="1">
      <c r="A99" s="95"/>
      <c r="B99" s="86"/>
      <c r="C99" s="20" t="s">
        <v>500</v>
      </c>
      <c r="D99" s="20" t="s">
        <v>144</v>
      </c>
      <c r="E99" s="28">
        <v>1</v>
      </c>
      <c r="F99" s="28" t="s">
        <v>535</v>
      </c>
      <c r="G99" s="119">
        <v>30</v>
      </c>
      <c r="H99" s="119">
        <f t="shared" si="27"/>
        <v>30</v>
      </c>
      <c r="I99" s="323">
        <v>4</v>
      </c>
      <c r="J99" s="214">
        <v>10.52</v>
      </c>
      <c r="K99" s="215">
        <v>1</v>
      </c>
      <c r="L99" s="216">
        <v>0.15</v>
      </c>
      <c r="M99" s="221">
        <f t="shared" si="28"/>
        <v>11.52</v>
      </c>
      <c r="N99" s="218">
        <v>0.33</v>
      </c>
      <c r="O99" s="219">
        <v>0.1</v>
      </c>
      <c r="P99" s="220">
        <v>0.1</v>
      </c>
      <c r="Q99" s="323">
        <f t="shared" si="19"/>
        <v>4</v>
      </c>
      <c r="R99" s="214">
        <f t="shared" si="20"/>
        <v>10.52</v>
      </c>
      <c r="S99" s="215">
        <f t="shared" si="21"/>
        <v>1</v>
      </c>
      <c r="T99" s="216">
        <f t="shared" si="22"/>
        <v>0.15</v>
      </c>
      <c r="U99" s="221">
        <f t="shared" si="23"/>
        <v>11.52</v>
      </c>
      <c r="V99" s="218">
        <f t="shared" si="24"/>
        <v>0.33</v>
      </c>
      <c r="W99" s="219">
        <f t="shared" si="25"/>
        <v>0.1</v>
      </c>
      <c r="X99" s="220">
        <f t="shared" si="26"/>
        <v>0.1</v>
      </c>
      <c r="Y99" s="14"/>
    </row>
    <row r="100" spans="1:25" ht="12" customHeight="1">
      <c r="A100" s="95">
        <v>40441</v>
      </c>
      <c r="B100" s="86">
        <v>664</v>
      </c>
      <c r="C100" s="20" t="s">
        <v>362</v>
      </c>
      <c r="D100" s="20" t="s">
        <v>42</v>
      </c>
      <c r="E100" s="28">
        <v>120</v>
      </c>
      <c r="F100" s="28" t="s">
        <v>536</v>
      </c>
      <c r="G100" s="119">
        <v>62.5</v>
      </c>
      <c r="H100" s="119">
        <f t="shared" si="27"/>
        <v>7500</v>
      </c>
      <c r="I100" s="323">
        <v>6.5</v>
      </c>
      <c r="J100" s="214">
        <v>11.69</v>
      </c>
      <c r="K100" s="215">
        <v>1.45</v>
      </c>
      <c r="L100" s="216">
        <v>0.22</v>
      </c>
      <c r="M100" s="221">
        <f t="shared" si="28"/>
        <v>13.139999999999999</v>
      </c>
      <c r="N100" s="218">
        <v>0.83</v>
      </c>
      <c r="O100" s="219">
        <v>0.1</v>
      </c>
      <c r="P100" s="220">
        <v>0.2</v>
      </c>
      <c r="Q100" s="323">
        <f t="shared" si="19"/>
        <v>780</v>
      </c>
      <c r="R100" s="214">
        <f t="shared" si="20"/>
        <v>1402.8</v>
      </c>
      <c r="S100" s="215">
        <f t="shared" si="21"/>
        <v>174</v>
      </c>
      <c r="T100" s="216">
        <f t="shared" si="22"/>
        <v>26.4</v>
      </c>
      <c r="U100" s="221">
        <f t="shared" si="23"/>
        <v>1576.8</v>
      </c>
      <c r="V100" s="218">
        <f t="shared" si="24"/>
        <v>99.6</v>
      </c>
      <c r="W100" s="219">
        <f t="shared" si="25"/>
        <v>12</v>
      </c>
      <c r="X100" s="220">
        <f t="shared" si="26"/>
        <v>24</v>
      </c>
      <c r="Y100" s="14"/>
    </row>
    <row r="101" spans="1:25" ht="12" customHeight="1">
      <c r="A101" s="95"/>
      <c r="B101" s="86"/>
      <c r="C101" s="20" t="s">
        <v>362</v>
      </c>
      <c r="D101" s="20" t="s">
        <v>42</v>
      </c>
      <c r="E101" s="28">
        <v>80</v>
      </c>
      <c r="F101" s="28" t="s">
        <v>537</v>
      </c>
      <c r="G101" s="119">
        <v>62.5</v>
      </c>
      <c r="H101" s="119">
        <f t="shared" si="27"/>
        <v>5000</v>
      </c>
      <c r="I101" s="323">
        <v>6.5</v>
      </c>
      <c r="J101" s="214">
        <v>16.53</v>
      </c>
      <c r="K101" s="215">
        <v>1.45</v>
      </c>
      <c r="L101" s="216">
        <v>0.22</v>
      </c>
      <c r="M101" s="221">
        <f t="shared" si="28"/>
        <v>17.98</v>
      </c>
      <c r="N101" s="218">
        <v>0.83</v>
      </c>
      <c r="O101" s="219">
        <v>0.1</v>
      </c>
      <c r="P101" s="220">
        <v>0.2</v>
      </c>
      <c r="Q101" s="323">
        <f t="shared" si="19"/>
        <v>520</v>
      </c>
      <c r="R101" s="214">
        <f t="shared" si="20"/>
        <v>1322.4</v>
      </c>
      <c r="S101" s="215">
        <f t="shared" si="21"/>
        <v>116</v>
      </c>
      <c r="T101" s="216">
        <f t="shared" si="22"/>
        <v>17.600000000000001</v>
      </c>
      <c r="U101" s="221">
        <f t="shared" si="23"/>
        <v>1438.4</v>
      </c>
      <c r="V101" s="218">
        <f t="shared" si="24"/>
        <v>66.399999999999991</v>
      </c>
      <c r="W101" s="219">
        <f t="shared" si="25"/>
        <v>8</v>
      </c>
      <c r="X101" s="220">
        <f t="shared" si="26"/>
        <v>16</v>
      </c>
      <c r="Y101" s="14"/>
    </row>
    <row r="102" spans="1:25" ht="12" customHeight="1">
      <c r="A102" s="95"/>
      <c r="B102" s="86"/>
      <c r="C102" s="20" t="s">
        <v>362</v>
      </c>
      <c r="D102" s="20" t="s">
        <v>42</v>
      </c>
      <c r="E102" s="28">
        <v>240</v>
      </c>
      <c r="F102" s="28" t="s">
        <v>538</v>
      </c>
      <c r="G102" s="119">
        <v>45.5</v>
      </c>
      <c r="H102" s="119">
        <f t="shared" si="27"/>
        <v>10920</v>
      </c>
      <c r="I102" s="323">
        <v>5.5</v>
      </c>
      <c r="J102" s="214">
        <v>5.47</v>
      </c>
      <c r="K102" s="215">
        <v>6.3</v>
      </c>
      <c r="L102" s="216">
        <v>0.95</v>
      </c>
      <c r="M102" s="221">
        <f t="shared" si="28"/>
        <v>11.77</v>
      </c>
      <c r="N102" s="218">
        <v>0.67</v>
      </c>
      <c r="O102" s="219">
        <v>0.1</v>
      </c>
      <c r="P102" s="220">
        <v>0.25</v>
      </c>
      <c r="Q102" s="323">
        <f t="shared" si="19"/>
        <v>1320</v>
      </c>
      <c r="R102" s="214">
        <f t="shared" si="20"/>
        <v>1312.8</v>
      </c>
      <c r="S102" s="215">
        <f t="shared" si="21"/>
        <v>1512</v>
      </c>
      <c r="T102" s="216">
        <f t="shared" si="22"/>
        <v>228</v>
      </c>
      <c r="U102" s="221">
        <f t="shared" si="23"/>
        <v>2824.7999999999997</v>
      </c>
      <c r="V102" s="218">
        <f t="shared" si="24"/>
        <v>160.80000000000001</v>
      </c>
      <c r="W102" s="219">
        <f t="shared" si="25"/>
        <v>24</v>
      </c>
      <c r="X102" s="220">
        <f t="shared" si="26"/>
        <v>60</v>
      </c>
      <c r="Y102" s="14"/>
    </row>
    <row r="103" spans="1:25" ht="12" customHeight="1">
      <c r="A103" s="95"/>
      <c r="B103" s="86"/>
      <c r="C103" s="20" t="s">
        <v>362</v>
      </c>
      <c r="D103" s="20" t="s">
        <v>42</v>
      </c>
      <c r="E103" s="28">
        <v>160</v>
      </c>
      <c r="F103" s="28" t="s">
        <v>539</v>
      </c>
      <c r="G103" s="119">
        <v>45.5</v>
      </c>
      <c r="H103" s="119">
        <f t="shared" si="27"/>
        <v>7280</v>
      </c>
      <c r="I103" s="323">
        <v>5.5</v>
      </c>
      <c r="J103" s="214">
        <v>5.47</v>
      </c>
      <c r="K103" s="215">
        <v>6.3</v>
      </c>
      <c r="L103" s="216">
        <v>0.95</v>
      </c>
      <c r="M103" s="221">
        <f t="shared" si="28"/>
        <v>11.77</v>
      </c>
      <c r="N103" s="218">
        <v>0.67</v>
      </c>
      <c r="O103" s="219">
        <v>0.1</v>
      </c>
      <c r="P103" s="220">
        <v>0.25</v>
      </c>
      <c r="Q103" s="323">
        <f t="shared" si="19"/>
        <v>880</v>
      </c>
      <c r="R103" s="214">
        <f t="shared" si="20"/>
        <v>875.19999999999993</v>
      </c>
      <c r="S103" s="215">
        <f t="shared" si="21"/>
        <v>1008</v>
      </c>
      <c r="T103" s="216">
        <f t="shared" si="22"/>
        <v>152</v>
      </c>
      <c r="U103" s="221">
        <f t="shared" si="23"/>
        <v>1883.1999999999998</v>
      </c>
      <c r="V103" s="218">
        <f t="shared" si="24"/>
        <v>107.2</v>
      </c>
      <c r="W103" s="219">
        <f t="shared" si="25"/>
        <v>16</v>
      </c>
      <c r="X103" s="220">
        <f t="shared" si="26"/>
        <v>40</v>
      </c>
      <c r="Y103" s="14"/>
    </row>
    <row r="104" spans="1:25" ht="12" customHeight="1">
      <c r="A104" s="95"/>
      <c r="B104" s="86"/>
      <c r="C104" s="20" t="s">
        <v>362</v>
      </c>
      <c r="D104" s="20" t="s">
        <v>42</v>
      </c>
      <c r="E104" s="28">
        <v>180</v>
      </c>
      <c r="F104" s="28" t="s">
        <v>540</v>
      </c>
      <c r="G104" s="119">
        <v>34</v>
      </c>
      <c r="H104" s="119">
        <f t="shared" si="27"/>
        <v>6120</v>
      </c>
      <c r="I104" s="323">
        <v>3.5</v>
      </c>
      <c r="J104" s="214">
        <v>2.4300000000000002</v>
      </c>
      <c r="K104" s="215">
        <v>1.5</v>
      </c>
      <c r="L104" s="216">
        <v>0.23</v>
      </c>
      <c r="M104" s="221">
        <f t="shared" si="28"/>
        <v>3.93</v>
      </c>
      <c r="N104" s="218">
        <v>0.33</v>
      </c>
      <c r="O104" s="219">
        <v>0.1</v>
      </c>
      <c r="P104" s="220">
        <v>0.1</v>
      </c>
      <c r="Q104" s="323">
        <f t="shared" ref="Q104:Q135" si="29">E104*I104</f>
        <v>630</v>
      </c>
      <c r="R104" s="214">
        <f t="shared" ref="R104:R135" si="30">E104*J104</f>
        <v>437.40000000000003</v>
      </c>
      <c r="S104" s="215">
        <f t="shared" ref="S104:S135" si="31">E104*K104</f>
        <v>270</v>
      </c>
      <c r="T104" s="216">
        <f t="shared" ref="T104:T135" si="32">E104*L104</f>
        <v>41.4</v>
      </c>
      <c r="U104" s="221">
        <f t="shared" ref="U104:U135" si="33">E104*M104</f>
        <v>707.4</v>
      </c>
      <c r="V104" s="218">
        <f t="shared" ref="V104:V135" si="34">N104*E104</f>
        <v>59.400000000000006</v>
      </c>
      <c r="W104" s="219">
        <f t="shared" ref="W104:W135" si="35">O104*E104</f>
        <v>18</v>
      </c>
      <c r="X104" s="220">
        <f t="shared" ref="X104:X135" si="36">P104*E104</f>
        <v>18</v>
      </c>
      <c r="Y104" s="14"/>
    </row>
    <row r="105" spans="1:25" ht="12" customHeight="1">
      <c r="A105" s="95"/>
      <c r="B105" s="86"/>
      <c r="C105" s="20" t="s">
        <v>362</v>
      </c>
      <c r="D105" s="20" t="s">
        <v>42</v>
      </c>
      <c r="E105" s="28">
        <v>120</v>
      </c>
      <c r="F105" s="28" t="s">
        <v>541</v>
      </c>
      <c r="G105" s="119">
        <v>34</v>
      </c>
      <c r="H105" s="119">
        <f t="shared" si="27"/>
        <v>4080</v>
      </c>
      <c r="I105" s="323">
        <v>3.5</v>
      </c>
      <c r="J105" s="214">
        <v>2.4300000000000002</v>
      </c>
      <c r="K105" s="215">
        <v>1.5</v>
      </c>
      <c r="L105" s="216">
        <v>0.23</v>
      </c>
      <c r="M105" s="221">
        <f t="shared" si="28"/>
        <v>3.93</v>
      </c>
      <c r="N105" s="218">
        <v>0.33</v>
      </c>
      <c r="O105" s="219">
        <v>0.1</v>
      </c>
      <c r="P105" s="220">
        <v>0.1</v>
      </c>
      <c r="Q105" s="323">
        <f t="shared" si="29"/>
        <v>420</v>
      </c>
      <c r="R105" s="214">
        <f t="shared" si="30"/>
        <v>291.60000000000002</v>
      </c>
      <c r="S105" s="215">
        <f t="shared" si="31"/>
        <v>180</v>
      </c>
      <c r="T105" s="216">
        <f t="shared" si="32"/>
        <v>27.6</v>
      </c>
      <c r="U105" s="221">
        <f t="shared" si="33"/>
        <v>471.6</v>
      </c>
      <c r="V105" s="218">
        <f t="shared" si="34"/>
        <v>39.6</v>
      </c>
      <c r="W105" s="219">
        <f t="shared" si="35"/>
        <v>12</v>
      </c>
      <c r="X105" s="220">
        <f t="shared" si="36"/>
        <v>12</v>
      </c>
      <c r="Y105" s="14"/>
    </row>
    <row r="106" spans="1:25" ht="12" customHeight="1">
      <c r="A106" s="95"/>
      <c r="B106" s="86"/>
      <c r="C106" s="20" t="s">
        <v>362</v>
      </c>
      <c r="D106" s="20" t="s">
        <v>42</v>
      </c>
      <c r="E106" s="28">
        <v>120</v>
      </c>
      <c r="F106" s="28" t="s">
        <v>542</v>
      </c>
      <c r="G106" s="119">
        <v>18</v>
      </c>
      <c r="H106" s="119">
        <f t="shared" si="27"/>
        <v>2160</v>
      </c>
      <c r="I106" s="323">
        <v>3.5</v>
      </c>
      <c r="J106" s="214">
        <v>0.56000000000000005</v>
      </c>
      <c r="K106" s="215">
        <v>1.5</v>
      </c>
      <c r="L106" s="216">
        <v>0.23</v>
      </c>
      <c r="M106" s="221">
        <f t="shared" si="28"/>
        <v>2.06</v>
      </c>
      <c r="N106" s="218">
        <v>0</v>
      </c>
      <c r="O106" s="219">
        <v>0.1</v>
      </c>
      <c r="P106" s="220">
        <v>0.1</v>
      </c>
      <c r="Q106" s="323">
        <f t="shared" si="29"/>
        <v>420</v>
      </c>
      <c r="R106" s="214">
        <f t="shared" si="30"/>
        <v>67.2</v>
      </c>
      <c r="S106" s="215">
        <f t="shared" si="31"/>
        <v>180</v>
      </c>
      <c r="T106" s="216">
        <f t="shared" si="32"/>
        <v>27.6</v>
      </c>
      <c r="U106" s="221">
        <f t="shared" si="33"/>
        <v>247.20000000000002</v>
      </c>
      <c r="V106" s="218">
        <f t="shared" si="34"/>
        <v>0</v>
      </c>
      <c r="W106" s="219">
        <f t="shared" si="35"/>
        <v>12</v>
      </c>
      <c r="X106" s="220">
        <f t="shared" si="36"/>
        <v>12</v>
      </c>
      <c r="Y106" s="14"/>
    </row>
    <row r="107" spans="1:25" ht="12" customHeight="1">
      <c r="A107" s="95"/>
      <c r="B107" s="86"/>
      <c r="C107" s="20" t="s">
        <v>362</v>
      </c>
      <c r="D107" s="20" t="s">
        <v>42</v>
      </c>
      <c r="E107" s="28">
        <v>80</v>
      </c>
      <c r="F107" s="28" t="s">
        <v>543</v>
      </c>
      <c r="G107" s="119">
        <v>18</v>
      </c>
      <c r="H107" s="119">
        <f t="shared" si="27"/>
        <v>1440</v>
      </c>
      <c r="I107" s="323">
        <v>3.5</v>
      </c>
      <c r="J107" s="214">
        <v>0.56000000000000005</v>
      </c>
      <c r="K107" s="215">
        <v>1.5</v>
      </c>
      <c r="L107" s="216">
        <v>0.23</v>
      </c>
      <c r="M107" s="221">
        <f t="shared" si="28"/>
        <v>2.06</v>
      </c>
      <c r="N107" s="218">
        <v>0</v>
      </c>
      <c r="O107" s="219">
        <v>0.1</v>
      </c>
      <c r="P107" s="220">
        <v>0.1</v>
      </c>
      <c r="Q107" s="323">
        <f t="shared" si="29"/>
        <v>280</v>
      </c>
      <c r="R107" s="214">
        <f t="shared" si="30"/>
        <v>44.800000000000004</v>
      </c>
      <c r="S107" s="215">
        <f t="shared" si="31"/>
        <v>120</v>
      </c>
      <c r="T107" s="216">
        <f t="shared" si="32"/>
        <v>18.400000000000002</v>
      </c>
      <c r="U107" s="221">
        <f t="shared" si="33"/>
        <v>164.8</v>
      </c>
      <c r="V107" s="218">
        <f t="shared" si="34"/>
        <v>0</v>
      </c>
      <c r="W107" s="219">
        <f t="shared" si="35"/>
        <v>8</v>
      </c>
      <c r="X107" s="220">
        <f t="shared" si="36"/>
        <v>8</v>
      </c>
      <c r="Y107" s="14"/>
    </row>
    <row r="108" spans="1:25" ht="12" customHeight="1">
      <c r="A108" s="95"/>
      <c r="B108" s="86"/>
      <c r="C108" s="20" t="s">
        <v>362</v>
      </c>
      <c r="D108" s="20" t="s">
        <v>42</v>
      </c>
      <c r="E108" s="28">
        <v>180</v>
      </c>
      <c r="F108" s="28" t="s">
        <v>544</v>
      </c>
      <c r="G108" s="119">
        <v>12</v>
      </c>
      <c r="H108" s="119">
        <f t="shared" si="27"/>
        <v>2160</v>
      </c>
      <c r="I108" s="323">
        <v>1.5</v>
      </c>
      <c r="J108" s="214">
        <v>1.38</v>
      </c>
      <c r="K108" s="215">
        <v>1.5</v>
      </c>
      <c r="L108" s="216">
        <v>0.23</v>
      </c>
      <c r="M108" s="221">
        <f t="shared" si="28"/>
        <v>2.88</v>
      </c>
      <c r="N108" s="218">
        <v>0.21</v>
      </c>
      <c r="O108" s="219">
        <v>0.1</v>
      </c>
      <c r="P108" s="220">
        <v>0.1</v>
      </c>
      <c r="Q108" s="323">
        <f t="shared" si="29"/>
        <v>270</v>
      </c>
      <c r="R108" s="214">
        <f t="shared" si="30"/>
        <v>248.39999999999998</v>
      </c>
      <c r="S108" s="215">
        <f t="shared" si="31"/>
        <v>270</v>
      </c>
      <c r="T108" s="216">
        <f t="shared" si="32"/>
        <v>41.4</v>
      </c>
      <c r="U108" s="221">
        <f t="shared" si="33"/>
        <v>518.4</v>
      </c>
      <c r="V108" s="218">
        <f t="shared" si="34"/>
        <v>37.799999999999997</v>
      </c>
      <c r="W108" s="219">
        <f t="shared" si="35"/>
        <v>18</v>
      </c>
      <c r="X108" s="220">
        <f t="shared" si="36"/>
        <v>18</v>
      </c>
      <c r="Y108" s="14"/>
    </row>
    <row r="109" spans="1:25" ht="12" customHeight="1">
      <c r="A109" s="95"/>
      <c r="B109" s="86"/>
      <c r="C109" s="20" t="s">
        <v>362</v>
      </c>
      <c r="D109" s="20" t="s">
        <v>42</v>
      </c>
      <c r="E109" s="28">
        <v>120</v>
      </c>
      <c r="F109" s="28" t="s">
        <v>545</v>
      </c>
      <c r="G109" s="119">
        <v>12</v>
      </c>
      <c r="H109" s="119">
        <f t="shared" si="27"/>
        <v>1440</v>
      </c>
      <c r="I109" s="323">
        <v>1.5</v>
      </c>
      <c r="J109" s="214">
        <v>1.38</v>
      </c>
      <c r="K109" s="215">
        <v>1.5</v>
      </c>
      <c r="L109" s="216">
        <v>0.23</v>
      </c>
      <c r="M109" s="221">
        <f t="shared" si="28"/>
        <v>2.88</v>
      </c>
      <c r="N109" s="218">
        <v>0.21</v>
      </c>
      <c r="O109" s="219">
        <v>0.1</v>
      </c>
      <c r="P109" s="220">
        <v>0.1</v>
      </c>
      <c r="Q109" s="323">
        <f t="shared" si="29"/>
        <v>180</v>
      </c>
      <c r="R109" s="214">
        <f t="shared" si="30"/>
        <v>165.6</v>
      </c>
      <c r="S109" s="215">
        <f t="shared" si="31"/>
        <v>180</v>
      </c>
      <c r="T109" s="216">
        <f t="shared" si="32"/>
        <v>27.6</v>
      </c>
      <c r="U109" s="221">
        <f t="shared" si="33"/>
        <v>345.59999999999997</v>
      </c>
      <c r="V109" s="218">
        <f t="shared" si="34"/>
        <v>25.2</v>
      </c>
      <c r="W109" s="219">
        <f t="shared" si="35"/>
        <v>12</v>
      </c>
      <c r="X109" s="220">
        <f t="shared" si="36"/>
        <v>12</v>
      </c>
      <c r="Y109" s="14"/>
    </row>
    <row r="110" spans="1:25" ht="12" customHeight="1">
      <c r="A110" s="95">
        <v>40441</v>
      </c>
      <c r="B110" s="86">
        <v>665</v>
      </c>
      <c r="C110" s="20" t="s">
        <v>219</v>
      </c>
      <c r="D110" s="20" t="s">
        <v>42</v>
      </c>
      <c r="E110" s="28">
        <v>3</v>
      </c>
      <c r="F110" s="28" t="s">
        <v>546</v>
      </c>
      <c r="G110" s="119">
        <v>52.5</v>
      </c>
      <c r="H110" s="119">
        <f t="shared" si="27"/>
        <v>157.5</v>
      </c>
      <c r="I110" s="323">
        <v>3.5</v>
      </c>
      <c r="J110" s="214">
        <v>-3.26</v>
      </c>
      <c r="K110" s="215">
        <v>0</v>
      </c>
      <c r="L110" s="216">
        <v>0</v>
      </c>
      <c r="M110" s="221">
        <f t="shared" si="28"/>
        <v>-3.26</v>
      </c>
      <c r="N110" s="218">
        <v>0.5</v>
      </c>
      <c r="O110" s="219">
        <v>0.1</v>
      </c>
      <c r="P110" s="220">
        <v>0.1</v>
      </c>
      <c r="Q110" s="323">
        <f t="shared" si="29"/>
        <v>10.5</v>
      </c>
      <c r="R110" s="214">
        <f t="shared" si="30"/>
        <v>-9.7799999999999994</v>
      </c>
      <c r="S110" s="215">
        <f t="shared" si="31"/>
        <v>0</v>
      </c>
      <c r="T110" s="216">
        <f t="shared" si="32"/>
        <v>0</v>
      </c>
      <c r="U110" s="221">
        <f t="shared" si="33"/>
        <v>-9.7799999999999994</v>
      </c>
      <c r="V110" s="218">
        <f t="shared" si="34"/>
        <v>1.5</v>
      </c>
      <c r="W110" s="219">
        <f t="shared" si="35"/>
        <v>0.30000000000000004</v>
      </c>
      <c r="X110" s="220">
        <f t="shared" si="36"/>
        <v>0.30000000000000004</v>
      </c>
      <c r="Y110" s="14"/>
    </row>
    <row r="111" spans="1:25" ht="12" customHeight="1">
      <c r="A111" s="95"/>
      <c r="B111" s="86"/>
      <c r="C111" s="20" t="s">
        <v>219</v>
      </c>
      <c r="D111" s="20" t="s">
        <v>42</v>
      </c>
      <c r="E111" s="28">
        <v>5</v>
      </c>
      <c r="F111" s="28" t="s">
        <v>547</v>
      </c>
      <c r="G111" s="119">
        <v>52.5</v>
      </c>
      <c r="H111" s="119">
        <f t="shared" si="27"/>
        <v>262.5</v>
      </c>
      <c r="I111" s="323">
        <v>3.5</v>
      </c>
      <c r="J111" s="214">
        <v>-4.79</v>
      </c>
      <c r="K111" s="215">
        <v>0</v>
      </c>
      <c r="L111" s="216">
        <v>0</v>
      </c>
      <c r="M111" s="221">
        <f t="shared" si="28"/>
        <v>-4.79</v>
      </c>
      <c r="N111" s="218">
        <v>0.5</v>
      </c>
      <c r="O111" s="219">
        <v>0.1</v>
      </c>
      <c r="P111" s="220">
        <v>0.1</v>
      </c>
      <c r="Q111" s="323">
        <f t="shared" si="29"/>
        <v>17.5</v>
      </c>
      <c r="R111" s="214">
        <f t="shared" si="30"/>
        <v>-23.95</v>
      </c>
      <c r="S111" s="215">
        <f t="shared" si="31"/>
        <v>0</v>
      </c>
      <c r="T111" s="216">
        <f t="shared" si="32"/>
        <v>0</v>
      </c>
      <c r="U111" s="221">
        <f t="shared" si="33"/>
        <v>-23.95</v>
      </c>
      <c r="V111" s="218">
        <f t="shared" si="34"/>
        <v>2.5</v>
      </c>
      <c r="W111" s="219">
        <f t="shared" si="35"/>
        <v>0.5</v>
      </c>
      <c r="X111" s="220">
        <f t="shared" si="36"/>
        <v>0.5</v>
      </c>
      <c r="Y111" s="14"/>
    </row>
    <row r="112" spans="1:25" ht="12.75" customHeight="1">
      <c r="A112" s="95"/>
      <c r="B112" s="86"/>
      <c r="C112" s="20" t="s">
        <v>219</v>
      </c>
      <c r="D112" s="20" t="s">
        <v>42</v>
      </c>
      <c r="E112" s="28">
        <v>3</v>
      </c>
      <c r="F112" s="28" t="s">
        <v>548</v>
      </c>
      <c r="G112" s="119">
        <v>52.5</v>
      </c>
      <c r="H112" s="119">
        <f t="shared" si="27"/>
        <v>157.5</v>
      </c>
      <c r="I112" s="323">
        <v>3.5</v>
      </c>
      <c r="J112" s="214">
        <v>-4.79</v>
      </c>
      <c r="K112" s="215">
        <v>0</v>
      </c>
      <c r="L112" s="216">
        <v>0</v>
      </c>
      <c r="M112" s="221">
        <f t="shared" si="28"/>
        <v>-4.79</v>
      </c>
      <c r="N112" s="218">
        <v>0.5</v>
      </c>
      <c r="O112" s="219">
        <v>0.1</v>
      </c>
      <c r="P112" s="220">
        <v>0.1</v>
      </c>
      <c r="Q112" s="323">
        <f t="shared" si="29"/>
        <v>10.5</v>
      </c>
      <c r="R112" s="214">
        <f t="shared" si="30"/>
        <v>-14.370000000000001</v>
      </c>
      <c r="S112" s="215">
        <f t="shared" si="31"/>
        <v>0</v>
      </c>
      <c r="T112" s="216">
        <f t="shared" si="32"/>
        <v>0</v>
      </c>
      <c r="U112" s="221">
        <f t="shared" si="33"/>
        <v>-14.370000000000001</v>
      </c>
      <c r="V112" s="218">
        <f t="shared" si="34"/>
        <v>1.5</v>
      </c>
      <c r="W112" s="219">
        <f t="shared" si="35"/>
        <v>0.30000000000000004</v>
      </c>
      <c r="X112" s="220">
        <f t="shared" si="36"/>
        <v>0.30000000000000004</v>
      </c>
      <c r="Y112" s="14"/>
    </row>
    <row r="113" spans="1:25" ht="12" customHeight="1">
      <c r="A113" s="95"/>
      <c r="B113" s="86"/>
      <c r="C113" s="20" t="s">
        <v>219</v>
      </c>
      <c r="D113" s="20" t="s">
        <v>42</v>
      </c>
      <c r="E113" s="28">
        <v>5</v>
      </c>
      <c r="F113" s="28" t="s">
        <v>549</v>
      </c>
      <c r="G113" s="119">
        <v>52.5</v>
      </c>
      <c r="H113" s="119">
        <f t="shared" si="27"/>
        <v>262.5</v>
      </c>
      <c r="I113" s="323">
        <v>3.5</v>
      </c>
      <c r="J113" s="214">
        <v>-3.26</v>
      </c>
      <c r="K113" s="215">
        <v>0</v>
      </c>
      <c r="L113" s="216">
        <v>0</v>
      </c>
      <c r="M113" s="221">
        <f t="shared" si="28"/>
        <v>-3.26</v>
      </c>
      <c r="N113" s="218">
        <v>0.5</v>
      </c>
      <c r="O113" s="219">
        <v>0.1</v>
      </c>
      <c r="P113" s="220">
        <v>0.1</v>
      </c>
      <c r="Q113" s="323">
        <f t="shared" si="29"/>
        <v>17.5</v>
      </c>
      <c r="R113" s="214">
        <f t="shared" si="30"/>
        <v>-16.299999999999997</v>
      </c>
      <c r="S113" s="215">
        <f t="shared" si="31"/>
        <v>0</v>
      </c>
      <c r="T113" s="216">
        <f t="shared" si="32"/>
        <v>0</v>
      </c>
      <c r="U113" s="221">
        <f t="shared" si="33"/>
        <v>-16.299999999999997</v>
      </c>
      <c r="V113" s="218">
        <f t="shared" si="34"/>
        <v>2.5</v>
      </c>
      <c r="W113" s="219">
        <f t="shared" si="35"/>
        <v>0.5</v>
      </c>
      <c r="X113" s="220">
        <f t="shared" si="36"/>
        <v>0.5</v>
      </c>
      <c r="Y113" s="14"/>
    </row>
    <row r="114" spans="1:25" ht="12" customHeight="1">
      <c r="A114" s="95"/>
      <c r="B114" s="86"/>
      <c r="C114" s="20" t="s">
        <v>219</v>
      </c>
      <c r="D114" s="20" t="s">
        <v>42</v>
      </c>
      <c r="E114" s="28">
        <v>5</v>
      </c>
      <c r="F114" s="28" t="s">
        <v>550</v>
      </c>
      <c r="G114" s="119">
        <v>52.5</v>
      </c>
      <c r="H114" s="119">
        <f t="shared" si="27"/>
        <v>262.5</v>
      </c>
      <c r="I114" s="323">
        <v>3.5</v>
      </c>
      <c r="J114" s="214">
        <v>-3.26</v>
      </c>
      <c r="K114" s="215">
        <v>0</v>
      </c>
      <c r="L114" s="216">
        <v>0</v>
      </c>
      <c r="M114" s="221">
        <f t="shared" si="28"/>
        <v>-3.26</v>
      </c>
      <c r="N114" s="218">
        <v>0.5</v>
      </c>
      <c r="O114" s="219">
        <v>0.1</v>
      </c>
      <c r="P114" s="220">
        <v>0.1</v>
      </c>
      <c r="Q114" s="323">
        <f t="shared" si="29"/>
        <v>17.5</v>
      </c>
      <c r="R114" s="214">
        <f t="shared" si="30"/>
        <v>-16.299999999999997</v>
      </c>
      <c r="S114" s="215">
        <f t="shared" si="31"/>
        <v>0</v>
      </c>
      <c r="T114" s="216">
        <f t="shared" si="32"/>
        <v>0</v>
      </c>
      <c r="U114" s="221">
        <f t="shared" si="33"/>
        <v>-16.299999999999997</v>
      </c>
      <c r="V114" s="218">
        <f t="shared" si="34"/>
        <v>2.5</v>
      </c>
      <c r="W114" s="219">
        <f t="shared" si="35"/>
        <v>0.5</v>
      </c>
      <c r="X114" s="220">
        <f t="shared" si="36"/>
        <v>0.5</v>
      </c>
      <c r="Y114" s="14"/>
    </row>
    <row r="115" spans="1:25" ht="12" customHeight="1">
      <c r="A115" s="95"/>
      <c r="B115" s="86"/>
      <c r="C115" s="20" t="s">
        <v>219</v>
      </c>
      <c r="D115" s="20" t="s">
        <v>42</v>
      </c>
      <c r="E115" s="28">
        <v>1</v>
      </c>
      <c r="F115" s="28" t="s">
        <v>551</v>
      </c>
      <c r="G115" s="119">
        <v>52.5</v>
      </c>
      <c r="H115" s="119">
        <f t="shared" si="27"/>
        <v>52.5</v>
      </c>
      <c r="I115" s="323">
        <v>3.5</v>
      </c>
      <c r="J115" s="214">
        <v>-4.79</v>
      </c>
      <c r="K115" s="215">
        <v>0</v>
      </c>
      <c r="L115" s="216">
        <v>0</v>
      </c>
      <c r="M115" s="221">
        <f t="shared" si="28"/>
        <v>-4.79</v>
      </c>
      <c r="N115" s="218">
        <v>0.5</v>
      </c>
      <c r="O115" s="219">
        <v>0.1</v>
      </c>
      <c r="P115" s="220">
        <v>0.1</v>
      </c>
      <c r="Q115" s="323">
        <f t="shared" si="29"/>
        <v>3.5</v>
      </c>
      <c r="R115" s="214">
        <f t="shared" si="30"/>
        <v>-4.79</v>
      </c>
      <c r="S115" s="215">
        <f t="shared" si="31"/>
        <v>0</v>
      </c>
      <c r="T115" s="216">
        <f t="shared" si="32"/>
        <v>0</v>
      </c>
      <c r="U115" s="221">
        <f t="shared" si="33"/>
        <v>-4.79</v>
      </c>
      <c r="V115" s="218">
        <f t="shared" si="34"/>
        <v>0.5</v>
      </c>
      <c r="W115" s="219">
        <f t="shared" si="35"/>
        <v>0.1</v>
      </c>
      <c r="X115" s="220">
        <f t="shared" si="36"/>
        <v>0.1</v>
      </c>
      <c r="Y115" s="14"/>
    </row>
    <row r="116" spans="1:25" ht="12" customHeight="1">
      <c r="A116" s="95"/>
      <c r="B116" s="86"/>
      <c r="C116" s="20" t="s">
        <v>219</v>
      </c>
      <c r="D116" s="20" t="s">
        <v>42</v>
      </c>
      <c r="E116" s="28">
        <v>4</v>
      </c>
      <c r="F116" s="28" t="s">
        <v>552</v>
      </c>
      <c r="G116" s="119">
        <v>52.5</v>
      </c>
      <c r="H116" s="119">
        <f t="shared" si="27"/>
        <v>210</v>
      </c>
      <c r="I116" s="323">
        <v>3.5</v>
      </c>
      <c r="J116" s="214">
        <v>-3.26</v>
      </c>
      <c r="K116" s="215">
        <v>0</v>
      </c>
      <c r="L116" s="216">
        <v>0</v>
      </c>
      <c r="M116" s="221">
        <f t="shared" si="28"/>
        <v>-3.26</v>
      </c>
      <c r="N116" s="218">
        <v>0.5</v>
      </c>
      <c r="O116" s="219">
        <v>0.1</v>
      </c>
      <c r="P116" s="220">
        <v>0.1</v>
      </c>
      <c r="Q116" s="323">
        <f t="shared" si="29"/>
        <v>14</v>
      </c>
      <c r="R116" s="214">
        <f t="shared" si="30"/>
        <v>-13.04</v>
      </c>
      <c r="S116" s="215">
        <f t="shared" si="31"/>
        <v>0</v>
      </c>
      <c r="T116" s="216">
        <f t="shared" si="32"/>
        <v>0</v>
      </c>
      <c r="U116" s="221">
        <f t="shared" si="33"/>
        <v>-13.04</v>
      </c>
      <c r="V116" s="218">
        <f t="shared" si="34"/>
        <v>2</v>
      </c>
      <c r="W116" s="219">
        <f t="shared" si="35"/>
        <v>0.4</v>
      </c>
      <c r="X116" s="220">
        <f t="shared" si="36"/>
        <v>0.4</v>
      </c>
      <c r="Y116" s="14"/>
    </row>
    <row r="117" spans="1:25" ht="14.25" customHeight="1">
      <c r="A117" s="95"/>
      <c r="B117" s="86"/>
      <c r="C117" s="20" t="s">
        <v>219</v>
      </c>
      <c r="D117" s="20" t="s">
        <v>42</v>
      </c>
      <c r="E117" s="28">
        <f>4+1</f>
        <v>5</v>
      </c>
      <c r="F117" s="28" t="s">
        <v>553</v>
      </c>
      <c r="G117" s="119">
        <v>52.5</v>
      </c>
      <c r="H117" s="119">
        <f t="shared" si="27"/>
        <v>262.5</v>
      </c>
      <c r="I117" s="323">
        <v>3.5</v>
      </c>
      <c r="J117" s="214">
        <v>-4.79</v>
      </c>
      <c r="K117" s="215">
        <v>0</v>
      </c>
      <c r="L117" s="216">
        <v>0</v>
      </c>
      <c r="M117" s="221">
        <f t="shared" si="28"/>
        <v>-4.79</v>
      </c>
      <c r="N117" s="218">
        <v>0.5</v>
      </c>
      <c r="O117" s="219">
        <v>0.1</v>
      </c>
      <c r="P117" s="220">
        <v>0.1</v>
      </c>
      <c r="Q117" s="323">
        <f t="shared" si="29"/>
        <v>17.5</v>
      </c>
      <c r="R117" s="214">
        <f t="shared" si="30"/>
        <v>-23.95</v>
      </c>
      <c r="S117" s="215">
        <f t="shared" si="31"/>
        <v>0</v>
      </c>
      <c r="T117" s="216">
        <f t="shared" si="32"/>
        <v>0</v>
      </c>
      <c r="U117" s="221">
        <f t="shared" si="33"/>
        <v>-23.95</v>
      </c>
      <c r="V117" s="218">
        <f t="shared" si="34"/>
        <v>2.5</v>
      </c>
      <c r="W117" s="219">
        <f t="shared" si="35"/>
        <v>0.5</v>
      </c>
      <c r="X117" s="220">
        <f t="shared" si="36"/>
        <v>0.5</v>
      </c>
      <c r="Y117" s="14"/>
    </row>
    <row r="118" spans="1:25" ht="12" customHeight="1">
      <c r="A118" s="95"/>
      <c r="B118" s="86"/>
      <c r="C118" s="20" t="s">
        <v>219</v>
      </c>
      <c r="D118" s="20" t="s">
        <v>42</v>
      </c>
      <c r="E118" s="28">
        <v>6</v>
      </c>
      <c r="F118" s="28" t="s">
        <v>554</v>
      </c>
      <c r="G118" s="119">
        <v>52.5</v>
      </c>
      <c r="H118" s="119">
        <f t="shared" si="27"/>
        <v>315</v>
      </c>
      <c r="I118" s="323">
        <v>3.5</v>
      </c>
      <c r="J118" s="214">
        <v>-3.26</v>
      </c>
      <c r="K118" s="215">
        <v>0</v>
      </c>
      <c r="L118" s="216">
        <v>0</v>
      </c>
      <c r="M118" s="221">
        <f t="shared" si="28"/>
        <v>-3.26</v>
      </c>
      <c r="N118" s="218">
        <v>0.5</v>
      </c>
      <c r="O118" s="219">
        <v>0.1</v>
      </c>
      <c r="P118" s="220">
        <v>0.1</v>
      </c>
      <c r="Q118" s="323">
        <f t="shared" si="29"/>
        <v>21</v>
      </c>
      <c r="R118" s="214">
        <f t="shared" si="30"/>
        <v>-19.559999999999999</v>
      </c>
      <c r="S118" s="215">
        <f t="shared" si="31"/>
        <v>0</v>
      </c>
      <c r="T118" s="216">
        <f t="shared" si="32"/>
        <v>0</v>
      </c>
      <c r="U118" s="221">
        <f t="shared" si="33"/>
        <v>-19.559999999999999</v>
      </c>
      <c r="V118" s="218">
        <f t="shared" si="34"/>
        <v>3</v>
      </c>
      <c r="W118" s="219">
        <f t="shared" si="35"/>
        <v>0.60000000000000009</v>
      </c>
      <c r="X118" s="220">
        <f t="shared" si="36"/>
        <v>0.60000000000000009</v>
      </c>
      <c r="Y118" s="14"/>
    </row>
    <row r="119" spans="1:25" ht="13.5" customHeight="1">
      <c r="A119" s="95"/>
      <c r="B119" s="86"/>
      <c r="C119" s="20" t="s">
        <v>219</v>
      </c>
      <c r="D119" s="20" t="s">
        <v>42</v>
      </c>
      <c r="E119" s="28">
        <v>2</v>
      </c>
      <c r="F119" s="28" t="s">
        <v>555</v>
      </c>
      <c r="G119" s="119">
        <v>52.5</v>
      </c>
      <c r="H119" s="119">
        <f t="shared" si="27"/>
        <v>105</v>
      </c>
      <c r="I119" s="323">
        <v>3.5</v>
      </c>
      <c r="J119" s="214">
        <v>-4.79</v>
      </c>
      <c r="K119" s="215">
        <v>0</v>
      </c>
      <c r="L119" s="216">
        <v>0</v>
      </c>
      <c r="M119" s="221">
        <f t="shared" si="28"/>
        <v>-4.79</v>
      </c>
      <c r="N119" s="218">
        <v>0.5</v>
      </c>
      <c r="O119" s="219">
        <v>0.1</v>
      </c>
      <c r="P119" s="220">
        <v>0.1</v>
      </c>
      <c r="Q119" s="323">
        <f t="shared" si="29"/>
        <v>7</v>
      </c>
      <c r="R119" s="214">
        <f t="shared" si="30"/>
        <v>-9.58</v>
      </c>
      <c r="S119" s="215">
        <f t="shared" si="31"/>
        <v>0</v>
      </c>
      <c r="T119" s="216">
        <f t="shared" si="32"/>
        <v>0</v>
      </c>
      <c r="U119" s="221">
        <f t="shared" si="33"/>
        <v>-9.58</v>
      </c>
      <c r="V119" s="218">
        <f t="shared" si="34"/>
        <v>1</v>
      </c>
      <c r="W119" s="219">
        <f t="shared" si="35"/>
        <v>0.2</v>
      </c>
      <c r="X119" s="220">
        <f t="shared" si="36"/>
        <v>0.2</v>
      </c>
      <c r="Y119" s="14"/>
    </row>
    <row r="120" spans="1:25" ht="12" customHeight="1">
      <c r="A120" s="95"/>
      <c r="B120" s="86"/>
      <c r="C120" s="20" t="s">
        <v>219</v>
      </c>
      <c r="D120" s="20" t="s">
        <v>42</v>
      </c>
      <c r="E120" s="28">
        <v>3</v>
      </c>
      <c r="F120" s="28" t="s">
        <v>556</v>
      </c>
      <c r="G120" s="119">
        <v>52.5</v>
      </c>
      <c r="H120" s="119">
        <f t="shared" si="27"/>
        <v>157.5</v>
      </c>
      <c r="I120" s="323">
        <v>3.5</v>
      </c>
      <c r="J120" s="214">
        <v>-3.26</v>
      </c>
      <c r="K120" s="215">
        <v>0</v>
      </c>
      <c r="L120" s="216">
        <v>0</v>
      </c>
      <c r="M120" s="221">
        <f t="shared" si="28"/>
        <v>-3.26</v>
      </c>
      <c r="N120" s="218">
        <v>0.5</v>
      </c>
      <c r="O120" s="219">
        <v>0.1</v>
      </c>
      <c r="P120" s="220">
        <v>0.1</v>
      </c>
      <c r="Q120" s="323">
        <f t="shared" si="29"/>
        <v>10.5</v>
      </c>
      <c r="R120" s="214">
        <f t="shared" si="30"/>
        <v>-9.7799999999999994</v>
      </c>
      <c r="S120" s="215">
        <f t="shared" si="31"/>
        <v>0</v>
      </c>
      <c r="T120" s="216">
        <f t="shared" si="32"/>
        <v>0</v>
      </c>
      <c r="U120" s="221">
        <f t="shared" si="33"/>
        <v>-9.7799999999999994</v>
      </c>
      <c r="V120" s="218">
        <f t="shared" si="34"/>
        <v>1.5</v>
      </c>
      <c r="W120" s="219">
        <f t="shared" si="35"/>
        <v>0.30000000000000004</v>
      </c>
      <c r="X120" s="220">
        <f t="shared" si="36"/>
        <v>0.30000000000000004</v>
      </c>
      <c r="Y120" s="14"/>
    </row>
    <row r="121" spans="1:25" ht="12" customHeight="1">
      <c r="A121" s="95"/>
      <c r="B121" s="86"/>
      <c r="C121" s="20" t="s">
        <v>219</v>
      </c>
      <c r="D121" s="20" t="s">
        <v>42</v>
      </c>
      <c r="E121" s="28">
        <v>3</v>
      </c>
      <c r="F121" s="28" t="s">
        <v>557</v>
      </c>
      <c r="G121" s="119">
        <v>52.5</v>
      </c>
      <c r="H121" s="119">
        <f t="shared" si="27"/>
        <v>157.5</v>
      </c>
      <c r="I121" s="323">
        <v>3.5</v>
      </c>
      <c r="J121" s="214">
        <v>-3.26</v>
      </c>
      <c r="K121" s="215">
        <v>0</v>
      </c>
      <c r="L121" s="216">
        <v>0</v>
      </c>
      <c r="M121" s="221">
        <f t="shared" si="28"/>
        <v>-3.26</v>
      </c>
      <c r="N121" s="218">
        <v>0.5</v>
      </c>
      <c r="O121" s="219">
        <v>0.1</v>
      </c>
      <c r="P121" s="220">
        <v>0.1</v>
      </c>
      <c r="Q121" s="323">
        <f t="shared" si="29"/>
        <v>10.5</v>
      </c>
      <c r="R121" s="214">
        <f t="shared" si="30"/>
        <v>-9.7799999999999994</v>
      </c>
      <c r="S121" s="215">
        <f t="shared" si="31"/>
        <v>0</v>
      </c>
      <c r="T121" s="216">
        <f t="shared" si="32"/>
        <v>0</v>
      </c>
      <c r="U121" s="221">
        <f t="shared" si="33"/>
        <v>-9.7799999999999994</v>
      </c>
      <c r="V121" s="218">
        <f t="shared" si="34"/>
        <v>1.5</v>
      </c>
      <c r="W121" s="219">
        <f t="shared" si="35"/>
        <v>0.30000000000000004</v>
      </c>
      <c r="X121" s="220">
        <f t="shared" si="36"/>
        <v>0.30000000000000004</v>
      </c>
      <c r="Y121" s="14"/>
    </row>
    <row r="122" spans="1:25" ht="12" customHeight="1">
      <c r="A122" s="95">
        <v>40441</v>
      </c>
      <c r="B122" s="86">
        <v>666</v>
      </c>
      <c r="C122" s="20" t="s">
        <v>219</v>
      </c>
      <c r="D122" s="20" t="s">
        <v>42</v>
      </c>
      <c r="E122" s="28">
        <v>3</v>
      </c>
      <c r="F122" s="28" t="s">
        <v>558</v>
      </c>
      <c r="G122" s="119">
        <v>52.5</v>
      </c>
      <c r="H122" s="119">
        <f t="shared" si="27"/>
        <v>157.5</v>
      </c>
      <c r="I122" s="323">
        <v>3.5</v>
      </c>
      <c r="J122" s="214">
        <v>-3.26</v>
      </c>
      <c r="K122" s="215">
        <v>0</v>
      </c>
      <c r="L122" s="216">
        <v>0</v>
      </c>
      <c r="M122" s="221">
        <f t="shared" si="28"/>
        <v>-3.26</v>
      </c>
      <c r="N122" s="218">
        <v>0.5</v>
      </c>
      <c r="O122" s="219">
        <v>0.1</v>
      </c>
      <c r="P122" s="220">
        <v>0.1</v>
      </c>
      <c r="Q122" s="323">
        <f t="shared" si="29"/>
        <v>10.5</v>
      </c>
      <c r="R122" s="214">
        <f t="shared" si="30"/>
        <v>-9.7799999999999994</v>
      </c>
      <c r="S122" s="215">
        <f t="shared" si="31"/>
        <v>0</v>
      </c>
      <c r="T122" s="216">
        <f t="shared" si="32"/>
        <v>0</v>
      </c>
      <c r="U122" s="221">
        <f t="shared" si="33"/>
        <v>-9.7799999999999994</v>
      </c>
      <c r="V122" s="218">
        <f t="shared" si="34"/>
        <v>1.5</v>
      </c>
      <c r="W122" s="219">
        <f t="shared" si="35"/>
        <v>0.30000000000000004</v>
      </c>
      <c r="X122" s="220">
        <f t="shared" si="36"/>
        <v>0.30000000000000004</v>
      </c>
      <c r="Y122" s="14"/>
    </row>
    <row r="123" spans="1:25" ht="13.5" customHeight="1">
      <c r="A123" s="95"/>
      <c r="B123" s="86"/>
      <c r="C123" s="20" t="s">
        <v>219</v>
      </c>
      <c r="D123" s="20" t="s">
        <v>42</v>
      </c>
      <c r="E123" s="28">
        <v>4</v>
      </c>
      <c r="F123" s="28" t="s">
        <v>559</v>
      </c>
      <c r="G123" s="119">
        <v>52.5</v>
      </c>
      <c r="H123" s="119">
        <f t="shared" si="27"/>
        <v>210</v>
      </c>
      <c r="I123" s="323">
        <v>3.5</v>
      </c>
      <c r="J123" s="214">
        <v>-4.79</v>
      </c>
      <c r="K123" s="215">
        <v>0</v>
      </c>
      <c r="L123" s="216">
        <v>0</v>
      </c>
      <c r="M123" s="221">
        <f t="shared" si="28"/>
        <v>-4.79</v>
      </c>
      <c r="N123" s="218">
        <v>0.5</v>
      </c>
      <c r="O123" s="219">
        <v>0.1</v>
      </c>
      <c r="P123" s="220">
        <v>0.1</v>
      </c>
      <c r="Q123" s="323">
        <f t="shared" si="29"/>
        <v>14</v>
      </c>
      <c r="R123" s="214">
        <f t="shared" si="30"/>
        <v>-19.16</v>
      </c>
      <c r="S123" s="215">
        <f t="shared" si="31"/>
        <v>0</v>
      </c>
      <c r="T123" s="216">
        <f t="shared" si="32"/>
        <v>0</v>
      </c>
      <c r="U123" s="221">
        <f t="shared" si="33"/>
        <v>-19.16</v>
      </c>
      <c r="V123" s="218">
        <f t="shared" si="34"/>
        <v>2</v>
      </c>
      <c r="W123" s="219">
        <f t="shared" si="35"/>
        <v>0.4</v>
      </c>
      <c r="X123" s="220">
        <f t="shared" si="36"/>
        <v>0.4</v>
      </c>
      <c r="Y123" s="14"/>
    </row>
    <row r="124" spans="1:25" ht="12" customHeight="1">
      <c r="A124" s="95"/>
      <c r="B124" s="86"/>
      <c r="C124" s="20" t="s">
        <v>219</v>
      </c>
      <c r="D124" s="20" t="s">
        <v>42</v>
      </c>
      <c r="E124" s="28">
        <v>3</v>
      </c>
      <c r="F124" s="28" t="s">
        <v>560</v>
      </c>
      <c r="G124" s="119">
        <v>52.5</v>
      </c>
      <c r="H124" s="119">
        <f t="shared" si="27"/>
        <v>157.5</v>
      </c>
      <c r="I124" s="323">
        <v>3.5</v>
      </c>
      <c r="J124" s="214">
        <v>-3.26</v>
      </c>
      <c r="K124" s="215">
        <v>0</v>
      </c>
      <c r="L124" s="216">
        <v>0</v>
      </c>
      <c r="M124" s="221">
        <f t="shared" si="28"/>
        <v>-3.26</v>
      </c>
      <c r="N124" s="218">
        <v>0.5</v>
      </c>
      <c r="O124" s="219">
        <v>0.1</v>
      </c>
      <c r="P124" s="220">
        <v>0.1</v>
      </c>
      <c r="Q124" s="323">
        <f t="shared" si="29"/>
        <v>10.5</v>
      </c>
      <c r="R124" s="214">
        <f t="shared" si="30"/>
        <v>-9.7799999999999994</v>
      </c>
      <c r="S124" s="215">
        <f t="shared" si="31"/>
        <v>0</v>
      </c>
      <c r="T124" s="216">
        <f t="shared" si="32"/>
        <v>0</v>
      </c>
      <c r="U124" s="221">
        <f t="shared" si="33"/>
        <v>-9.7799999999999994</v>
      </c>
      <c r="V124" s="218">
        <f t="shared" si="34"/>
        <v>1.5</v>
      </c>
      <c r="W124" s="219">
        <f t="shared" si="35"/>
        <v>0.30000000000000004</v>
      </c>
      <c r="X124" s="220">
        <f t="shared" si="36"/>
        <v>0.30000000000000004</v>
      </c>
      <c r="Y124" s="14"/>
    </row>
    <row r="125" spans="1:25" ht="12" customHeight="1">
      <c r="A125" s="95"/>
      <c r="B125" s="86"/>
      <c r="C125" s="20" t="s">
        <v>219</v>
      </c>
      <c r="D125" s="20" t="s">
        <v>42</v>
      </c>
      <c r="E125" s="28">
        <v>4</v>
      </c>
      <c r="F125" s="28" t="s">
        <v>561</v>
      </c>
      <c r="G125" s="119">
        <v>52.5</v>
      </c>
      <c r="H125" s="119">
        <f t="shared" si="27"/>
        <v>210</v>
      </c>
      <c r="I125" s="323">
        <v>3.5</v>
      </c>
      <c r="J125" s="214">
        <v>-4.79</v>
      </c>
      <c r="K125" s="215">
        <v>0</v>
      </c>
      <c r="L125" s="216">
        <v>0</v>
      </c>
      <c r="M125" s="221">
        <f t="shared" si="28"/>
        <v>-4.79</v>
      </c>
      <c r="N125" s="218">
        <v>0.5</v>
      </c>
      <c r="O125" s="219">
        <v>0.1</v>
      </c>
      <c r="P125" s="220">
        <v>0.1</v>
      </c>
      <c r="Q125" s="323">
        <f t="shared" si="29"/>
        <v>14</v>
      </c>
      <c r="R125" s="214">
        <f t="shared" si="30"/>
        <v>-19.16</v>
      </c>
      <c r="S125" s="215">
        <f t="shared" si="31"/>
        <v>0</v>
      </c>
      <c r="T125" s="216">
        <f t="shared" si="32"/>
        <v>0</v>
      </c>
      <c r="U125" s="221">
        <f t="shared" si="33"/>
        <v>-19.16</v>
      </c>
      <c r="V125" s="218">
        <f t="shared" si="34"/>
        <v>2</v>
      </c>
      <c r="W125" s="219">
        <f t="shared" si="35"/>
        <v>0.4</v>
      </c>
      <c r="X125" s="220">
        <f t="shared" si="36"/>
        <v>0.4</v>
      </c>
      <c r="Y125" s="14"/>
    </row>
    <row r="126" spans="1:25" ht="12" customHeight="1">
      <c r="A126" s="95"/>
      <c r="B126" s="86"/>
      <c r="C126" s="20" t="s">
        <v>219</v>
      </c>
      <c r="D126" s="20" t="s">
        <v>42</v>
      </c>
      <c r="E126" s="28">
        <v>4</v>
      </c>
      <c r="F126" s="28" t="s">
        <v>562</v>
      </c>
      <c r="G126" s="119">
        <v>52.5</v>
      </c>
      <c r="H126" s="119">
        <f t="shared" si="27"/>
        <v>210</v>
      </c>
      <c r="I126" s="323">
        <v>3.5</v>
      </c>
      <c r="J126" s="214">
        <v>-3.26</v>
      </c>
      <c r="K126" s="215">
        <v>0</v>
      </c>
      <c r="L126" s="216">
        <v>0</v>
      </c>
      <c r="M126" s="221">
        <f t="shared" si="28"/>
        <v>-3.26</v>
      </c>
      <c r="N126" s="218">
        <v>0.5</v>
      </c>
      <c r="O126" s="219">
        <v>0.1</v>
      </c>
      <c r="P126" s="220">
        <v>0.1</v>
      </c>
      <c r="Q126" s="323">
        <f t="shared" si="29"/>
        <v>14</v>
      </c>
      <c r="R126" s="214">
        <f t="shared" si="30"/>
        <v>-13.04</v>
      </c>
      <c r="S126" s="215">
        <f t="shared" si="31"/>
        <v>0</v>
      </c>
      <c r="T126" s="216">
        <f t="shared" si="32"/>
        <v>0</v>
      </c>
      <c r="U126" s="221">
        <f t="shared" si="33"/>
        <v>-13.04</v>
      </c>
      <c r="V126" s="218">
        <f t="shared" si="34"/>
        <v>2</v>
      </c>
      <c r="W126" s="219">
        <f t="shared" si="35"/>
        <v>0.4</v>
      </c>
      <c r="X126" s="220">
        <f t="shared" si="36"/>
        <v>0.4</v>
      </c>
      <c r="Y126" s="14"/>
    </row>
    <row r="127" spans="1:25" ht="14.25" customHeight="1">
      <c r="A127" s="95"/>
      <c r="B127" s="86"/>
      <c r="C127" s="20" t="s">
        <v>219</v>
      </c>
      <c r="D127" s="20" t="s">
        <v>42</v>
      </c>
      <c r="E127" s="28">
        <v>5</v>
      </c>
      <c r="F127" s="28" t="s">
        <v>563</v>
      </c>
      <c r="G127" s="119">
        <v>52.5</v>
      </c>
      <c r="H127" s="119">
        <f t="shared" si="27"/>
        <v>262.5</v>
      </c>
      <c r="I127" s="323">
        <v>3.5</v>
      </c>
      <c r="J127" s="214">
        <v>-4.79</v>
      </c>
      <c r="K127" s="215">
        <v>0</v>
      </c>
      <c r="L127" s="216">
        <v>0</v>
      </c>
      <c r="M127" s="221">
        <f t="shared" si="28"/>
        <v>-4.79</v>
      </c>
      <c r="N127" s="218">
        <v>0.5</v>
      </c>
      <c r="O127" s="219">
        <v>0.1</v>
      </c>
      <c r="P127" s="220">
        <v>0.1</v>
      </c>
      <c r="Q127" s="323">
        <f t="shared" si="29"/>
        <v>17.5</v>
      </c>
      <c r="R127" s="214">
        <f t="shared" si="30"/>
        <v>-23.95</v>
      </c>
      <c r="S127" s="215">
        <f t="shared" si="31"/>
        <v>0</v>
      </c>
      <c r="T127" s="216">
        <f t="shared" si="32"/>
        <v>0</v>
      </c>
      <c r="U127" s="221">
        <f t="shared" si="33"/>
        <v>-23.95</v>
      </c>
      <c r="V127" s="218">
        <f t="shared" si="34"/>
        <v>2.5</v>
      </c>
      <c r="W127" s="219">
        <f t="shared" si="35"/>
        <v>0.5</v>
      </c>
      <c r="X127" s="220">
        <f t="shared" si="36"/>
        <v>0.5</v>
      </c>
      <c r="Y127" s="14"/>
    </row>
    <row r="128" spans="1:25" ht="12" customHeight="1">
      <c r="A128" s="95"/>
      <c r="B128" s="86"/>
      <c r="C128" s="20" t="s">
        <v>219</v>
      </c>
      <c r="D128" s="20" t="s">
        <v>42</v>
      </c>
      <c r="E128" s="28">
        <v>2</v>
      </c>
      <c r="F128" s="28" t="s">
        <v>564</v>
      </c>
      <c r="G128" s="119">
        <v>52.5</v>
      </c>
      <c r="H128" s="119">
        <f t="shared" si="27"/>
        <v>105</v>
      </c>
      <c r="I128" s="323">
        <v>3.5</v>
      </c>
      <c r="J128" s="214">
        <v>-3.26</v>
      </c>
      <c r="K128" s="215">
        <v>0</v>
      </c>
      <c r="L128" s="216">
        <v>0</v>
      </c>
      <c r="M128" s="221">
        <f t="shared" si="28"/>
        <v>-3.26</v>
      </c>
      <c r="N128" s="218">
        <v>0.5</v>
      </c>
      <c r="O128" s="219">
        <v>0.1</v>
      </c>
      <c r="P128" s="220">
        <v>0.1</v>
      </c>
      <c r="Q128" s="323">
        <f t="shared" si="29"/>
        <v>7</v>
      </c>
      <c r="R128" s="214">
        <f t="shared" si="30"/>
        <v>-6.52</v>
      </c>
      <c r="S128" s="215">
        <f t="shared" si="31"/>
        <v>0</v>
      </c>
      <c r="T128" s="216">
        <f t="shared" si="32"/>
        <v>0</v>
      </c>
      <c r="U128" s="221">
        <f t="shared" si="33"/>
        <v>-6.52</v>
      </c>
      <c r="V128" s="218">
        <f t="shared" si="34"/>
        <v>1</v>
      </c>
      <c r="W128" s="219">
        <f t="shared" si="35"/>
        <v>0.2</v>
      </c>
      <c r="X128" s="220">
        <f t="shared" si="36"/>
        <v>0.2</v>
      </c>
      <c r="Y128" s="14"/>
    </row>
    <row r="129" spans="1:25" ht="13.5" customHeight="1">
      <c r="A129" s="95"/>
      <c r="B129" s="86"/>
      <c r="C129" s="20" t="s">
        <v>219</v>
      </c>
      <c r="D129" s="20" t="s">
        <v>42</v>
      </c>
      <c r="E129" s="28">
        <v>6</v>
      </c>
      <c r="F129" s="28" t="s">
        <v>565</v>
      </c>
      <c r="G129" s="119">
        <v>52.5</v>
      </c>
      <c r="H129" s="119">
        <f t="shared" si="27"/>
        <v>315</v>
      </c>
      <c r="I129" s="323">
        <v>3.5</v>
      </c>
      <c r="J129" s="214">
        <v>-4.79</v>
      </c>
      <c r="K129" s="215">
        <v>0</v>
      </c>
      <c r="L129" s="216">
        <v>0</v>
      </c>
      <c r="M129" s="221">
        <f t="shared" si="28"/>
        <v>-4.79</v>
      </c>
      <c r="N129" s="218">
        <v>0.5</v>
      </c>
      <c r="O129" s="219">
        <v>0.1</v>
      </c>
      <c r="P129" s="220">
        <v>0.1</v>
      </c>
      <c r="Q129" s="323">
        <f t="shared" si="29"/>
        <v>21</v>
      </c>
      <c r="R129" s="214">
        <f t="shared" si="30"/>
        <v>-28.740000000000002</v>
      </c>
      <c r="S129" s="215">
        <f t="shared" si="31"/>
        <v>0</v>
      </c>
      <c r="T129" s="216">
        <f t="shared" si="32"/>
        <v>0</v>
      </c>
      <c r="U129" s="221">
        <f t="shared" si="33"/>
        <v>-28.740000000000002</v>
      </c>
      <c r="V129" s="218">
        <f t="shared" si="34"/>
        <v>3</v>
      </c>
      <c r="W129" s="219">
        <f t="shared" si="35"/>
        <v>0.60000000000000009</v>
      </c>
      <c r="X129" s="220">
        <f t="shared" si="36"/>
        <v>0.60000000000000009</v>
      </c>
      <c r="Y129" s="14"/>
    </row>
    <row r="130" spans="1:25" ht="12" customHeight="1">
      <c r="A130" s="95"/>
      <c r="B130" s="86"/>
      <c r="C130" s="20" t="s">
        <v>219</v>
      </c>
      <c r="D130" s="20" t="s">
        <v>42</v>
      </c>
      <c r="E130" s="28">
        <v>2</v>
      </c>
      <c r="F130" s="28" t="s">
        <v>566</v>
      </c>
      <c r="G130" s="119">
        <v>52.5</v>
      </c>
      <c r="H130" s="119">
        <f t="shared" si="27"/>
        <v>105</v>
      </c>
      <c r="I130" s="323">
        <v>3.5</v>
      </c>
      <c r="J130" s="214">
        <v>-3.26</v>
      </c>
      <c r="K130" s="215">
        <v>0</v>
      </c>
      <c r="L130" s="216">
        <v>0</v>
      </c>
      <c r="M130" s="221">
        <f t="shared" si="28"/>
        <v>-3.26</v>
      </c>
      <c r="N130" s="218">
        <v>0.5</v>
      </c>
      <c r="O130" s="219">
        <v>0.1</v>
      </c>
      <c r="P130" s="220">
        <v>0.1</v>
      </c>
      <c r="Q130" s="323">
        <f t="shared" si="29"/>
        <v>7</v>
      </c>
      <c r="R130" s="214">
        <f t="shared" si="30"/>
        <v>-6.52</v>
      </c>
      <c r="S130" s="215">
        <f t="shared" si="31"/>
        <v>0</v>
      </c>
      <c r="T130" s="216">
        <f t="shared" si="32"/>
        <v>0</v>
      </c>
      <c r="U130" s="221">
        <f t="shared" si="33"/>
        <v>-6.52</v>
      </c>
      <c r="V130" s="218">
        <f t="shared" si="34"/>
        <v>1</v>
      </c>
      <c r="W130" s="219">
        <f t="shared" si="35"/>
        <v>0.2</v>
      </c>
      <c r="X130" s="220">
        <f t="shared" si="36"/>
        <v>0.2</v>
      </c>
      <c r="Y130" s="14"/>
    </row>
    <row r="131" spans="1:25" ht="12" customHeight="1">
      <c r="A131" s="95"/>
      <c r="B131" s="86"/>
      <c r="C131" s="20" t="s">
        <v>219</v>
      </c>
      <c r="D131" s="20" t="s">
        <v>42</v>
      </c>
      <c r="E131" s="28">
        <v>6</v>
      </c>
      <c r="F131" s="28" t="s">
        <v>567</v>
      </c>
      <c r="G131" s="119">
        <v>52.5</v>
      </c>
      <c r="H131" s="119">
        <f t="shared" si="27"/>
        <v>315</v>
      </c>
      <c r="I131" s="323">
        <v>3.5</v>
      </c>
      <c r="J131" s="214">
        <v>-4.79</v>
      </c>
      <c r="K131" s="215">
        <v>0</v>
      </c>
      <c r="L131" s="216">
        <v>0</v>
      </c>
      <c r="M131" s="221">
        <f t="shared" si="28"/>
        <v>-4.79</v>
      </c>
      <c r="N131" s="218">
        <v>0.5</v>
      </c>
      <c r="O131" s="219">
        <v>0.1</v>
      </c>
      <c r="P131" s="220">
        <v>0.1</v>
      </c>
      <c r="Q131" s="323">
        <f t="shared" si="29"/>
        <v>21</v>
      </c>
      <c r="R131" s="214">
        <f t="shared" si="30"/>
        <v>-28.740000000000002</v>
      </c>
      <c r="S131" s="215">
        <f t="shared" si="31"/>
        <v>0</v>
      </c>
      <c r="T131" s="216">
        <f t="shared" si="32"/>
        <v>0</v>
      </c>
      <c r="U131" s="221">
        <f t="shared" si="33"/>
        <v>-28.740000000000002</v>
      </c>
      <c r="V131" s="218">
        <f t="shared" si="34"/>
        <v>3</v>
      </c>
      <c r="W131" s="219">
        <f t="shared" si="35"/>
        <v>0.60000000000000009</v>
      </c>
      <c r="X131" s="220">
        <f t="shared" si="36"/>
        <v>0.60000000000000009</v>
      </c>
      <c r="Y131" s="14"/>
    </row>
    <row r="132" spans="1:25" ht="12" customHeight="1">
      <c r="A132" s="95"/>
      <c r="B132" s="86"/>
      <c r="C132" s="20" t="s">
        <v>219</v>
      </c>
      <c r="D132" s="20" t="s">
        <v>42</v>
      </c>
      <c r="E132" s="28">
        <v>1</v>
      </c>
      <c r="F132" s="28" t="s">
        <v>568</v>
      </c>
      <c r="G132" s="119">
        <v>52.5</v>
      </c>
      <c r="H132" s="119">
        <f t="shared" si="27"/>
        <v>52.5</v>
      </c>
      <c r="I132" s="323">
        <v>3.5</v>
      </c>
      <c r="J132" s="214">
        <v>-3.26</v>
      </c>
      <c r="K132" s="215">
        <v>0</v>
      </c>
      <c r="L132" s="216">
        <v>0</v>
      </c>
      <c r="M132" s="221">
        <f t="shared" si="28"/>
        <v>-3.26</v>
      </c>
      <c r="N132" s="218">
        <v>0.5</v>
      </c>
      <c r="O132" s="219">
        <v>0.1</v>
      </c>
      <c r="P132" s="220">
        <v>0.1</v>
      </c>
      <c r="Q132" s="323">
        <f t="shared" si="29"/>
        <v>3.5</v>
      </c>
      <c r="R132" s="214">
        <f t="shared" si="30"/>
        <v>-3.26</v>
      </c>
      <c r="S132" s="215">
        <f t="shared" si="31"/>
        <v>0</v>
      </c>
      <c r="T132" s="216">
        <f t="shared" si="32"/>
        <v>0</v>
      </c>
      <c r="U132" s="221">
        <f t="shared" si="33"/>
        <v>-3.26</v>
      </c>
      <c r="V132" s="218">
        <f t="shared" si="34"/>
        <v>0.5</v>
      </c>
      <c r="W132" s="219">
        <f t="shared" si="35"/>
        <v>0.1</v>
      </c>
      <c r="X132" s="220">
        <f t="shared" si="36"/>
        <v>0.1</v>
      </c>
      <c r="Y132" s="14"/>
    </row>
    <row r="133" spans="1:25" ht="12" customHeight="1">
      <c r="A133" s="95"/>
      <c r="B133" s="86"/>
      <c r="C133" s="20" t="s">
        <v>219</v>
      </c>
      <c r="D133" s="20" t="s">
        <v>42</v>
      </c>
      <c r="E133" s="28">
        <v>5</v>
      </c>
      <c r="F133" s="28" t="s">
        <v>569</v>
      </c>
      <c r="G133" s="119">
        <v>52.5</v>
      </c>
      <c r="H133" s="119">
        <f t="shared" si="27"/>
        <v>262.5</v>
      </c>
      <c r="I133" s="323">
        <v>3.5</v>
      </c>
      <c r="J133" s="214">
        <v>-4.79</v>
      </c>
      <c r="K133" s="215">
        <v>0</v>
      </c>
      <c r="L133" s="216">
        <v>0</v>
      </c>
      <c r="M133" s="221">
        <f>J133+K133</f>
        <v>-4.79</v>
      </c>
      <c r="N133" s="218">
        <v>0.5</v>
      </c>
      <c r="O133" s="219">
        <v>0.1</v>
      </c>
      <c r="P133" s="220">
        <v>0.1</v>
      </c>
      <c r="Q133" s="323">
        <f t="shared" si="29"/>
        <v>17.5</v>
      </c>
      <c r="R133" s="214">
        <f t="shared" si="30"/>
        <v>-23.95</v>
      </c>
      <c r="S133" s="215">
        <f t="shared" si="31"/>
        <v>0</v>
      </c>
      <c r="T133" s="216">
        <f t="shared" si="32"/>
        <v>0</v>
      </c>
      <c r="U133" s="221">
        <f t="shared" si="33"/>
        <v>-23.95</v>
      </c>
      <c r="V133" s="218">
        <f t="shared" si="34"/>
        <v>2.5</v>
      </c>
      <c r="W133" s="219">
        <f t="shared" si="35"/>
        <v>0.5</v>
      </c>
      <c r="X133" s="220">
        <f t="shared" si="36"/>
        <v>0.5</v>
      </c>
      <c r="Y133" s="14"/>
    </row>
    <row r="134" spans="1:25" ht="12" customHeight="1">
      <c r="A134" s="95">
        <v>40442</v>
      </c>
      <c r="B134" s="86">
        <v>667</v>
      </c>
      <c r="C134" s="20" t="s">
        <v>570</v>
      </c>
      <c r="D134" s="20" t="s">
        <v>245</v>
      </c>
      <c r="E134" s="28">
        <v>12</v>
      </c>
      <c r="F134" s="28" t="s">
        <v>571</v>
      </c>
      <c r="G134" s="119">
        <v>36</v>
      </c>
      <c r="H134" s="119">
        <f t="shared" si="27"/>
        <v>432</v>
      </c>
      <c r="I134" s="323">
        <v>3.5</v>
      </c>
      <c r="J134" s="214">
        <v>7.27</v>
      </c>
      <c r="K134" s="215">
        <v>1.4</v>
      </c>
      <c r="L134" s="216">
        <v>0.21</v>
      </c>
      <c r="M134" s="221">
        <f t="shared" si="28"/>
        <v>8.67</v>
      </c>
      <c r="N134" s="218">
        <v>0.33</v>
      </c>
      <c r="O134" s="219">
        <v>0.1</v>
      </c>
      <c r="P134" s="220">
        <v>0.1</v>
      </c>
      <c r="Q134" s="323">
        <f t="shared" si="29"/>
        <v>42</v>
      </c>
      <c r="R134" s="214">
        <f t="shared" si="30"/>
        <v>87.24</v>
      </c>
      <c r="S134" s="215">
        <f t="shared" si="31"/>
        <v>16.799999999999997</v>
      </c>
      <c r="T134" s="216">
        <f t="shared" si="32"/>
        <v>2.52</v>
      </c>
      <c r="U134" s="221">
        <f t="shared" si="33"/>
        <v>104.03999999999999</v>
      </c>
      <c r="V134" s="218">
        <f t="shared" si="34"/>
        <v>3.96</v>
      </c>
      <c r="W134" s="219">
        <f t="shared" si="35"/>
        <v>1.2000000000000002</v>
      </c>
      <c r="X134" s="220">
        <f t="shared" si="36"/>
        <v>1.2000000000000002</v>
      </c>
      <c r="Y134" s="14"/>
    </row>
    <row r="135" spans="1:25" ht="12" customHeight="1">
      <c r="A135" s="95"/>
      <c r="B135" s="86"/>
      <c r="C135" s="20" t="s">
        <v>570</v>
      </c>
      <c r="D135" s="20" t="s">
        <v>245</v>
      </c>
      <c r="E135" s="28">
        <f>20+1</f>
        <v>21</v>
      </c>
      <c r="F135" s="28" t="s">
        <v>572</v>
      </c>
      <c r="G135" s="119">
        <v>36</v>
      </c>
      <c r="H135" s="119">
        <f t="shared" si="27"/>
        <v>756</v>
      </c>
      <c r="I135" s="323">
        <v>3.5</v>
      </c>
      <c r="J135" s="214">
        <v>2.0299999999999998</v>
      </c>
      <c r="K135" s="215">
        <v>1.4</v>
      </c>
      <c r="L135" s="216">
        <v>0.21</v>
      </c>
      <c r="M135" s="221">
        <f t="shared" si="28"/>
        <v>3.4299999999999997</v>
      </c>
      <c r="N135" s="218">
        <v>0.33</v>
      </c>
      <c r="O135" s="219">
        <v>0.1</v>
      </c>
      <c r="P135" s="220">
        <v>0.1</v>
      </c>
      <c r="Q135" s="323">
        <f t="shared" si="29"/>
        <v>73.5</v>
      </c>
      <c r="R135" s="214">
        <f t="shared" si="30"/>
        <v>42.629999999999995</v>
      </c>
      <c r="S135" s="215">
        <f t="shared" si="31"/>
        <v>29.4</v>
      </c>
      <c r="T135" s="216">
        <f t="shared" si="32"/>
        <v>4.41</v>
      </c>
      <c r="U135" s="221">
        <f t="shared" si="33"/>
        <v>72.03</v>
      </c>
      <c r="V135" s="218">
        <f t="shared" si="34"/>
        <v>6.9300000000000006</v>
      </c>
      <c r="W135" s="219">
        <f t="shared" si="35"/>
        <v>2.1</v>
      </c>
      <c r="X135" s="220">
        <f t="shared" si="36"/>
        <v>2.1</v>
      </c>
      <c r="Y135" s="14"/>
    </row>
    <row r="136" spans="1:25" ht="12" customHeight="1">
      <c r="A136" s="95"/>
      <c r="B136" s="86"/>
      <c r="C136" s="20" t="s">
        <v>570</v>
      </c>
      <c r="D136" s="20" t="s">
        <v>245</v>
      </c>
      <c r="E136" s="28">
        <f>8+1</f>
        <v>9</v>
      </c>
      <c r="F136" s="28" t="s">
        <v>573</v>
      </c>
      <c r="G136" s="119">
        <v>36</v>
      </c>
      <c r="H136" s="119">
        <f t="shared" si="27"/>
        <v>324</v>
      </c>
      <c r="I136" s="323">
        <v>3.5</v>
      </c>
      <c r="J136" s="214">
        <v>7.27</v>
      </c>
      <c r="K136" s="215">
        <v>1.4</v>
      </c>
      <c r="L136" s="216">
        <v>0.21</v>
      </c>
      <c r="M136" s="221">
        <f t="shared" si="28"/>
        <v>8.67</v>
      </c>
      <c r="N136" s="218">
        <v>0.33</v>
      </c>
      <c r="O136" s="219">
        <v>0.1</v>
      </c>
      <c r="P136" s="220">
        <v>0.1</v>
      </c>
      <c r="Q136" s="323">
        <f t="shared" ref="Q136:Q165" si="37">E136*I136</f>
        <v>31.5</v>
      </c>
      <c r="R136" s="214">
        <f t="shared" ref="R136:R165" si="38">E136*J136</f>
        <v>65.429999999999993</v>
      </c>
      <c r="S136" s="215">
        <f t="shared" ref="S136:S165" si="39">E136*K136</f>
        <v>12.6</v>
      </c>
      <c r="T136" s="216">
        <f t="shared" ref="T136:T165" si="40">E136*L136</f>
        <v>1.89</v>
      </c>
      <c r="U136" s="221">
        <f t="shared" ref="U136:U165" si="41">E136*M136</f>
        <v>78.03</v>
      </c>
      <c r="V136" s="218">
        <f t="shared" ref="V136:V165" si="42">N136*E136</f>
        <v>2.97</v>
      </c>
      <c r="W136" s="219">
        <f t="shared" ref="W136:W165" si="43">O136*E136</f>
        <v>0.9</v>
      </c>
      <c r="X136" s="220">
        <f t="shared" ref="X136:X165" si="44">P136*E136</f>
        <v>0.9</v>
      </c>
      <c r="Y136" s="14"/>
    </row>
    <row r="137" spans="1:25" ht="12" customHeight="1">
      <c r="A137" s="95"/>
      <c r="B137" s="86"/>
      <c r="C137" s="20" t="s">
        <v>570</v>
      </c>
      <c r="D137" s="20" t="s">
        <v>245</v>
      </c>
      <c r="E137" s="28">
        <v>15</v>
      </c>
      <c r="F137" s="28" t="s">
        <v>574</v>
      </c>
      <c r="G137" s="119">
        <v>36</v>
      </c>
      <c r="H137" s="119">
        <f t="shared" si="27"/>
        <v>540</v>
      </c>
      <c r="I137" s="323">
        <v>3.5</v>
      </c>
      <c r="J137" s="214">
        <v>2.0299999999999998</v>
      </c>
      <c r="K137" s="215">
        <v>1.4</v>
      </c>
      <c r="L137" s="216">
        <v>0.21</v>
      </c>
      <c r="M137" s="221">
        <f t="shared" si="28"/>
        <v>3.4299999999999997</v>
      </c>
      <c r="N137" s="218">
        <v>0.33</v>
      </c>
      <c r="O137" s="219">
        <v>0.1</v>
      </c>
      <c r="P137" s="220">
        <v>0.1</v>
      </c>
      <c r="Q137" s="323">
        <f t="shared" si="37"/>
        <v>52.5</v>
      </c>
      <c r="R137" s="214">
        <f t="shared" si="38"/>
        <v>30.449999999999996</v>
      </c>
      <c r="S137" s="215">
        <f t="shared" si="39"/>
        <v>21</v>
      </c>
      <c r="T137" s="216">
        <f t="shared" si="40"/>
        <v>3.15</v>
      </c>
      <c r="U137" s="221">
        <f t="shared" si="41"/>
        <v>51.449999999999996</v>
      </c>
      <c r="V137" s="218">
        <f t="shared" si="42"/>
        <v>4.95</v>
      </c>
      <c r="W137" s="219">
        <f t="shared" si="43"/>
        <v>1.5</v>
      </c>
      <c r="X137" s="220">
        <f t="shared" si="44"/>
        <v>1.5</v>
      </c>
      <c r="Y137" s="14"/>
    </row>
    <row r="138" spans="1:25" ht="12" customHeight="1">
      <c r="A138" s="95"/>
      <c r="B138" s="86"/>
      <c r="C138" s="20" t="s">
        <v>570</v>
      </c>
      <c r="D138" s="20" t="s">
        <v>245</v>
      </c>
      <c r="E138" s="28">
        <v>3</v>
      </c>
      <c r="F138" s="28" t="s">
        <v>575</v>
      </c>
      <c r="G138" s="119">
        <v>36</v>
      </c>
      <c r="H138" s="119">
        <f t="shared" ref="H138:H195" si="45">E138*G138</f>
        <v>108</v>
      </c>
      <c r="I138" s="323">
        <v>3.5</v>
      </c>
      <c r="J138" s="214">
        <v>7.27</v>
      </c>
      <c r="K138" s="215">
        <v>1.4</v>
      </c>
      <c r="L138" s="216">
        <v>0.21</v>
      </c>
      <c r="M138" s="221">
        <f t="shared" si="28"/>
        <v>8.67</v>
      </c>
      <c r="N138" s="218">
        <v>0.33</v>
      </c>
      <c r="O138" s="219">
        <v>0.1</v>
      </c>
      <c r="P138" s="220">
        <v>0.1</v>
      </c>
      <c r="Q138" s="323">
        <f t="shared" si="37"/>
        <v>10.5</v>
      </c>
      <c r="R138" s="214">
        <f t="shared" si="38"/>
        <v>21.81</v>
      </c>
      <c r="S138" s="215">
        <f t="shared" si="39"/>
        <v>4.1999999999999993</v>
      </c>
      <c r="T138" s="216">
        <f t="shared" si="40"/>
        <v>0.63</v>
      </c>
      <c r="U138" s="221">
        <f t="shared" si="41"/>
        <v>26.009999999999998</v>
      </c>
      <c r="V138" s="218">
        <f t="shared" si="42"/>
        <v>0.99</v>
      </c>
      <c r="W138" s="219">
        <f t="shared" si="43"/>
        <v>0.30000000000000004</v>
      </c>
      <c r="X138" s="220">
        <f t="shared" si="44"/>
        <v>0.30000000000000004</v>
      </c>
      <c r="Y138" s="14"/>
    </row>
    <row r="139" spans="1:25" ht="12" customHeight="1">
      <c r="A139" s="95"/>
      <c r="B139" s="86"/>
      <c r="C139" s="20" t="s">
        <v>570</v>
      </c>
      <c r="D139" s="20" t="s">
        <v>245</v>
      </c>
      <c r="E139" s="28">
        <v>5</v>
      </c>
      <c r="F139" s="28" t="s">
        <v>576</v>
      </c>
      <c r="G139" s="119">
        <v>36</v>
      </c>
      <c r="H139" s="119">
        <f t="shared" si="45"/>
        <v>180</v>
      </c>
      <c r="I139" s="323">
        <v>3.5</v>
      </c>
      <c r="J139" s="214">
        <v>2.0299999999999998</v>
      </c>
      <c r="K139" s="215">
        <v>1.4</v>
      </c>
      <c r="L139" s="216">
        <v>0.21</v>
      </c>
      <c r="M139" s="221">
        <f t="shared" si="28"/>
        <v>3.4299999999999997</v>
      </c>
      <c r="N139" s="218">
        <v>0.33</v>
      </c>
      <c r="O139" s="219">
        <v>0.1</v>
      </c>
      <c r="P139" s="220">
        <v>0.1</v>
      </c>
      <c r="Q139" s="323">
        <f t="shared" si="37"/>
        <v>17.5</v>
      </c>
      <c r="R139" s="214">
        <f t="shared" si="38"/>
        <v>10.149999999999999</v>
      </c>
      <c r="S139" s="215">
        <f t="shared" si="39"/>
        <v>7</v>
      </c>
      <c r="T139" s="216">
        <f t="shared" si="40"/>
        <v>1.05</v>
      </c>
      <c r="U139" s="221">
        <f t="shared" si="41"/>
        <v>17.149999999999999</v>
      </c>
      <c r="V139" s="218">
        <f t="shared" si="42"/>
        <v>1.6500000000000001</v>
      </c>
      <c r="W139" s="219">
        <f t="shared" si="43"/>
        <v>0.5</v>
      </c>
      <c r="X139" s="220">
        <f t="shared" si="44"/>
        <v>0.5</v>
      </c>
      <c r="Y139" s="14"/>
    </row>
    <row r="140" spans="1:25" ht="12" customHeight="1">
      <c r="A140" s="95">
        <v>40444</v>
      </c>
      <c r="B140" s="86">
        <v>668</v>
      </c>
      <c r="C140" s="20" t="s">
        <v>577</v>
      </c>
      <c r="D140" s="20" t="s">
        <v>425</v>
      </c>
      <c r="E140" s="28">
        <v>24</v>
      </c>
      <c r="F140" s="28" t="s">
        <v>578</v>
      </c>
      <c r="G140" s="119"/>
      <c r="H140" s="119">
        <f t="shared" si="45"/>
        <v>0</v>
      </c>
      <c r="I140" s="323">
        <v>3.5</v>
      </c>
      <c r="J140" s="214">
        <v>19.48</v>
      </c>
      <c r="K140" s="215">
        <v>0</v>
      </c>
      <c r="L140" s="216">
        <v>0</v>
      </c>
      <c r="M140" s="221">
        <f t="shared" si="28"/>
        <v>19.48</v>
      </c>
      <c r="N140" s="218">
        <v>0.33</v>
      </c>
      <c r="O140" s="219">
        <v>0.1</v>
      </c>
      <c r="P140" s="220">
        <v>0.1</v>
      </c>
      <c r="Q140" s="323">
        <f t="shared" si="37"/>
        <v>84</v>
      </c>
      <c r="R140" s="214">
        <f t="shared" si="38"/>
        <v>467.52</v>
      </c>
      <c r="S140" s="215">
        <f t="shared" si="39"/>
        <v>0</v>
      </c>
      <c r="T140" s="216">
        <f t="shared" si="40"/>
        <v>0</v>
      </c>
      <c r="U140" s="221">
        <f t="shared" si="41"/>
        <v>467.52</v>
      </c>
      <c r="V140" s="218">
        <f t="shared" si="42"/>
        <v>7.92</v>
      </c>
      <c r="W140" s="219">
        <f t="shared" si="43"/>
        <v>2.4000000000000004</v>
      </c>
      <c r="X140" s="220">
        <f t="shared" si="44"/>
        <v>2.4000000000000004</v>
      </c>
      <c r="Y140" s="14"/>
    </row>
    <row r="141" spans="1:25" ht="12" customHeight="1">
      <c r="A141" s="95"/>
      <c r="B141" s="86"/>
      <c r="C141" s="20" t="s">
        <v>577</v>
      </c>
      <c r="D141" s="20" t="s">
        <v>425</v>
      </c>
      <c r="E141" s="28">
        <v>24</v>
      </c>
      <c r="F141" s="28" t="s">
        <v>579</v>
      </c>
      <c r="G141" s="119">
        <v>30</v>
      </c>
      <c r="H141" s="119">
        <f t="shared" si="45"/>
        <v>720</v>
      </c>
      <c r="I141" s="323">
        <v>4</v>
      </c>
      <c r="J141" s="214">
        <v>7.33</v>
      </c>
      <c r="K141" s="215">
        <v>0</v>
      </c>
      <c r="L141" s="216">
        <v>0</v>
      </c>
      <c r="M141" s="221">
        <f t="shared" si="28"/>
        <v>7.33</v>
      </c>
      <c r="N141" s="218">
        <v>0.33</v>
      </c>
      <c r="O141" s="219">
        <v>0.1</v>
      </c>
      <c r="P141" s="220">
        <v>0.1</v>
      </c>
      <c r="Q141" s="323">
        <f t="shared" si="37"/>
        <v>96</v>
      </c>
      <c r="R141" s="214">
        <f t="shared" si="38"/>
        <v>175.92000000000002</v>
      </c>
      <c r="S141" s="215">
        <f t="shared" si="39"/>
        <v>0</v>
      </c>
      <c r="T141" s="216">
        <f t="shared" si="40"/>
        <v>0</v>
      </c>
      <c r="U141" s="221">
        <f t="shared" si="41"/>
        <v>175.92000000000002</v>
      </c>
      <c r="V141" s="218">
        <f t="shared" si="42"/>
        <v>7.92</v>
      </c>
      <c r="W141" s="219">
        <f t="shared" si="43"/>
        <v>2.4000000000000004</v>
      </c>
      <c r="X141" s="220">
        <f t="shared" si="44"/>
        <v>2.4000000000000004</v>
      </c>
      <c r="Y141" s="14"/>
    </row>
    <row r="142" spans="1:25" ht="12" customHeight="1">
      <c r="A142" s="95">
        <v>40444</v>
      </c>
      <c r="B142" s="86">
        <v>669</v>
      </c>
      <c r="C142" s="20" t="s">
        <v>580</v>
      </c>
      <c r="D142" s="20" t="s">
        <v>24</v>
      </c>
      <c r="E142" s="28">
        <v>2</v>
      </c>
      <c r="F142" s="28" t="s">
        <v>581</v>
      </c>
      <c r="G142" s="119">
        <v>33</v>
      </c>
      <c r="H142" s="119">
        <f t="shared" si="45"/>
        <v>66</v>
      </c>
      <c r="I142" s="323">
        <v>0.5</v>
      </c>
      <c r="J142" s="214">
        <v>1.05</v>
      </c>
      <c r="K142" s="215">
        <v>0</v>
      </c>
      <c r="L142" s="216">
        <v>0</v>
      </c>
      <c r="M142" s="221">
        <f t="shared" si="28"/>
        <v>1.05</v>
      </c>
      <c r="N142" s="218">
        <v>0.17</v>
      </c>
      <c r="O142" s="219">
        <v>0.1</v>
      </c>
      <c r="P142" s="220">
        <v>0.1</v>
      </c>
      <c r="Q142" s="323">
        <f t="shared" si="37"/>
        <v>1</v>
      </c>
      <c r="R142" s="214">
        <f t="shared" si="38"/>
        <v>2.1</v>
      </c>
      <c r="S142" s="215">
        <f t="shared" si="39"/>
        <v>0</v>
      </c>
      <c r="T142" s="216">
        <f t="shared" si="40"/>
        <v>0</v>
      </c>
      <c r="U142" s="221">
        <f t="shared" si="41"/>
        <v>2.1</v>
      </c>
      <c r="V142" s="218">
        <f t="shared" si="42"/>
        <v>0.34</v>
      </c>
      <c r="W142" s="219">
        <f t="shared" si="43"/>
        <v>0.2</v>
      </c>
      <c r="X142" s="220">
        <f t="shared" si="44"/>
        <v>0.2</v>
      </c>
      <c r="Y142" s="14"/>
    </row>
    <row r="143" spans="1:25" ht="12" customHeight="1">
      <c r="A143" s="95">
        <v>40444</v>
      </c>
      <c r="B143" s="86">
        <v>670</v>
      </c>
      <c r="C143" s="20" t="s">
        <v>582</v>
      </c>
      <c r="D143" s="20" t="s">
        <v>583</v>
      </c>
      <c r="E143" s="28">
        <v>16</v>
      </c>
      <c r="F143" s="28" t="s">
        <v>584</v>
      </c>
      <c r="G143" s="119">
        <v>41.5</v>
      </c>
      <c r="H143" s="119">
        <f t="shared" si="45"/>
        <v>664</v>
      </c>
      <c r="I143" s="323">
        <v>3.5</v>
      </c>
      <c r="J143" s="214">
        <v>10.62</v>
      </c>
      <c r="K143" s="215">
        <v>2.5</v>
      </c>
      <c r="L143" s="216">
        <v>0.38</v>
      </c>
      <c r="M143" s="221">
        <f t="shared" si="28"/>
        <v>13.12</v>
      </c>
      <c r="N143" s="218">
        <v>0.33</v>
      </c>
      <c r="O143" s="219">
        <v>0.1</v>
      </c>
      <c r="P143" s="220">
        <v>0.1</v>
      </c>
      <c r="Q143" s="323">
        <f t="shared" si="37"/>
        <v>56</v>
      </c>
      <c r="R143" s="214">
        <f t="shared" si="38"/>
        <v>169.92</v>
      </c>
      <c r="S143" s="215">
        <f t="shared" si="39"/>
        <v>40</v>
      </c>
      <c r="T143" s="216">
        <f t="shared" si="40"/>
        <v>6.08</v>
      </c>
      <c r="U143" s="221">
        <f t="shared" si="41"/>
        <v>209.92</v>
      </c>
      <c r="V143" s="218">
        <f t="shared" si="42"/>
        <v>5.28</v>
      </c>
      <c r="W143" s="219">
        <f t="shared" si="43"/>
        <v>1.6</v>
      </c>
      <c r="X143" s="220">
        <f t="shared" si="44"/>
        <v>1.6</v>
      </c>
      <c r="Y143" s="14"/>
    </row>
    <row r="144" spans="1:25" ht="12" customHeight="1">
      <c r="A144" s="95"/>
      <c r="B144" s="86"/>
      <c r="C144" s="20" t="s">
        <v>582</v>
      </c>
      <c r="D144" s="20" t="s">
        <v>583</v>
      </c>
      <c r="E144" s="28">
        <v>14</v>
      </c>
      <c r="F144" s="28" t="s">
        <v>585</v>
      </c>
      <c r="G144" s="119">
        <v>41.5</v>
      </c>
      <c r="H144" s="119">
        <f t="shared" si="45"/>
        <v>581</v>
      </c>
      <c r="I144" s="323">
        <v>3.5</v>
      </c>
      <c r="J144" s="214">
        <v>6.3</v>
      </c>
      <c r="K144" s="215">
        <v>2.5</v>
      </c>
      <c r="L144" s="216">
        <v>0.38</v>
      </c>
      <c r="M144" s="221">
        <f t="shared" si="28"/>
        <v>8.8000000000000007</v>
      </c>
      <c r="N144" s="218">
        <v>0.33</v>
      </c>
      <c r="O144" s="219">
        <v>0.1</v>
      </c>
      <c r="P144" s="220">
        <v>0.1</v>
      </c>
      <c r="Q144" s="323">
        <f t="shared" si="37"/>
        <v>49</v>
      </c>
      <c r="R144" s="214">
        <f t="shared" si="38"/>
        <v>88.2</v>
      </c>
      <c r="S144" s="215">
        <f t="shared" si="39"/>
        <v>35</v>
      </c>
      <c r="T144" s="216">
        <f t="shared" si="40"/>
        <v>5.32</v>
      </c>
      <c r="U144" s="221">
        <f t="shared" si="41"/>
        <v>123.20000000000002</v>
      </c>
      <c r="V144" s="218">
        <f t="shared" si="42"/>
        <v>4.62</v>
      </c>
      <c r="W144" s="219">
        <f t="shared" si="43"/>
        <v>1.4000000000000001</v>
      </c>
      <c r="X144" s="220">
        <f t="shared" si="44"/>
        <v>1.4000000000000001</v>
      </c>
      <c r="Y144" s="14"/>
    </row>
    <row r="145" spans="1:25" ht="12" customHeight="1">
      <c r="A145" s="95">
        <v>40444</v>
      </c>
      <c r="B145" s="86">
        <v>671</v>
      </c>
      <c r="C145" s="20" t="s">
        <v>582</v>
      </c>
      <c r="D145" s="20" t="s">
        <v>583</v>
      </c>
      <c r="E145" s="28">
        <v>3</v>
      </c>
      <c r="F145" s="28" t="s">
        <v>586</v>
      </c>
      <c r="G145" s="119">
        <v>41.5</v>
      </c>
      <c r="H145" s="119">
        <f t="shared" si="45"/>
        <v>124.5</v>
      </c>
      <c r="I145" s="323">
        <v>3.5</v>
      </c>
      <c r="J145" s="214">
        <v>8.49</v>
      </c>
      <c r="K145" s="215">
        <v>2.5</v>
      </c>
      <c r="L145" s="216">
        <v>0.38</v>
      </c>
      <c r="M145" s="221">
        <f t="shared" si="28"/>
        <v>10.99</v>
      </c>
      <c r="N145" s="218">
        <v>0.33</v>
      </c>
      <c r="O145" s="219">
        <v>0.1</v>
      </c>
      <c r="P145" s="220">
        <v>0.1</v>
      </c>
      <c r="Q145" s="323">
        <f t="shared" si="37"/>
        <v>10.5</v>
      </c>
      <c r="R145" s="214">
        <f t="shared" si="38"/>
        <v>25.47</v>
      </c>
      <c r="S145" s="215">
        <f t="shared" si="39"/>
        <v>7.5</v>
      </c>
      <c r="T145" s="216">
        <f t="shared" si="40"/>
        <v>1.1400000000000001</v>
      </c>
      <c r="U145" s="221">
        <f t="shared" si="41"/>
        <v>32.97</v>
      </c>
      <c r="V145" s="218">
        <f t="shared" si="42"/>
        <v>0.99</v>
      </c>
      <c r="W145" s="219">
        <f t="shared" si="43"/>
        <v>0.30000000000000004</v>
      </c>
      <c r="X145" s="220">
        <f t="shared" si="44"/>
        <v>0.30000000000000004</v>
      </c>
      <c r="Y145" s="14"/>
    </row>
    <row r="146" spans="1:25" ht="12" customHeight="1">
      <c r="A146" s="95"/>
      <c r="B146" s="86"/>
      <c r="C146" s="20" t="s">
        <v>582</v>
      </c>
      <c r="D146" s="20" t="s">
        <v>583</v>
      </c>
      <c r="E146" s="28">
        <v>1</v>
      </c>
      <c r="F146" s="28" t="s">
        <v>587</v>
      </c>
      <c r="G146" s="119">
        <v>41.5</v>
      </c>
      <c r="H146" s="119">
        <f t="shared" si="45"/>
        <v>41.5</v>
      </c>
      <c r="I146" s="323">
        <v>3.5</v>
      </c>
      <c r="J146" s="214">
        <v>-2.88</v>
      </c>
      <c r="K146" s="215">
        <v>2.5</v>
      </c>
      <c r="L146" s="216">
        <v>0.38</v>
      </c>
      <c r="M146" s="221">
        <f t="shared" si="28"/>
        <v>-0.37999999999999989</v>
      </c>
      <c r="N146" s="218">
        <v>0.33</v>
      </c>
      <c r="O146" s="219">
        <v>0.1</v>
      </c>
      <c r="P146" s="220">
        <v>0.1</v>
      </c>
      <c r="Q146" s="323">
        <f t="shared" si="37"/>
        <v>3.5</v>
      </c>
      <c r="R146" s="214">
        <f t="shared" si="38"/>
        <v>-2.88</v>
      </c>
      <c r="S146" s="215">
        <f t="shared" si="39"/>
        <v>2.5</v>
      </c>
      <c r="T146" s="216">
        <f t="shared" si="40"/>
        <v>0.38</v>
      </c>
      <c r="U146" s="221">
        <f t="shared" si="41"/>
        <v>-0.37999999999999989</v>
      </c>
      <c r="V146" s="218">
        <f t="shared" si="42"/>
        <v>0.33</v>
      </c>
      <c r="W146" s="219">
        <f t="shared" si="43"/>
        <v>0.1</v>
      </c>
      <c r="X146" s="220">
        <f t="shared" si="44"/>
        <v>0.1</v>
      </c>
      <c r="Y146" s="14"/>
    </row>
    <row r="147" spans="1:25" ht="12" customHeight="1">
      <c r="A147" s="95"/>
      <c r="B147" s="86"/>
      <c r="C147" s="20" t="s">
        <v>582</v>
      </c>
      <c r="D147" s="20" t="s">
        <v>583</v>
      </c>
      <c r="E147" s="28">
        <v>15</v>
      </c>
      <c r="F147" s="28" t="s">
        <v>588</v>
      </c>
      <c r="G147" s="119">
        <v>15.5</v>
      </c>
      <c r="H147" s="119">
        <f t="shared" si="45"/>
        <v>232.5</v>
      </c>
      <c r="I147" s="323">
        <v>1</v>
      </c>
      <c r="J147" s="214">
        <v>1.97</v>
      </c>
      <c r="K147" s="215">
        <v>2.5</v>
      </c>
      <c r="L147" s="216">
        <v>0.38</v>
      </c>
      <c r="M147" s="221">
        <f t="shared" si="28"/>
        <v>4.47</v>
      </c>
      <c r="N147" s="218">
        <v>0.28999999999999998</v>
      </c>
      <c r="O147" s="219">
        <v>0.1</v>
      </c>
      <c r="P147" s="220">
        <v>0.1</v>
      </c>
      <c r="Q147" s="323">
        <f t="shared" si="37"/>
        <v>15</v>
      </c>
      <c r="R147" s="214">
        <f t="shared" si="38"/>
        <v>29.55</v>
      </c>
      <c r="S147" s="215">
        <f t="shared" si="39"/>
        <v>37.5</v>
      </c>
      <c r="T147" s="216">
        <f t="shared" si="40"/>
        <v>5.7</v>
      </c>
      <c r="U147" s="221">
        <f t="shared" si="41"/>
        <v>67.05</v>
      </c>
      <c r="V147" s="218">
        <f t="shared" si="42"/>
        <v>4.3499999999999996</v>
      </c>
      <c r="W147" s="219">
        <f t="shared" si="43"/>
        <v>1.5</v>
      </c>
      <c r="X147" s="220">
        <f t="shared" si="44"/>
        <v>1.5</v>
      </c>
      <c r="Y147" s="14"/>
    </row>
    <row r="148" spans="1:25" ht="12" customHeight="1">
      <c r="A148" s="95">
        <v>40445</v>
      </c>
      <c r="B148" s="86">
        <v>672</v>
      </c>
      <c r="C148" s="20" t="s">
        <v>589</v>
      </c>
      <c r="D148" s="20" t="s">
        <v>590</v>
      </c>
      <c r="E148" s="28">
        <v>66</v>
      </c>
      <c r="F148" s="28" t="s">
        <v>591</v>
      </c>
      <c r="G148" s="119">
        <v>69.5</v>
      </c>
      <c r="H148" s="119">
        <f t="shared" si="45"/>
        <v>4587</v>
      </c>
      <c r="I148" s="323">
        <v>6.5</v>
      </c>
      <c r="J148" s="214">
        <v>5.2</v>
      </c>
      <c r="K148" s="215">
        <v>0.8</v>
      </c>
      <c r="L148" s="216">
        <v>0.12</v>
      </c>
      <c r="M148" s="221">
        <f t="shared" si="28"/>
        <v>6</v>
      </c>
      <c r="N148" s="218">
        <v>1</v>
      </c>
      <c r="O148" s="219">
        <v>0.1</v>
      </c>
      <c r="P148" s="220">
        <v>0.1</v>
      </c>
      <c r="Q148" s="323">
        <f t="shared" si="37"/>
        <v>429</v>
      </c>
      <c r="R148" s="214">
        <f t="shared" si="38"/>
        <v>343.2</v>
      </c>
      <c r="S148" s="215">
        <f t="shared" si="39"/>
        <v>52.800000000000004</v>
      </c>
      <c r="T148" s="216">
        <f t="shared" si="40"/>
        <v>7.92</v>
      </c>
      <c r="U148" s="221">
        <f t="shared" si="41"/>
        <v>396</v>
      </c>
      <c r="V148" s="218">
        <f t="shared" si="42"/>
        <v>66</v>
      </c>
      <c r="W148" s="219">
        <f t="shared" si="43"/>
        <v>6.6000000000000005</v>
      </c>
      <c r="X148" s="220">
        <f t="shared" si="44"/>
        <v>6.6000000000000005</v>
      </c>
      <c r="Y148" s="14"/>
    </row>
    <row r="149" spans="1:25" ht="12" customHeight="1">
      <c r="A149" s="95"/>
      <c r="B149" s="86"/>
      <c r="C149" s="20" t="s">
        <v>589</v>
      </c>
      <c r="D149" s="20" t="s">
        <v>590</v>
      </c>
      <c r="E149" s="28">
        <v>32</v>
      </c>
      <c r="F149" s="28" t="s">
        <v>592</v>
      </c>
      <c r="G149" s="119">
        <v>69.5</v>
      </c>
      <c r="H149" s="119">
        <f t="shared" si="45"/>
        <v>2224</v>
      </c>
      <c r="I149" s="323">
        <v>6.5</v>
      </c>
      <c r="J149" s="214">
        <v>13.05</v>
      </c>
      <c r="K149" s="215">
        <v>0.8</v>
      </c>
      <c r="L149" s="216">
        <v>0.12</v>
      </c>
      <c r="M149" s="221">
        <f t="shared" si="28"/>
        <v>13.850000000000001</v>
      </c>
      <c r="N149" s="218">
        <v>1</v>
      </c>
      <c r="O149" s="219">
        <v>0.1</v>
      </c>
      <c r="P149" s="220">
        <v>0.1</v>
      </c>
      <c r="Q149" s="323">
        <f t="shared" si="37"/>
        <v>208</v>
      </c>
      <c r="R149" s="214">
        <f t="shared" si="38"/>
        <v>417.6</v>
      </c>
      <c r="S149" s="215">
        <f t="shared" si="39"/>
        <v>25.6</v>
      </c>
      <c r="T149" s="216">
        <f t="shared" si="40"/>
        <v>3.84</v>
      </c>
      <c r="U149" s="221">
        <f t="shared" si="41"/>
        <v>443.20000000000005</v>
      </c>
      <c r="V149" s="218">
        <f t="shared" si="42"/>
        <v>32</v>
      </c>
      <c r="W149" s="219">
        <f t="shared" si="43"/>
        <v>3.2</v>
      </c>
      <c r="X149" s="220">
        <f t="shared" si="44"/>
        <v>3.2</v>
      </c>
      <c r="Y149" s="14"/>
    </row>
    <row r="150" spans="1:25" ht="12" customHeight="1">
      <c r="A150" s="95"/>
      <c r="B150" s="86"/>
      <c r="C150" s="20" t="s">
        <v>589</v>
      </c>
      <c r="D150" s="20" t="s">
        <v>590</v>
      </c>
      <c r="E150" s="28">
        <f>8</f>
        <v>8</v>
      </c>
      <c r="F150" s="28" t="s">
        <v>593</v>
      </c>
      <c r="G150" s="119">
        <v>69.5</v>
      </c>
      <c r="H150" s="119">
        <f t="shared" si="45"/>
        <v>556</v>
      </c>
      <c r="I150" s="323">
        <v>6.5</v>
      </c>
      <c r="J150" s="214">
        <v>10.5</v>
      </c>
      <c r="K150" s="215">
        <v>0.8</v>
      </c>
      <c r="L150" s="216">
        <v>0.12</v>
      </c>
      <c r="M150" s="221">
        <f t="shared" si="28"/>
        <v>11.3</v>
      </c>
      <c r="N150" s="218">
        <v>1</v>
      </c>
      <c r="O150" s="219">
        <v>0.1</v>
      </c>
      <c r="P150" s="220">
        <v>0.1</v>
      </c>
      <c r="Q150" s="323">
        <f t="shared" si="37"/>
        <v>52</v>
      </c>
      <c r="R150" s="214">
        <f t="shared" si="38"/>
        <v>84</v>
      </c>
      <c r="S150" s="215">
        <f t="shared" si="39"/>
        <v>6.4</v>
      </c>
      <c r="T150" s="216">
        <f t="shared" si="40"/>
        <v>0.96</v>
      </c>
      <c r="U150" s="221">
        <f t="shared" si="41"/>
        <v>90.4</v>
      </c>
      <c r="V150" s="218">
        <f t="shared" si="42"/>
        <v>8</v>
      </c>
      <c r="W150" s="219">
        <f t="shared" si="43"/>
        <v>0.8</v>
      </c>
      <c r="X150" s="220">
        <f t="shared" si="44"/>
        <v>0.8</v>
      </c>
      <c r="Y150" s="14"/>
    </row>
    <row r="151" spans="1:25" ht="12" customHeight="1">
      <c r="A151" s="95"/>
      <c r="B151" s="86"/>
      <c r="C151" s="20" t="s">
        <v>589</v>
      </c>
      <c r="D151" s="20" t="s">
        <v>590</v>
      </c>
      <c r="E151" s="28">
        <v>1</v>
      </c>
      <c r="F151" s="28" t="s">
        <v>594</v>
      </c>
      <c r="G151" s="119">
        <v>69.5</v>
      </c>
      <c r="H151" s="119">
        <f t="shared" si="45"/>
        <v>69.5</v>
      </c>
      <c r="I151" s="323">
        <v>6.5</v>
      </c>
      <c r="J151" s="214">
        <v>14.85</v>
      </c>
      <c r="K151" s="215">
        <v>0.8</v>
      </c>
      <c r="L151" s="216">
        <v>0.12</v>
      </c>
      <c r="M151" s="221">
        <f t="shared" si="28"/>
        <v>15.65</v>
      </c>
      <c r="N151" s="218">
        <v>1</v>
      </c>
      <c r="O151" s="219">
        <v>0.1</v>
      </c>
      <c r="P151" s="220">
        <v>0.1</v>
      </c>
      <c r="Q151" s="323">
        <f t="shared" si="37"/>
        <v>6.5</v>
      </c>
      <c r="R151" s="214">
        <f t="shared" si="38"/>
        <v>14.85</v>
      </c>
      <c r="S151" s="215">
        <f t="shared" si="39"/>
        <v>0.8</v>
      </c>
      <c r="T151" s="216">
        <f t="shared" si="40"/>
        <v>0.12</v>
      </c>
      <c r="U151" s="221">
        <f t="shared" si="41"/>
        <v>15.65</v>
      </c>
      <c r="V151" s="218">
        <f t="shared" si="42"/>
        <v>1</v>
      </c>
      <c r="W151" s="219">
        <f t="shared" si="43"/>
        <v>0.1</v>
      </c>
      <c r="X151" s="220">
        <f t="shared" si="44"/>
        <v>0.1</v>
      </c>
      <c r="Y151" s="14"/>
    </row>
    <row r="152" spans="1:25" ht="12" customHeight="1">
      <c r="A152" s="95">
        <v>40445</v>
      </c>
      <c r="B152" s="86">
        <v>673</v>
      </c>
      <c r="C152" s="20" t="s">
        <v>595</v>
      </c>
      <c r="D152" s="20" t="s">
        <v>158</v>
      </c>
      <c r="E152" s="28">
        <v>15</v>
      </c>
      <c r="F152" s="28" t="s">
        <v>596</v>
      </c>
      <c r="G152" s="119">
        <v>45</v>
      </c>
      <c r="H152" s="119">
        <f t="shared" si="45"/>
        <v>675</v>
      </c>
      <c r="I152" s="323">
        <v>6</v>
      </c>
      <c r="J152" s="214">
        <v>6.91</v>
      </c>
      <c r="K152" s="215">
        <v>0.7</v>
      </c>
      <c r="L152" s="216">
        <v>0.11</v>
      </c>
      <c r="M152" s="221">
        <f t="shared" si="28"/>
        <v>7.61</v>
      </c>
      <c r="N152" s="218">
        <v>0.57999999999999996</v>
      </c>
      <c r="O152" s="219">
        <v>0.1</v>
      </c>
      <c r="P152" s="220">
        <v>0.1</v>
      </c>
      <c r="Q152" s="323">
        <f t="shared" si="37"/>
        <v>90</v>
      </c>
      <c r="R152" s="214">
        <f t="shared" si="38"/>
        <v>103.65</v>
      </c>
      <c r="S152" s="215">
        <f t="shared" si="39"/>
        <v>10.5</v>
      </c>
      <c r="T152" s="216">
        <f t="shared" si="40"/>
        <v>1.65</v>
      </c>
      <c r="U152" s="221">
        <f t="shared" si="41"/>
        <v>114.15</v>
      </c>
      <c r="V152" s="218">
        <f t="shared" si="42"/>
        <v>8.6999999999999993</v>
      </c>
      <c r="W152" s="219">
        <f t="shared" si="43"/>
        <v>1.5</v>
      </c>
      <c r="X152" s="220">
        <f t="shared" si="44"/>
        <v>1.5</v>
      </c>
      <c r="Y152" s="14"/>
    </row>
    <row r="153" spans="1:25" ht="12" customHeight="1">
      <c r="A153" s="95"/>
      <c r="B153" s="86"/>
      <c r="C153" s="20" t="s">
        <v>595</v>
      </c>
      <c r="D153" s="20" t="s">
        <v>158</v>
      </c>
      <c r="E153" s="28">
        <v>25</v>
      </c>
      <c r="F153" s="28" t="s">
        <v>597</v>
      </c>
      <c r="G153" s="119">
        <v>12.5</v>
      </c>
      <c r="H153" s="119">
        <f t="shared" si="45"/>
        <v>312.5</v>
      </c>
      <c r="I153" s="323">
        <v>1</v>
      </c>
      <c r="J153" s="214">
        <v>3.22</v>
      </c>
      <c r="K153" s="215">
        <v>1</v>
      </c>
      <c r="L153" s="216">
        <v>0.15</v>
      </c>
      <c r="M153" s="221">
        <f t="shared" si="28"/>
        <v>4.2200000000000006</v>
      </c>
      <c r="N153" s="218">
        <v>0.28999999999999998</v>
      </c>
      <c r="O153" s="219">
        <v>0.1</v>
      </c>
      <c r="P153" s="220">
        <v>0.1</v>
      </c>
      <c r="Q153" s="323">
        <f t="shared" si="37"/>
        <v>25</v>
      </c>
      <c r="R153" s="214">
        <f t="shared" si="38"/>
        <v>80.5</v>
      </c>
      <c r="S153" s="215">
        <f t="shared" si="39"/>
        <v>25</v>
      </c>
      <c r="T153" s="216">
        <f t="shared" si="40"/>
        <v>3.75</v>
      </c>
      <c r="U153" s="221">
        <f t="shared" si="41"/>
        <v>105.50000000000001</v>
      </c>
      <c r="V153" s="218">
        <f t="shared" si="42"/>
        <v>7.2499999999999991</v>
      </c>
      <c r="W153" s="219">
        <f t="shared" si="43"/>
        <v>2.5</v>
      </c>
      <c r="X153" s="220">
        <f t="shared" si="44"/>
        <v>2.5</v>
      </c>
      <c r="Y153" s="14"/>
    </row>
    <row r="154" spans="1:25" ht="12" customHeight="1">
      <c r="A154" s="95"/>
      <c r="B154" s="86"/>
      <c r="C154" s="20" t="s">
        <v>595</v>
      </c>
      <c r="D154" s="20" t="s">
        <v>158</v>
      </c>
      <c r="E154" s="28">
        <v>15</v>
      </c>
      <c r="F154" s="28" t="s">
        <v>598</v>
      </c>
      <c r="G154" s="119">
        <v>35</v>
      </c>
      <c r="H154" s="119">
        <f t="shared" si="45"/>
        <v>525</v>
      </c>
      <c r="I154" s="323">
        <v>3.5</v>
      </c>
      <c r="J154" s="214">
        <v>5.63</v>
      </c>
      <c r="K154" s="215">
        <v>0.7</v>
      </c>
      <c r="L154" s="216">
        <v>0.11</v>
      </c>
      <c r="M154" s="221">
        <f t="shared" ref="M154:M195" si="46">J154+K154</f>
        <v>6.33</v>
      </c>
      <c r="N154" s="218">
        <v>0.33</v>
      </c>
      <c r="O154" s="219">
        <v>0.1</v>
      </c>
      <c r="P154" s="220">
        <v>0.1</v>
      </c>
      <c r="Q154" s="323">
        <f t="shared" si="37"/>
        <v>52.5</v>
      </c>
      <c r="R154" s="214">
        <f t="shared" si="38"/>
        <v>84.45</v>
      </c>
      <c r="S154" s="215">
        <f t="shared" si="39"/>
        <v>10.5</v>
      </c>
      <c r="T154" s="216">
        <f t="shared" si="40"/>
        <v>1.65</v>
      </c>
      <c r="U154" s="221">
        <f t="shared" si="41"/>
        <v>94.95</v>
      </c>
      <c r="V154" s="218">
        <f t="shared" si="42"/>
        <v>4.95</v>
      </c>
      <c r="W154" s="219">
        <f t="shared" si="43"/>
        <v>1.5</v>
      </c>
      <c r="X154" s="220">
        <f t="shared" si="44"/>
        <v>1.5</v>
      </c>
      <c r="Y154" s="14"/>
    </row>
    <row r="155" spans="1:25" ht="12" customHeight="1">
      <c r="A155" s="95"/>
      <c r="B155" s="86"/>
      <c r="C155" s="20" t="s">
        <v>595</v>
      </c>
      <c r="D155" s="20" t="s">
        <v>158</v>
      </c>
      <c r="E155" s="28">
        <v>40</v>
      </c>
      <c r="F155" s="28" t="s">
        <v>599</v>
      </c>
      <c r="G155" s="119">
        <v>35</v>
      </c>
      <c r="H155" s="119">
        <f t="shared" si="45"/>
        <v>1400</v>
      </c>
      <c r="I155" s="323">
        <v>3.5</v>
      </c>
      <c r="J155" s="214">
        <v>8.76</v>
      </c>
      <c r="K155" s="215">
        <v>0.7</v>
      </c>
      <c r="L155" s="216">
        <v>0.11</v>
      </c>
      <c r="M155" s="221">
        <f t="shared" si="46"/>
        <v>9.4599999999999991</v>
      </c>
      <c r="N155" s="218">
        <v>0.33</v>
      </c>
      <c r="O155" s="219">
        <v>0.1</v>
      </c>
      <c r="P155" s="220">
        <v>0.1</v>
      </c>
      <c r="Q155" s="323">
        <f t="shared" si="37"/>
        <v>140</v>
      </c>
      <c r="R155" s="214">
        <f t="shared" si="38"/>
        <v>350.4</v>
      </c>
      <c r="S155" s="215">
        <f t="shared" si="39"/>
        <v>28</v>
      </c>
      <c r="T155" s="216">
        <f t="shared" si="40"/>
        <v>4.4000000000000004</v>
      </c>
      <c r="U155" s="221">
        <f t="shared" si="41"/>
        <v>378.4</v>
      </c>
      <c r="V155" s="218">
        <f t="shared" si="42"/>
        <v>13.200000000000001</v>
      </c>
      <c r="W155" s="219">
        <f t="shared" si="43"/>
        <v>4</v>
      </c>
      <c r="X155" s="220">
        <f t="shared" si="44"/>
        <v>4</v>
      </c>
      <c r="Y155" s="14"/>
    </row>
    <row r="156" spans="1:25" ht="12" customHeight="1">
      <c r="A156" s="95"/>
      <c r="B156" s="86"/>
      <c r="C156" s="20" t="s">
        <v>595</v>
      </c>
      <c r="D156" s="20" t="s">
        <v>158</v>
      </c>
      <c r="E156" s="28">
        <v>20</v>
      </c>
      <c r="F156" s="28" t="s">
        <v>600</v>
      </c>
      <c r="G156" s="119">
        <v>37</v>
      </c>
      <c r="H156" s="119">
        <f t="shared" si="45"/>
        <v>740</v>
      </c>
      <c r="I156" s="323">
        <v>6.5</v>
      </c>
      <c r="J156" s="214">
        <v>11.84</v>
      </c>
      <c r="K156" s="215">
        <v>0.7</v>
      </c>
      <c r="L156" s="216">
        <v>0.11</v>
      </c>
      <c r="M156" s="221">
        <f t="shared" si="46"/>
        <v>12.54</v>
      </c>
      <c r="N156" s="218">
        <v>0.57999999999999996</v>
      </c>
      <c r="O156" s="219">
        <v>0.15</v>
      </c>
      <c r="P156" s="220">
        <v>0.2</v>
      </c>
      <c r="Q156" s="323">
        <f t="shared" si="37"/>
        <v>130</v>
      </c>
      <c r="R156" s="214">
        <f t="shared" si="38"/>
        <v>236.8</v>
      </c>
      <c r="S156" s="215">
        <f t="shared" si="39"/>
        <v>14</v>
      </c>
      <c r="T156" s="216">
        <f t="shared" si="40"/>
        <v>2.2000000000000002</v>
      </c>
      <c r="U156" s="221">
        <f t="shared" si="41"/>
        <v>250.79999999999998</v>
      </c>
      <c r="V156" s="218">
        <f t="shared" si="42"/>
        <v>11.6</v>
      </c>
      <c r="W156" s="219">
        <f t="shared" si="43"/>
        <v>3</v>
      </c>
      <c r="X156" s="220">
        <f t="shared" si="44"/>
        <v>4</v>
      </c>
      <c r="Y156" s="14"/>
    </row>
    <row r="157" spans="1:25" ht="12" customHeight="1">
      <c r="A157" s="95">
        <v>40445</v>
      </c>
      <c r="B157" s="86">
        <v>674</v>
      </c>
      <c r="C157" s="20" t="s">
        <v>601</v>
      </c>
      <c r="D157" s="20" t="s">
        <v>602</v>
      </c>
      <c r="E157" s="28">
        <v>14</v>
      </c>
      <c r="F157" s="28" t="s">
        <v>603</v>
      </c>
      <c r="G157" s="119">
        <v>13</v>
      </c>
      <c r="H157" s="119">
        <f t="shared" si="45"/>
        <v>182</v>
      </c>
      <c r="I157" s="323">
        <v>1</v>
      </c>
      <c r="J157" s="214">
        <v>0.67</v>
      </c>
      <c r="K157" s="215">
        <v>2.7</v>
      </c>
      <c r="L157" s="216">
        <v>0.41</v>
      </c>
      <c r="M157" s="221">
        <f t="shared" si="46"/>
        <v>3.37</v>
      </c>
      <c r="N157" s="218">
        <v>0.28999999999999998</v>
      </c>
      <c r="O157" s="219">
        <v>0.1</v>
      </c>
      <c r="P157" s="220">
        <v>0.1</v>
      </c>
      <c r="Q157" s="323">
        <f t="shared" si="37"/>
        <v>14</v>
      </c>
      <c r="R157" s="214">
        <f t="shared" si="38"/>
        <v>9.3800000000000008</v>
      </c>
      <c r="S157" s="215">
        <f t="shared" si="39"/>
        <v>37.800000000000004</v>
      </c>
      <c r="T157" s="216">
        <f t="shared" si="40"/>
        <v>5.7399999999999993</v>
      </c>
      <c r="U157" s="221">
        <f t="shared" si="41"/>
        <v>47.18</v>
      </c>
      <c r="V157" s="218">
        <f t="shared" si="42"/>
        <v>4.0599999999999996</v>
      </c>
      <c r="W157" s="219">
        <f t="shared" si="43"/>
        <v>1.4000000000000001</v>
      </c>
      <c r="X157" s="220">
        <f t="shared" si="44"/>
        <v>1.4000000000000001</v>
      </c>
      <c r="Y157" s="14"/>
    </row>
    <row r="158" spans="1:25" ht="12" customHeight="1">
      <c r="A158" s="95">
        <v>40448</v>
      </c>
      <c r="B158" s="86">
        <v>675</v>
      </c>
      <c r="C158" s="20" t="s">
        <v>269</v>
      </c>
      <c r="D158" s="20" t="s">
        <v>135</v>
      </c>
      <c r="E158" s="28">
        <v>5</v>
      </c>
      <c r="F158" s="28" t="s">
        <v>604</v>
      </c>
      <c r="G158" s="119">
        <v>150</v>
      </c>
      <c r="H158" s="119">
        <f t="shared" si="45"/>
        <v>750</v>
      </c>
      <c r="I158" s="323">
        <v>8</v>
      </c>
      <c r="J158" s="214">
        <v>58.21</v>
      </c>
      <c r="K158" s="215">
        <v>2</v>
      </c>
      <c r="L158" s="216">
        <v>0.3</v>
      </c>
      <c r="M158" s="221">
        <f t="shared" si="46"/>
        <v>60.21</v>
      </c>
      <c r="N158" s="218">
        <v>1.67</v>
      </c>
      <c r="O158" s="219">
        <v>0.1</v>
      </c>
      <c r="P158" s="220">
        <v>0.2</v>
      </c>
      <c r="Q158" s="323">
        <f t="shared" si="37"/>
        <v>40</v>
      </c>
      <c r="R158" s="214">
        <f t="shared" si="38"/>
        <v>291.05</v>
      </c>
      <c r="S158" s="215">
        <f t="shared" si="39"/>
        <v>10</v>
      </c>
      <c r="T158" s="216">
        <f t="shared" si="40"/>
        <v>1.5</v>
      </c>
      <c r="U158" s="221">
        <f t="shared" si="41"/>
        <v>301.05</v>
      </c>
      <c r="V158" s="218">
        <f t="shared" si="42"/>
        <v>8.35</v>
      </c>
      <c r="W158" s="219">
        <f t="shared" si="43"/>
        <v>0.5</v>
      </c>
      <c r="X158" s="220">
        <f t="shared" si="44"/>
        <v>1</v>
      </c>
      <c r="Y158" s="14"/>
    </row>
    <row r="159" spans="1:25" ht="12" customHeight="1">
      <c r="A159" s="95">
        <v>40449</v>
      </c>
      <c r="B159" s="86">
        <v>676</v>
      </c>
      <c r="C159" s="20" t="s">
        <v>605</v>
      </c>
      <c r="D159" s="20" t="s">
        <v>606</v>
      </c>
      <c r="E159" s="28">
        <v>9</v>
      </c>
      <c r="F159" s="28" t="s">
        <v>607</v>
      </c>
      <c r="G159" s="119">
        <v>39.5</v>
      </c>
      <c r="H159" s="119">
        <f t="shared" si="45"/>
        <v>355.5</v>
      </c>
      <c r="I159" s="323">
        <v>3.5</v>
      </c>
      <c r="J159" s="214">
        <v>8.1199999999999992</v>
      </c>
      <c r="K159" s="215">
        <v>4</v>
      </c>
      <c r="L159" s="216">
        <v>0.6</v>
      </c>
      <c r="M159" s="221">
        <f t="shared" si="46"/>
        <v>12.12</v>
      </c>
      <c r="N159" s="218">
        <v>0.33</v>
      </c>
      <c r="O159" s="219">
        <v>0.1</v>
      </c>
      <c r="P159" s="220">
        <v>0.1</v>
      </c>
      <c r="Q159" s="323">
        <f t="shared" si="37"/>
        <v>31.5</v>
      </c>
      <c r="R159" s="214">
        <f t="shared" si="38"/>
        <v>73.08</v>
      </c>
      <c r="S159" s="215">
        <f t="shared" si="39"/>
        <v>36</v>
      </c>
      <c r="T159" s="216">
        <f t="shared" si="40"/>
        <v>5.3999999999999995</v>
      </c>
      <c r="U159" s="221">
        <f t="shared" si="41"/>
        <v>109.08</v>
      </c>
      <c r="V159" s="218">
        <f t="shared" si="42"/>
        <v>2.97</v>
      </c>
      <c r="W159" s="219">
        <f t="shared" si="43"/>
        <v>0.9</v>
      </c>
      <c r="X159" s="220">
        <f t="shared" si="44"/>
        <v>0.9</v>
      </c>
      <c r="Y159" s="14"/>
    </row>
    <row r="160" spans="1:25" ht="12" customHeight="1">
      <c r="A160" s="95"/>
      <c r="B160" s="86"/>
      <c r="C160" s="20" t="s">
        <v>605</v>
      </c>
      <c r="D160" s="20" t="s">
        <v>606</v>
      </c>
      <c r="E160" s="28">
        <v>1</v>
      </c>
      <c r="F160" s="28" t="s">
        <v>608</v>
      </c>
      <c r="G160" s="119">
        <v>43.5</v>
      </c>
      <c r="H160" s="119">
        <f t="shared" si="45"/>
        <v>43.5</v>
      </c>
      <c r="I160" s="323">
        <v>3.5</v>
      </c>
      <c r="J160" s="214">
        <v>9.41</v>
      </c>
      <c r="K160" s="215">
        <v>4</v>
      </c>
      <c r="L160" s="216">
        <v>0.6</v>
      </c>
      <c r="M160" s="221">
        <f t="shared" si="46"/>
        <v>13.41</v>
      </c>
      <c r="N160" s="218">
        <v>0.33</v>
      </c>
      <c r="O160" s="219">
        <v>0.1</v>
      </c>
      <c r="P160" s="220">
        <v>0.1</v>
      </c>
      <c r="Q160" s="323">
        <f t="shared" si="37"/>
        <v>3.5</v>
      </c>
      <c r="R160" s="214">
        <f t="shared" si="38"/>
        <v>9.41</v>
      </c>
      <c r="S160" s="215">
        <f t="shared" si="39"/>
        <v>4</v>
      </c>
      <c r="T160" s="216">
        <f t="shared" si="40"/>
        <v>0.6</v>
      </c>
      <c r="U160" s="221">
        <f t="shared" si="41"/>
        <v>13.41</v>
      </c>
      <c r="V160" s="218">
        <f t="shared" si="42"/>
        <v>0.33</v>
      </c>
      <c r="W160" s="219">
        <f t="shared" si="43"/>
        <v>0.1</v>
      </c>
      <c r="X160" s="220">
        <f t="shared" si="44"/>
        <v>0.1</v>
      </c>
      <c r="Y160" s="14"/>
    </row>
    <row r="161" spans="1:25" ht="12" customHeight="1">
      <c r="A161" s="95"/>
      <c r="B161" s="86"/>
      <c r="C161" s="20" t="s">
        <v>605</v>
      </c>
      <c r="D161" s="20" t="s">
        <v>606</v>
      </c>
      <c r="E161" s="28">
        <v>11</v>
      </c>
      <c r="F161" s="28" t="s">
        <v>609</v>
      </c>
      <c r="G161" s="119">
        <v>39.5</v>
      </c>
      <c r="H161" s="119">
        <f t="shared" si="45"/>
        <v>434.5</v>
      </c>
      <c r="I161" s="323">
        <v>3.5</v>
      </c>
      <c r="J161" s="214">
        <v>4.6500000000000004</v>
      </c>
      <c r="K161" s="215">
        <v>4</v>
      </c>
      <c r="L161" s="216">
        <v>0.6</v>
      </c>
      <c r="M161" s="221">
        <f t="shared" si="46"/>
        <v>8.65</v>
      </c>
      <c r="N161" s="218">
        <v>0.33</v>
      </c>
      <c r="O161" s="219">
        <v>0.1</v>
      </c>
      <c r="P161" s="220">
        <v>0.1</v>
      </c>
      <c r="Q161" s="323">
        <f t="shared" si="37"/>
        <v>38.5</v>
      </c>
      <c r="R161" s="214">
        <f t="shared" si="38"/>
        <v>51.150000000000006</v>
      </c>
      <c r="S161" s="215">
        <f t="shared" si="39"/>
        <v>44</v>
      </c>
      <c r="T161" s="216">
        <f t="shared" si="40"/>
        <v>6.6</v>
      </c>
      <c r="U161" s="221">
        <f t="shared" si="41"/>
        <v>95.15</v>
      </c>
      <c r="V161" s="218">
        <f t="shared" si="42"/>
        <v>3.6300000000000003</v>
      </c>
      <c r="W161" s="219">
        <f t="shared" si="43"/>
        <v>1.1000000000000001</v>
      </c>
      <c r="X161" s="220">
        <f t="shared" si="44"/>
        <v>1.1000000000000001</v>
      </c>
      <c r="Y161" s="14"/>
    </row>
    <row r="162" spans="1:25" ht="12" customHeight="1">
      <c r="A162" s="95"/>
      <c r="B162" s="86"/>
      <c r="C162" s="20" t="s">
        <v>605</v>
      </c>
      <c r="D162" s="20" t="s">
        <v>606</v>
      </c>
      <c r="E162" s="28">
        <v>1</v>
      </c>
      <c r="F162" s="28" t="s">
        <v>610</v>
      </c>
      <c r="G162" s="119">
        <f>39.5+4</f>
        <v>43.5</v>
      </c>
      <c r="H162" s="119">
        <f t="shared" si="45"/>
        <v>43.5</v>
      </c>
      <c r="I162" s="323">
        <v>3.5</v>
      </c>
      <c r="J162" s="214">
        <v>4.1500000000000004</v>
      </c>
      <c r="K162" s="215">
        <v>4</v>
      </c>
      <c r="L162" s="216">
        <v>0.6</v>
      </c>
      <c r="M162" s="221">
        <f t="shared" si="46"/>
        <v>8.15</v>
      </c>
      <c r="N162" s="218">
        <v>0.33</v>
      </c>
      <c r="O162" s="219">
        <v>0.1</v>
      </c>
      <c r="P162" s="220">
        <v>0.1</v>
      </c>
      <c r="Q162" s="323">
        <f t="shared" si="37"/>
        <v>3.5</v>
      </c>
      <c r="R162" s="214">
        <f t="shared" si="38"/>
        <v>4.1500000000000004</v>
      </c>
      <c r="S162" s="215">
        <f t="shared" si="39"/>
        <v>4</v>
      </c>
      <c r="T162" s="216">
        <f t="shared" si="40"/>
        <v>0.6</v>
      </c>
      <c r="U162" s="221">
        <f t="shared" si="41"/>
        <v>8.15</v>
      </c>
      <c r="V162" s="218">
        <f t="shared" si="42"/>
        <v>0.33</v>
      </c>
      <c r="W162" s="219">
        <f t="shared" si="43"/>
        <v>0.1</v>
      </c>
      <c r="X162" s="220">
        <f t="shared" si="44"/>
        <v>0.1</v>
      </c>
      <c r="Y162" s="14"/>
    </row>
    <row r="163" spans="1:25" ht="12" customHeight="1">
      <c r="A163" s="95">
        <v>40449</v>
      </c>
      <c r="B163" s="86">
        <v>677</v>
      </c>
      <c r="C163" s="20" t="s">
        <v>157</v>
      </c>
      <c r="D163" s="20" t="s">
        <v>158</v>
      </c>
      <c r="E163" s="28">
        <v>50</v>
      </c>
      <c r="F163" s="28" t="s">
        <v>611</v>
      </c>
      <c r="G163" s="119">
        <v>38.5</v>
      </c>
      <c r="H163" s="119">
        <f t="shared" si="45"/>
        <v>1925</v>
      </c>
      <c r="I163" s="323">
        <v>3.5</v>
      </c>
      <c r="J163" s="214">
        <v>14.56</v>
      </c>
      <c r="K163" s="215">
        <v>2</v>
      </c>
      <c r="L163" s="216">
        <v>0.3</v>
      </c>
      <c r="M163" s="221">
        <f t="shared" si="46"/>
        <v>16.560000000000002</v>
      </c>
      <c r="N163" s="218">
        <v>0.25</v>
      </c>
      <c r="O163" s="219">
        <v>0.1</v>
      </c>
      <c r="P163" s="220">
        <v>0.1</v>
      </c>
      <c r="Q163" s="323">
        <f t="shared" si="37"/>
        <v>175</v>
      </c>
      <c r="R163" s="214">
        <f t="shared" si="38"/>
        <v>728</v>
      </c>
      <c r="S163" s="215">
        <f t="shared" si="39"/>
        <v>100</v>
      </c>
      <c r="T163" s="216">
        <f t="shared" si="40"/>
        <v>15</v>
      </c>
      <c r="U163" s="221">
        <f t="shared" si="41"/>
        <v>828.00000000000011</v>
      </c>
      <c r="V163" s="218">
        <f t="shared" si="42"/>
        <v>12.5</v>
      </c>
      <c r="W163" s="219">
        <f t="shared" si="43"/>
        <v>5</v>
      </c>
      <c r="X163" s="220">
        <f t="shared" si="44"/>
        <v>5</v>
      </c>
      <c r="Y163" s="14"/>
    </row>
    <row r="164" spans="1:25" ht="12" customHeight="1">
      <c r="A164" s="95"/>
      <c r="B164" s="86"/>
      <c r="C164" s="20" t="s">
        <v>157</v>
      </c>
      <c r="D164" s="20" t="s">
        <v>158</v>
      </c>
      <c r="E164" s="28">
        <v>50</v>
      </c>
      <c r="F164" s="28" t="s">
        <v>612</v>
      </c>
      <c r="G164" s="119">
        <v>40</v>
      </c>
      <c r="H164" s="119">
        <f t="shared" si="45"/>
        <v>2000</v>
      </c>
      <c r="I164" s="323">
        <v>3.5</v>
      </c>
      <c r="J164" s="214">
        <v>15.2</v>
      </c>
      <c r="K164" s="215">
        <v>2</v>
      </c>
      <c r="L164" s="216">
        <v>0.3</v>
      </c>
      <c r="M164" s="221">
        <f t="shared" si="46"/>
        <v>17.2</v>
      </c>
      <c r="N164" s="218">
        <v>0.25</v>
      </c>
      <c r="O164" s="219">
        <v>0.1</v>
      </c>
      <c r="P164" s="220">
        <v>0.1</v>
      </c>
      <c r="Q164" s="323">
        <f t="shared" si="37"/>
        <v>175</v>
      </c>
      <c r="R164" s="214">
        <f t="shared" si="38"/>
        <v>760</v>
      </c>
      <c r="S164" s="215">
        <f t="shared" si="39"/>
        <v>100</v>
      </c>
      <c r="T164" s="216">
        <f t="shared" si="40"/>
        <v>15</v>
      </c>
      <c r="U164" s="221">
        <f t="shared" si="41"/>
        <v>860</v>
      </c>
      <c r="V164" s="218">
        <f t="shared" si="42"/>
        <v>12.5</v>
      </c>
      <c r="W164" s="219">
        <f t="shared" si="43"/>
        <v>5</v>
      </c>
      <c r="X164" s="220">
        <f t="shared" si="44"/>
        <v>5</v>
      </c>
      <c r="Y164" s="14"/>
    </row>
    <row r="165" spans="1:25" ht="12" customHeight="1">
      <c r="A165" s="95"/>
      <c r="B165" s="86"/>
      <c r="C165" s="20" t="s">
        <v>157</v>
      </c>
      <c r="D165" s="20" t="s">
        <v>158</v>
      </c>
      <c r="E165" s="28">
        <v>12</v>
      </c>
      <c r="F165" s="28" t="s">
        <v>613</v>
      </c>
      <c r="G165" s="119">
        <v>37</v>
      </c>
      <c r="H165" s="119">
        <f t="shared" si="45"/>
        <v>444</v>
      </c>
      <c r="I165" s="323">
        <v>6.5</v>
      </c>
      <c r="J165" s="214">
        <v>7.58</v>
      </c>
      <c r="K165" s="215">
        <v>1.8</v>
      </c>
      <c r="L165" s="216">
        <v>0.27</v>
      </c>
      <c r="M165" s="221">
        <f t="shared" si="46"/>
        <v>9.3800000000000008</v>
      </c>
      <c r="N165" s="218">
        <v>0.57999999999999996</v>
      </c>
      <c r="O165" s="219">
        <v>0.15</v>
      </c>
      <c r="P165" s="220">
        <v>0.2</v>
      </c>
      <c r="Q165" s="323">
        <f t="shared" si="37"/>
        <v>78</v>
      </c>
      <c r="R165" s="214">
        <f t="shared" si="38"/>
        <v>90.960000000000008</v>
      </c>
      <c r="S165" s="215">
        <f t="shared" si="39"/>
        <v>21.6</v>
      </c>
      <c r="T165" s="216">
        <f t="shared" si="40"/>
        <v>3.24</v>
      </c>
      <c r="U165" s="221">
        <f t="shared" si="41"/>
        <v>112.56</v>
      </c>
      <c r="V165" s="218">
        <f t="shared" si="42"/>
        <v>6.9599999999999991</v>
      </c>
      <c r="W165" s="219">
        <f t="shared" si="43"/>
        <v>1.7999999999999998</v>
      </c>
      <c r="X165" s="220">
        <f t="shared" si="44"/>
        <v>2.4000000000000004</v>
      </c>
      <c r="Y165" s="14"/>
    </row>
    <row r="166" spans="1:25" ht="12" customHeight="1">
      <c r="A166" s="95"/>
      <c r="B166" s="86"/>
      <c r="C166" s="20" t="s">
        <v>157</v>
      </c>
      <c r="D166" s="20" t="s">
        <v>158</v>
      </c>
      <c r="E166" s="28">
        <v>12</v>
      </c>
      <c r="F166" s="28" t="s">
        <v>614</v>
      </c>
      <c r="G166" s="119">
        <v>35</v>
      </c>
      <c r="H166" s="119">
        <f t="shared" si="45"/>
        <v>420</v>
      </c>
      <c r="I166" s="323">
        <v>3.5</v>
      </c>
      <c r="J166" s="214">
        <v>5.3</v>
      </c>
      <c r="K166" s="215">
        <v>2</v>
      </c>
      <c r="L166" s="216">
        <v>0.3</v>
      </c>
      <c r="M166" s="221">
        <f t="shared" si="46"/>
        <v>7.3</v>
      </c>
      <c r="N166" s="218">
        <v>0.33</v>
      </c>
      <c r="O166" s="219">
        <v>0.1</v>
      </c>
      <c r="P166" s="220">
        <v>0.1</v>
      </c>
      <c r="Q166" s="323">
        <f t="shared" ref="Q166:Q195" si="47">E166*I166</f>
        <v>42</v>
      </c>
      <c r="R166" s="214">
        <f t="shared" ref="R166:R195" si="48">E166*J166</f>
        <v>63.599999999999994</v>
      </c>
      <c r="S166" s="215">
        <f t="shared" ref="S166:S195" si="49">E166*K166</f>
        <v>24</v>
      </c>
      <c r="T166" s="216">
        <f t="shared" ref="T166:T195" si="50">E166*L166</f>
        <v>3.5999999999999996</v>
      </c>
      <c r="U166" s="221">
        <f t="shared" ref="U166:U195" si="51">E166*M166</f>
        <v>87.6</v>
      </c>
      <c r="V166" s="218">
        <f t="shared" ref="V166:V195" si="52">N166*E166</f>
        <v>3.96</v>
      </c>
      <c r="W166" s="219">
        <f t="shared" ref="W166:W195" si="53">O166*E166</f>
        <v>1.2000000000000002</v>
      </c>
      <c r="X166" s="220">
        <f t="shared" ref="X166:X195" si="54">P166*E166</f>
        <v>1.2000000000000002</v>
      </c>
      <c r="Y166" s="14"/>
    </row>
    <row r="167" spans="1:25" ht="12" customHeight="1">
      <c r="A167" s="95"/>
      <c r="B167" s="86"/>
      <c r="C167" s="20" t="s">
        <v>157</v>
      </c>
      <c r="D167" s="20" t="s">
        <v>158</v>
      </c>
      <c r="E167" s="28">
        <v>6</v>
      </c>
      <c r="F167" s="28" t="s">
        <v>615</v>
      </c>
      <c r="G167" s="119">
        <v>12.5</v>
      </c>
      <c r="H167" s="119">
        <f t="shared" si="45"/>
        <v>75</v>
      </c>
      <c r="I167" s="323">
        <v>1</v>
      </c>
      <c r="J167" s="214">
        <v>2.76</v>
      </c>
      <c r="K167" s="215">
        <v>1.4</v>
      </c>
      <c r="L167" s="216">
        <v>0.21</v>
      </c>
      <c r="M167" s="221">
        <f t="shared" si="46"/>
        <v>4.16</v>
      </c>
      <c r="N167" s="218">
        <v>0.28999999999999998</v>
      </c>
      <c r="O167" s="219">
        <v>0.1</v>
      </c>
      <c r="P167" s="220">
        <v>0.1</v>
      </c>
      <c r="Q167" s="323">
        <f t="shared" si="47"/>
        <v>6</v>
      </c>
      <c r="R167" s="214">
        <f t="shared" si="48"/>
        <v>16.559999999999999</v>
      </c>
      <c r="S167" s="215">
        <f t="shared" si="49"/>
        <v>8.3999999999999986</v>
      </c>
      <c r="T167" s="216">
        <f t="shared" si="50"/>
        <v>1.26</v>
      </c>
      <c r="U167" s="221">
        <f t="shared" si="51"/>
        <v>24.96</v>
      </c>
      <c r="V167" s="218">
        <f t="shared" si="52"/>
        <v>1.7399999999999998</v>
      </c>
      <c r="W167" s="219">
        <f t="shared" si="53"/>
        <v>0.60000000000000009</v>
      </c>
      <c r="X167" s="220">
        <f t="shared" si="54"/>
        <v>0.60000000000000009</v>
      </c>
      <c r="Y167" s="14"/>
    </row>
    <row r="168" spans="1:25" ht="12" customHeight="1">
      <c r="A168" s="95">
        <v>40449</v>
      </c>
      <c r="B168" s="86">
        <v>678</v>
      </c>
      <c r="C168" s="20" t="s">
        <v>27</v>
      </c>
      <c r="D168" s="20" t="s">
        <v>24</v>
      </c>
      <c r="E168" s="28">
        <v>14</v>
      </c>
      <c r="F168" s="28" t="s">
        <v>616</v>
      </c>
      <c r="G168" s="119">
        <f>34+10</f>
        <v>44</v>
      </c>
      <c r="H168" s="119">
        <f t="shared" si="45"/>
        <v>616</v>
      </c>
      <c r="I168" s="323">
        <v>3.5</v>
      </c>
      <c r="J168" s="214">
        <v>4.5599999999999996</v>
      </c>
      <c r="K168" s="215">
        <v>0</v>
      </c>
      <c r="L168" s="216">
        <v>0</v>
      </c>
      <c r="M168" s="221">
        <f t="shared" si="46"/>
        <v>4.5599999999999996</v>
      </c>
      <c r="N168" s="218">
        <v>0.33</v>
      </c>
      <c r="O168" s="219">
        <v>0.1</v>
      </c>
      <c r="P168" s="220">
        <v>0.1</v>
      </c>
      <c r="Q168" s="323">
        <f t="shared" si="47"/>
        <v>49</v>
      </c>
      <c r="R168" s="214">
        <f t="shared" si="48"/>
        <v>63.839999999999996</v>
      </c>
      <c r="S168" s="215">
        <f t="shared" si="49"/>
        <v>0</v>
      </c>
      <c r="T168" s="216">
        <f t="shared" si="50"/>
        <v>0</v>
      </c>
      <c r="U168" s="221">
        <f t="shared" si="51"/>
        <v>63.839999999999996</v>
      </c>
      <c r="V168" s="218">
        <f t="shared" si="52"/>
        <v>4.62</v>
      </c>
      <c r="W168" s="219">
        <f t="shared" si="53"/>
        <v>1.4000000000000001</v>
      </c>
      <c r="X168" s="220">
        <f t="shared" si="54"/>
        <v>1.4000000000000001</v>
      </c>
      <c r="Y168" s="14"/>
    </row>
    <row r="169" spans="1:25" ht="12" customHeight="1">
      <c r="A169" s="95"/>
      <c r="B169" s="86"/>
      <c r="C169" s="20" t="s">
        <v>27</v>
      </c>
      <c r="D169" s="20" t="s">
        <v>24</v>
      </c>
      <c r="E169" s="28">
        <v>7</v>
      </c>
      <c r="F169" s="28" t="s">
        <v>617</v>
      </c>
      <c r="G169" s="119">
        <v>14</v>
      </c>
      <c r="H169" s="119">
        <f t="shared" si="45"/>
        <v>98</v>
      </c>
      <c r="I169" s="323">
        <v>1</v>
      </c>
      <c r="J169" s="214">
        <v>3.92</v>
      </c>
      <c r="K169" s="215">
        <v>0.8</v>
      </c>
      <c r="L169" s="216">
        <v>0.12</v>
      </c>
      <c r="M169" s="221">
        <f>J169+K169</f>
        <v>4.72</v>
      </c>
      <c r="N169" s="218">
        <v>0.28999999999999998</v>
      </c>
      <c r="O169" s="219">
        <v>0.1</v>
      </c>
      <c r="P169" s="220">
        <v>0.1</v>
      </c>
      <c r="Q169" s="323">
        <f t="shared" si="47"/>
        <v>7</v>
      </c>
      <c r="R169" s="214">
        <f t="shared" si="48"/>
        <v>27.439999999999998</v>
      </c>
      <c r="S169" s="215">
        <f t="shared" si="49"/>
        <v>5.6000000000000005</v>
      </c>
      <c r="T169" s="216">
        <f t="shared" si="50"/>
        <v>0.84</v>
      </c>
      <c r="U169" s="221">
        <f t="shared" si="51"/>
        <v>33.04</v>
      </c>
      <c r="V169" s="218">
        <f t="shared" si="52"/>
        <v>2.0299999999999998</v>
      </c>
      <c r="W169" s="219">
        <f t="shared" si="53"/>
        <v>0.70000000000000007</v>
      </c>
      <c r="X169" s="220">
        <f t="shared" si="54"/>
        <v>0.70000000000000007</v>
      </c>
      <c r="Y169" s="14"/>
    </row>
    <row r="170" spans="1:25" ht="12" customHeight="1">
      <c r="A170" s="95">
        <v>40449</v>
      </c>
      <c r="B170" s="86">
        <v>679</v>
      </c>
      <c r="C170" s="20" t="s">
        <v>30</v>
      </c>
      <c r="D170" s="20" t="s">
        <v>42</v>
      </c>
      <c r="E170" s="28">
        <v>7</v>
      </c>
      <c r="F170" s="28" t="s">
        <v>618</v>
      </c>
      <c r="G170" s="119">
        <v>30</v>
      </c>
      <c r="H170" s="119">
        <f t="shared" si="45"/>
        <v>210</v>
      </c>
      <c r="I170" s="323">
        <v>3.5</v>
      </c>
      <c r="J170" s="214">
        <v>6.27</v>
      </c>
      <c r="K170" s="215">
        <v>0</v>
      </c>
      <c r="L170" s="216">
        <v>0</v>
      </c>
      <c r="M170" s="221">
        <f t="shared" si="46"/>
        <v>6.27</v>
      </c>
      <c r="N170" s="218">
        <v>0.33</v>
      </c>
      <c r="O170" s="219">
        <v>0.1</v>
      </c>
      <c r="P170" s="220">
        <v>0.1</v>
      </c>
      <c r="Q170" s="323">
        <f t="shared" si="47"/>
        <v>24.5</v>
      </c>
      <c r="R170" s="214">
        <f t="shared" si="48"/>
        <v>43.89</v>
      </c>
      <c r="S170" s="215">
        <f t="shared" si="49"/>
        <v>0</v>
      </c>
      <c r="T170" s="216">
        <f t="shared" si="50"/>
        <v>0</v>
      </c>
      <c r="U170" s="221">
        <f t="shared" si="51"/>
        <v>43.89</v>
      </c>
      <c r="V170" s="218">
        <f t="shared" si="52"/>
        <v>2.31</v>
      </c>
      <c r="W170" s="219">
        <f t="shared" si="53"/>
        <v>0.70000000000000007</v>
      </c>
      <c r="X170" s="220">
        <f t="shared" si="54"/>
        <v>0.70000000000000007</v>
      </c>
      <c r="Y170" s="14"/>
    </row>
    <row r="171" spans="1:25" ht="12" customHeight="1">
      <c r="A171" s="95"/>
      <c r="B171" s="86"/>
      <c r="C171" s="20" t="s">
        <v>30</v>
      </c>
      <c r="D171" s="20" t="s">
        <v>42</v>
      </c>
      <c r="E171" s="28">
        <v>1</v>
      </c>
      <c r="F171" s="28" t="s">
        <v>619</v>
      </c>
      <c r="G171" s="119">
        <v>30</v>
      </c>
      <c r="H171" s="119">
        <f t="shared" si="45"/>
        <v>30</v>
      </c>
      <c r="I171" s="323">
        <v>3.5</v>
      </c>
      <c r="J171" s="214">
        <v>6.77</v>
      </c>
      <c r="K171" s="215">
        <v>0</v>
      </c>
      <c r="L171" s="216">
        <v>0</v>
      </c>
      <c r="M171" s="221">
        <f t="shared" si="46"/>
        <v>6.77</v>
      </c>
      <c r="N171" s="218">
        <v>0.33</v>
      </c>
      <c r="O171" s="219">
        <v>0.1</v>
      </c>
      <c r="P171" s="220">
        <v>0.1</v>
      </c>
      <c r="Q171" s="323">
        <f t="shared" si="47"/>
        <v>3.5</v>
      </c>
      <c r="R171" s="214">
        <f t="shared" si="48"/>
        <v>6.77</v>
      </c>
      <c r="S171" s="215">
        <f t="shared" si="49"/>
        <v>0</v>
      </c>
      <c r="T171" s="216">
        <f t="shared" si="50"/>
        <v>0</v>
      </c>
      <c r="U171" s="221">
        <f t="shared" si="51"/>
        <v>6.77</v>
      </c>
      <c r="V171" s="218">
        <f t="shared" si="52"/>
        <v>0.33</v>
      </c>
      <c r="W171" s="219">
        <f t="shared" si="53"/>
        <v>0.1</v>
      </c>
      <c r="X171" s="220">
        <f t="shared" si="54"/>
        <v>0.1</v>
      </c>
      <c r="Y171" s="14"/>
    </row>
    <row r="172" spans="1:25" ht="12" customHeight="1">
      <c r="A172" s="95">
        <v>40450</v>
      </c>
      <c r="B172" s="86">
        <v>680</v>
      </c>
      <c r="C172" s="20" t="s">
        <v>425</v>
      </c>
      <c r="D172" s="20" t="s">
        <v>620</v>
      </c>
      <c r="E172" s="28">
        <v>35</v>
      </c>
      <c r="F172" s="28" t="s">
        <v>621</v>
      </c>
      <c r="G172" s="119">
        <v>50</v>
      </c>
      <c r="H172" s="119">
        <f t="shared" si="45"/>
        <v>1750</v>
      </c>
      <c r="I172" s="323">
        <v>5.5</v>
      </c>
      <c r="J172" s="214">
        <v>6.1</v>
      </c>
      <c r="K172" s="215">
        <v>9.1</v>
      </c>
      <c r="L172" s="216">
        <v>1.37</v>
      </c>
      <c r="M172" s="221">
        <f t="shared" si="46"/>
        <v>15.2</v>
      </c>
      <c r="N172" s="218">
        <v>0.67</v>
      </c>
      <c r="O172" s="219">
        <v>0.1</v>
      </c>
      <c r="P172" s="220">
        <v>0.25</v>
      </c>
      <c r="Q172" s="323">
        <f t="shared" si="47"/>
        <v>192.5</v>
      </c>
      <c r="R172" s="214">
        <f t="shared" si="48"/>
        <v>213.5</v>
      </c>
      <c r="S172" s="215">
        <f t="shared" si="49"/>
        <v>318.5</v>
      </c>
      <c r="T172" s="216">
        <f t="shared" si="50"/>
        <v>47.95</v>
      </c>
      <c r="U172" s="221">
        <f t="shared" si="51"/>
        <v>532</v>
      </c>
      <c r="V172" s="218">
        <f t="shared" si="52"/>
        <v>23.450000000000003</v>
      </c>
      <c r="W172" s="219">
        <f t="shared" si="53"/>
        <v>3.5</v>
      </c>
      <c r="X172" s="220">
        <f t="shared" si="54"/>
        <v>8.75</v>
      </c>
      <c r="Y172" s="14"/>
    </row>
    <row r="173" spans="1:25" ht="12" customHeight="1">
      <c r="A173" s="95"/>
      <c r="B173" s="86"/>
      <c r="C173" s="20" t="s">
        <v>425</v>
      </c>
      <c r="D173" s="20" t="s">
        <v>620</v>
      </c>
      <c r="E173" s="28">
        <v>9</v>
      </c>
      <c r="F173" s="28" t="s">
        <v>622</v>
      </c>
      <c r="G173" s="119">
        <v>30</v>
      </c>
      <c r="H173" s="119">
        <f t="shared" si="45"/>
        <v>270</v>
      </c>
      <c r="I173" s="323">
        <v>3.5</v>
      </c>
      <c r="J173" s="214">
        <v>7.32</v>
      </c>
      <c r="K173" s="215">
        <v>2.5</v>
      </c>
      <c r="L173" s="216">
        <v>0.38</v>
      </c>
      <c r="M173" s="221">
        <f t="shared" si="46"/>
        <v>9.82</v>
      </c>
      <c r="N173" s="218">
        <v>0.33</v>
      </c>
      <c r="O173" s="219">
        <v>0.1</v>
      </c>
      <c r="P173" s="220">
        <v>0.1</v>
      </c>
      <c r="Q173" s="323">
        <f t="shared" si="47"/>
        <v>31.5</v>
      </c>
      <c r="R173" s="214">
        <f t="shared" si="48"/>
        <v>65.88</v>
      </c>
      <c r="S173" s="215">
        <f t="shared" si="49"/>
        <v>22.5</v>
      </c>
      <c r="T173" s="216">
        <f t="shared" si="50"/>
        <v>3.42</v>
      </c>
      <c r="U173" s="221">
        <f t="shared" si="51"/>
        <v>88.38</v>
      </c>
      <c r="V173" s="218">
        <f t="shared" si="52"/>
        <v>2.97</v>
      </c>
      <c r="W173" s="219">
        <f t="shared" si="53"/>
        <v>0.9</v>
      </c>
      <c r="X173" s="220">
        <f t="shared" si="54"/>
        <v>0.9</v>
      </c>
      <c r="Y173" s="14"/>
    </row>
    <row r="174" spans="1:25" ht="12" customHeight="1">
      <c r="A174" s="95"/>
      <c r="B174" s="86"/>
      <c r="C174" s="20" t="s">
        <v>425</v>
      </c>
      <c r="D174" s="20" t="s">
        <v>620</v>
      </c>
      <c r="E174" s="28">
        <v>12</v>
      </c>
      <c r="F174" s="28" t="s">
        <v>623</v>
      </c>
      <c r="G174" s="119">
        <v>12.5</v>
      </c>
      <c r="H174" s="119">
        <f t="shared" si="45"/>
        <v>150</v>
      </c>
      <c r="I174" s="323">
        <v>1</v>
      </c>
      <c r="J174" s="214">
        <v>0.55000000000000004</v>
      </c>
      <c r="K174" s="215">
        <v>2.5</v>
      </c>
      <c r="L174" s="216">
        <v>0.38</v>
      </c>
      <c r="M174" s="221">
        <f t="shared" si="46"/>
        <v>3.05</v>
      </c>
      <c r="N174" s="218">
        <v>0.28999999999999998</v>
      </c>
      <c r="O174" s="219">
        <v>0.1</v>
      </c>
      <c r="P174" s="220">
        <v>0.1</v>
      </c>
      <c r="Q174" s="323">
        <f t="shared" si="47"/>
        <v>12</v>
      </c>
      <c r="R174" s="214">
        <f t="shared" si="48"/>
        <v>6.6000000000000005</v>
      </c>
      <c r="S174" s="215">
        <f t="shared" si="49"/>
        <v>30</v>
      </c>
      <c r="T174" s="216">
        <f t="shared" si="50"/>
        <v>4.5600000000000005</v>
      </c>
      <c r="U174" s="221">
        <f t="shared" si="51"/>
        <v>36.599999999999994</v>
      </c>
      <c r="V174" s="218">
        <f t="shared" si="52"/>
        <v>3.4799999999999995</v>
      </c>
      <c r="W174" s="219">
        <f t="shared" si="53"/>
        <v>1.2000000000000002</v>
      </c>
      <c r="X174" s="220">
        <f t="shared" si="54"/>
        <v>1.2000000000000002</v>
      </c>
      <c r="Y174" s="14"/>
    </row>
    <row r="175" spans="1:25" ht="12" customHeight="1">
      <c r="A175" s="95">
        <v>40451</v>
      </c>
      <c r="B175" s="86">
        <v>681</v>
      </c>
      <c r="C175" s="20" t="s">
        <v>624</v>
      </c>
      <c r="D175" s="20" t="s">
        <v>408</v>
      </c>
      <c r="E175" s="28">
        <v>10</v>
      </c>
      <c r="F175" s="28" t="s">
        <v>625</v>
      </c>
      <c r="G175" s="119">
        <v>40</v>
      </c>
      <c r="H175" s="119">
        <f t="shared" si="45"/>
        <v>400</v>
      </c>
      <c r="I175" s="323">
        <v>3.5</v>
      </c>
      <c r="J175" s="214">
        <v>9.2100000000000009</v>
      </c>
      <c r="K175" s="215">
        <v>2.9</v>
      </c>
      <c r="L175" s="216">
        <v>0.44</v>
      </c>
      <c r="M175" s="221">
        <f t="shared" si="46"/>
        <v>12.110000000000001</v>
      </c>
      <c r="N175" s="218">
        <v>0.33</v>
      </c>
      <c r="O175" s="219">
        <v>0.1</v>
      </c>
      <c r="P175" s="220">
        <v>0.1</v>
      </c>
      <c r="Q175" s="323">
        <f t="shared" si="47"/>
        <v>35</v>
      </c>
      <c r="R175" s="214">
        <f t="shared" si="48"/>
        <v>92.100000000000009</v>
      </c>
      <c r="S175" s="215">
        <f t="shared" si="49"/>
        <v>29</v>
      </c>
      <c r="T175" s="216">
        <f t="shared" si="50"/>
        <v>4.4000000000000004</v>
      </c>
      <c r="U175" s="221">
        <f t="shared" si="51"/>
        <v>121.10000000000001</v>
      </c>
      <c r="V175" s="218">
        <f t="shared" si="52"/>
        <v>3.3000000000000003</v>
      </c>
      <c r="W175" s="219">
        <f t="shared" si="53"/>
        <v>1</v>
      </c>
      <c r="X175" s="220">
        <f t="shared" si="54"/>
        <v>1</v>
      </c>
      <c r="Y175" s="14"/>
    </row>
    <row r="176" spans="1:25" ht="12" customHeight="1">
      <c r="A176" s="95">
        <v>40451</v>
      </c>
      <c r="B176" s="86">
        <v>682</v>
      </c>
      <c r="C176" s="20" t="s">
        <v>203</v>
      </c>
      <c r="D176" s="20" t="s">
        <v>158</v>
      </c>
      <c r="E176" s="28">
        <v>28</v>
      </c>
      <c r="F176" s="28" t="s">
        <v>626</v>
      </c>
      <c r="G176" s="119">
        <v>45</v>
      </c>
      <c r="H176" s="119">
        <f t="shared" si="45"/>
        <v>1260</v>
      </c>
      <c r="I176" s="323">
        <v>6</v>
      </c>
      <c r="J176" s="214">
        <v>3.9</v>
      </c>
      <c r="K176" s="215">
        <v>3.7</v>
      </c>
      <c r="L176" s="216">
        <v>0.56000000000000005</v>
      </c>
      <c r="M176" s="221">
        <f t="shared" si="46"/>
        <v>7.6</v>
      </c>
      <c r="N176" s="218">
        <v>0.57999999999999996</v>
      </c>
      <c r="O176" s="219">
        <v>0.1</v>
      </c>
      <c r="P176" s="220">
        <v>0.1</v>
      </c>
      <c r="Q176" s="323">
        <f t="shared" si="47"/>
        <v>168</v>
      </c>
      <c r="R176" s="214">
        <f t="shared" si="48"/>
        <v>109.2</v>
      </c>
      <c r="S176" s="215">
        <f t="shared" si="49"/>
        <v>103.60000000000001</v>
      </c>
      <c r="T176" s="216">
        <f t="shared" si="50"/>
        <v>15.680000000000001</v>
      </c>
      <c r="U176" s="221">
        <f t="shared" si="51"/>
        <v>212.79999999999998</v>
      </c>
      <c r="V176" s="218">
        <f t="shared" si="52"/>
        <v>16.239999999999998</v>
      </c>
      <c r="W176" s="219">
        <f t="shared" si="53"/>
        <v>2.8000000000000003</v>
      </c>
      <c r="X176" s="220">
        <f t="shared" si="54"/>
        <v>2.8000000000000003</v>
      </c>
      <c r="Y176" s="14"/>
    </row>
    <row r="177" spans="1:25" ht="12" customHeight="1">
      <c r="A177" s="95"/>
      <c r="B177" s="86"/>
      <c r="C177" s="20" t="s">
        <v>203</v>
      </c>
      <c r="D177" s="20" t="s">
        <v>158</v>
      </c>
      <c r="E177" s="28">
        <v>40</v>
      </c>
      <c r="F177" s="28" t="s">
        <v>627</v>
      </c>
      <c r="G177" s="119">
        <v>35</v>
      </c>
      <c r="H177" s="119">
        <f t="shared" si="45"/>
        <v>1400</v>
      </c>
      <c r="I177" s="323">
        <v>3.5</v>
      </c>
      <c r="J177" s="214">
        <v>5.5</v>
      </c>
      <c r="K177" s="215">
        <v>1.6</v>
      </c>
      <c r="L177" s="216">
        <v>0.24</v>
      </c>
      <c r="M177" s="221">
        <f t="shared" si="46"/>
        <v>7.1</v>
      </c>
      <c r="N177" s="218">
        <v>0.33</v>
      </c>
      <c r="O177" s="219">
        <v>0.1</v>
      </c>
      <c r="P177" s="220">
        <v>0.1</v>
      </c>
      <c r="Q177" s="323">
        <f t="shared" si="47"/>
        <v>140</v>
      </c>
      <c r="R177" s="214">
        <f t="shared" si="48"/>
        <v>220</v>
      </c>
      <c r="S177" s="215">
        <f t="shared" si="49"/>
        <v>64</v>
      </c>
      <c r="T177" s="216">
        <f t="shared" si="50"/>
        <v>9.6</v>
      </c>
      <c r="U177" s="221">
        <f t="shared" si="51"/>
        <v>284</v>
      </c>
      <c r="V177" s="218">
        <f t="shared" si="52"/>
        <v>13.200000000000001</v>
      </c>
      <c r="W177" s="219">
        <f t="shared" si="53"/>
        <v>4</v>
      </c>
      <c r="X177" s="220">
        <f t="shared" si="54"/>
        <v>4</v>
      </c>
      <c r="Y177" s="14"/>
    </row>
    <row r="178" spans="1:25" ht="12" customHeight="1">
      <c r="A178" s="95"/>
      <c r="B178" s="86"/>
      <c r="C178" s="20" t="s">
        <v>203</v>
      </c>
      <c r="D178" s="20" t="s">
        <v>158</v>
      </c>
      <c r="E178" s="28">
        <v>10</v>
      </c>
      <c r="F178" s="28" t="s">
        <v>628</v>
      </c>
      <c r="G178" s="119">
        <v>37</v>
      </c>
      <c r="H178" s="119">
        <f t="shared" si="45"/>
        <v>370</v>
      </c>
      <c r="I178" s="323">
        <v>6.5</v>
      </c>
      <c r="J178" s="214">
        <v>7.81</v>
      </c>
      <c r="K178" s="215">
        <v>1.6</v>
      </c>
      <c r="L178" s="216">
        <v>0.24</v>
      </c>
      <c r="M178" s="221">
        <f t="shared" si="46"/>
        <v>9.41</v>
      </c>
      <c r="N178" s="218">
        <v>0.57999999999999996</v>
      </c>
      <c r="O178" s="219">
        <v>0.15</v>
      </c>
      <c r="P178" s="220">
        <v>0.2</v>
      </c>
      <c r="Q178" s="323">
        <f t="shared" si="47"/>
        <v>65</v>
      </c>
      <c r="R178" s="214">
        <f t="shared" si="48"/>
        <v>78.099999999999994</v>
      </c>
      <c r="S178" s="215">
        <f t="shared" si="49"/>
        <v>16</v>
      </c>
      <c r="T178" s="216">
        <f t="shared" si="50"/>
        <v>2.4</v>
      </c>
      <c r="U178" s="221">
        <f t="shared" si="51"/>
        <v>94.1</v>
      </c>
      <c r="V178" s="218">
        <f t="shared" si="52"/>
        <v>5.8</v>
      </c>
      <c r="W178" s="219">
        <f t="shared" si="53"/>
        <v>1.5</v>
      </c>
      <c r="X178" s="220">
        <f t="shared" si="54"/>
        <v>2</v>
      </c>
      <c r="Y178" s="14"/>
    </row>
    <row r="179" spans="1:25" ht="12" customHeight="1">
      <c r="A179" s="95"/>
      <c r="B179" s="86"/>
      <c r="C179" s="20" t="s">
        <v>203</v>
      </c>
      <c r="D179" s="20" t="s">
        <v>158</v>
      </c>
      <c r="E179" s="28">
        <v>10</v>
      </c>
      <c r="F179" s="28" t="s">
        <v>629</v>
      </c>
      <c r="G179" s="119">
        <v>13.5</v>
      </c>
      <c r="H179" s="119">
        <f t="shared" si="45"/>
        <v>135</v>
      </c>
      <c r="I179" s="323">
        <v>1</v>
      </c>
      <c r="J179" s="214">
        <v>2.5299999999999998</v>
      </c>
      <c r="K179" s="215">
        <v>1.6</v>
      </c>
      <c r="L179" s="216">
        <v>0.24</v>
      </c>
      <c r="M179" s="221">
        <f t="shared" si="46"/>
        <v>4.13</v>
      </c>
      <c r="N179" s="218">
        <v>0.28999999999999998</v>
      </c>
      <c r="O179" s="219">
        <v>0.1</v>
      </c>
      <c r="P179" s="220">
        <v>0.1</v>
      </c>
      <c r="Q179" s="323">
        <f t="shared" si="47"/>
        <v>10</v>
      </c>
      <c r="R179" s="214">
        <f t="shared" si="48"/>
        <v>25.299999999999997</v>
      </c>
      <c r="S179" s="215">
        <f t="shared" si="49"/>
        <v>16</v>
      </c>
      <c r="T179" s="216">
        <f t="shared" si="50"/>
        <v>2.4</v>
      </c>
      <c r="U179" s="221">
        <f t="shared" si="51"/>
        <v>41.3</v>
      </c>
      <c r="V179" s="218">
        <f t="shared" si="52"/>
        <v>2.9</v>
      </c>
      <c r="W179" s="219">
        <f t="shared" si="53"/>
        <v>1</v>
      </c>
      <c r="X179" s="220">
        <f t="shared" si="54"/>
        <v>1</v>
      </c>
      <c r="Y179" s="14"/>
    </row>
    <row r="180" spans="1:25" ht="12" customHeight="1">
      <c r="A180" s="95"/>
      <c r="B180" s="86"/>
      <c r="C180" s="20" t="s">
        <v>203</v>
      </c>
      <c r="D180" s="20" t="s">
        <v>158</v>
      </c>
      <c r="E180" s="28">
        <v>15</v>
      </c>
      <c r="F180" s="28" t="s">
        <v>630</v>
      </c>
      <c r="G180" s="119">
        <v>45</v>
      </c>
      <c r="H180" s="119">
        <f t="shared" si="45"/>
        <v>675</v>
      </c>
      <c r="I180" s="323">
        <v>6</v>
      </c>
      <c r="J180" s="214">
        <v>3.9</v>
      </c>
      <c r="K180" s="215">
        <v>3.7</v>
      </c>
      <c r="L180" s="216">
        <v>0.56000000000000005</v>
      </c>
      <c r="M180" s="221">
        <f t="shared" si="46"/>
        <v>7.6</v>
      </c>
      <c r="N180" s="218">
        <v>0.57999999999999996</v>
      </c>
      <c r="O180" s="219">
        <v>0.1</v>
      </c>
      <c r="P180" s="220">
        <v>0.1</v>
      </c>
      <c r="Q180" s="323">
        <f t="shared" si="47"/>
        <v>90</v>
      </c>
      <c r="R180" s="214">
        <f t="shared" si="48"/>
        <v>58.5</v>
      </c>
      <c r="S180" s="215">
        <f t="shared" si="49"/>
        <v>55.5</v>
      </c>
      <c r="T180" s="216">
        <f t="shared" si="50"/>
        <v>8.4</v>
      </c>
      <c r="U180" s="221">
        <f t="shared" si="51"/>
        <v>114</v>
      </c>
      <c r="V180" s="218">
        <f t="shared" si="52"/>
        <v>8.6999999999999993</v>
      </c>
      <c r="W180" s="219">
        <f t="shared" si="53"/>
        <v>1.5</v>
      </c>
      <c r="X180" s="220">
        <f t="shared" si="54"/>
        <v>1.5</v>
      </c>
      <c r="Y180" s="14"/>
    </row>
    <row r="181" spans="1:25" ht="12" customHeight="1">
      <c r="A181" s="95">
        <v>40449</v>
      </c>
      <c r="B181" s="86">
        <v>683</v>
      </c>
      <c r="C181" s="20" t="s">
        <v>631</v>
      </c>
      <c r="D181" s="20" t="s">
        <v>632</v>
      </c>
      <c r="E181" s="28">
        <v>25</v>
      </c>
      <c r="F181" s="28" t="s">
        <v>633</v>
      </c>
      <c r="G181" s="119">
        <v>38.5</v>
      </c>
      <c r="H181" s="119">
        <f t="shared" si="45"/>
        <v>962.5</v>
      </c>
      <c r="I181" s="323">
        <v>2.5</v>
      </c>
      <c r="J181" s="214">
        <v>4.72</v>
      </c>
      <c r="K181" s="215">
        <v>2.7</v>
      </c>
      <c r="L181" s="216">
        <v>0.41</v>
      </c>
      <c r="M181" s="221">
        <f t="shared" si="46"/>
        <v>7.42</v>
      </c>
      <c r="N181" s="218">
        <v>0.57999999999999996</v>
      </c>
      <c r="O181" s="219">
        <v>0.1</v>
      </c>
      <c r="P181" s="220">
        <v>0.1</v>
      </c>
      <c r="Q181" s="323">
        <f t="shared" si="47"/>
        <v>62.5</v>
      </c>
      <c r="R181" s="214">
        <f t="shared" si="48"/>
        <v>118</v>
      </c>
      <c r="S181" s="215">
        <f t="shared" si="49"/>
        <v>67.5</v>
      </c>
      <c r="T181" s="216">
        <f t="shared" si="50"/>
        <v>10.25</v>
      </c>
      <c r="U181" s="221">
        <f t="shared" si="51"/>
        <v>185.5</v>
      </c>
      <c r="V181" s="218">
        <f t="shared" si="52"/>
        <v>14.499999999999998</v>
      </c>
      <c r="W181" s="219">
        <f t="shared" si="53"/>
        <v>2.5</v>
      </c>
      <c r="X181" s="220">
        <f t="shared" si="54"/>
        <v>2.5</v>
      </c>
      <c r="Y181" s="14"/>
    </row>
    <row r="182" spans="1:25" ht="12" customHeight="1">
      <c r="A182" s="95"/>
      <c r="B182" s="86"/>
      <c r="C182" s="20" t="s">
        <v>631</v>
      </c>
      <c r="D182" s="20" t="s">
        <v>632</v>
      </c>
      <c r="E182" s="28">
        <v>25</v>
      </c>
      <c r="F182" s="28" t="s">
        <v>634</v>
      </c>
      <c r="G182" s="119">
        <v>45</v>
      </c>
      <c r="H182" s="119">
        <f t="shared" si="45"/>
        <v>1125</v>
      </c>
      <c r="I182" s="323">
        <v>6</v>
      </c>
      <c r="J182" s="214">
        <v>0.4</v>
      </c>
      <c r="K182" s="215">
        <v>2.6</v>
      </c>
      <c r="L182" s="216">
        <v>0.39</v>
      </c>
      <c r="M182" s="221">
        <f t="shared" si="46"/>
        <v>3</v>
      </c>
      <c r="N182" s="218">
        <v>0</v>
      </c>
      <c r="O182" s="219">
        <v>0.1</v>
      </c>
      <c r="P182" s="220">
        <v>0.1</v>
      </c>
      <c r="Q182" s="323">
        <f t="shared" si="47"/>
        <v>150</v>
      </c>
      <c r="R182" s="214">
        <f t="shared" si="48"/>
        <v>10</v>
      </c>
      <c r="S182" s="215">
        <f t="shared" si="49"/>
        <v>65</v>
      </c>
      <c r="T182" s="216">
        <f t="shared" si="50"/>
        <v>9.75</v>
      </c>
      <c r="U182" s="221">
        <f t="shared" si="51"/>
        <v>75</v>
      </c>
      <c r="V182" s="218">
        <f t="shared" si="52"/>
        <v>0</v>
      </c>
      <c r="W182" s="219">
        <f t="shared" si="53"/>
        <v>2.5</v>
      </c>
      <c r="X182" s="220">
        <f t="shared" si="54"/>
        <v>2.5</v>
      </c>
      <c r="Y182" s="14"/>
    </row>
    <row r="183" spans="1:25" ht="12" customHeight="1">
      <c r="A183" s="95"/>
      <c r="B183" s="86"/>
      <c r="C183" s="20" t="s">
        <v>631</v>
      </c>
      <c r="D183" s="20" t="s">
        <v>632</v>
      </c>
      <c r="E183" s="28">
        <v>4</v>
      </c>
      <c r="F183" s="28" t="s">
        <v>635</v>
      </c>
      <c r="G183" s="119">
        <v>45</v>
      </c>
      <c r="H183" s="119">
        <f t="shared" si="45"/>
        <v>180</v>
      </c>
      <c r="I183" s="323">
        <v>6</v>
      </c>
      <c r="J183" s="214">
        <v>4.72</v>
      </c>
      <c r="K183" s="215">
        <v>2.7</v>
      </c>
      <c r="L183" s="216">
        <v>0.41</v>
      </c>
      <c r="M183" s="221">
        <f t="shared" si="46"/>
        <v>7.42</v>
      </c>
      <c r="N183" s="218">
        <v>0.57999999999999996</v>
      </c>
      <c r="O183" s="219">
        <v>0.1</v>
      </c>
      <c r="P183" s="220">
        <v>0.1</v>
      </c>
      <c r="Q183" s="323">
        <f t="shared" si="47"/>
        <v>24</v>
      </c>
      <c r="R183" s="214">
        <f t="shared" si="48"/>
        <v>18.88</v>
      </c>
      <c r="S183" s="215">
        <f t="shared" si="49"/>
        <v>10.8</v>
      </c>
      <c r="T183" s="216">
        <f t="shared" si="50"/>
        <v>1.64</v>
      </c>
      <c r="U183" s="221">
        <f t="shared" si="51"/>
        <v>29.68</v>
      </c>
      <c r="V183" s="218">
        <f t="shared" si="52"/>
        <v>2.3199999999999998</v>
      </c>
      <c r="W183" s="219">
        <f t="shared" si="53"/>
        <v>0.4</v>
      </c>
      <c r="X183" s="220">
        <f t="shared" si="54"/>
        <v>0.4</v>
      </c>
      <c r="Y183" s="14"/>
    </row>
    <row r="184" spans="1:25" ht="12" customHeight="1">
      <c r="A184" s="95"/>
      <c r="B184" s="86"/>
      <c r="C184" s="20" t="s">
        <v>631</v>
      </c>
      <c r="D184" s="20" t="s">
        <v>632</v>
      </c>
      <c r="E184" s="28">
        <v>2</v>
      </c>
      <c r="F184" s="28" t="s">
        <v>636</v>
      </c>
      <c r="G184" s="119">
        <v>38.5</v>
      </c>
      <c r="H184" s="119">
        <f t="shared" si="45"/>
        <v>77</v>
      </c>
      <c r="I184" s="323">
        <v>6</v>
      </c>
      <c r="J184" s="214">
        <v>0.4</v>
      </c>
      <c r="K184" s="215">
        <v>2.6</v>
      </c>
      <c r="L184" s="216">
        <v>0.39</v>
      </c>
      <c r="M184" s="221">
        <f t="shared" si="46"/>
        <v>3</v>
      </c>
      <c r="N184" s="218">
        <v>0</v>
      </c>
      <c r="O184" s="219">
        <v>0.1</v>
      </c>
      <c r="P184" s="220">
        <v>0.1</v>
      </c>
      <c r="Q184" s="323">
        <f t="shared" si="47"/>
        <v>12</v>
      </c>
      <c r="R184" s="214">
        <f t="shared" si="48"/>
        <v>0.8</v>
      </c>
      <c r="S184" s="215">
        <f t="shared" si="49"/>
        <v>5.2</v>
      </c>
      <c r="T184" s="216">
        <f t="shared" si="50"/>
        <v>0.78</v>
      </c>
      <c r="U184" s="221">
        <f t="shared" si="51"/>
        <v>6</v>
      </c>
      <c r="V184" s="218">
        <f t="shared" si="52"/>
        <v>0</v>
      </c>
      <c r="W184" s="219">
        <f t="shared" si="53"/>
        <v>0.2</v>
      </c>
      <c r="X184" s="220">
        <f t="shared" si="54"/>
        <v>0.2</v>
      </c>
      <c r="Y184" s="14"/>
    </row>
    <row r="185" spans="1:25" ht="12" customHeight="1">
      <c r="A185" s="95">
        <v>40451</v>
      </c>
      <c r="B185" s="86">
        <v>684</v>
      </c>
      <c r="C185" s="20" t="s">
        <v>21</v>
      </c>
      <c r="D185" s="20" t="s">
        <v>42</v>
      </c>
      <c r="E185" s="28">
        <v>332</v>
      </c>
      <c r="F185" s="28" t="s">
        <v>637</v>
      </c>
      <c r="G185" s="119">
        <v>12.5</v>
      </c>
      <c r="H185" s="119">
        <f t="shared" si="45"/>
        <v>4150</v>
      </c>
      <c r="I185" s="323">
        <v>1.5</v>
      </c>
      <c r="J185" s="214">
        <v>1.91</v>
      </c>
      <c r="K185" s="215">
        <v>1.4</v>
      </c>
      <c r="L185" s="216">
        <v>0.21</v>
      </c>
      <c r="M185" s="221">
        <f t="shared" si="46"/>
        <v>3.3099999999999996</v>
      </c>
      <c r="N185" s="218">
        <v>0.21</v>
      </c>
      <c r="O185" s="219">
        <v>0.1</v>
      </c>
      <c r="P185" s="220">
        <v>0.1</v>
      </c>
      <c r="Q185" s="323">
        <f t="shared" si="47"/>
        <v>498</v>
      </c>
      <c r="R185" s="214">
        <f t="shared" si="48"/>
        <v>634.12</v>
      </c>
      <c r="S185" s="215">
        <f t="shared" si="49"/>
        <v>464.79999999999995</v>
      </c>
      <c r="T185" s="216">
        <f t="shared" si="50"/>
        <v>69.72</v>
      </c>
      <c r="U185" s="221">
        <f t="shared" si="51"/>
        <v>1098.9199999999998</v>
      </c>
      <c r="V185" s="218">
        <f t="shared" si="52"/>
        <v>69.72</v>
      </c>
      <c r="W185" s="219">
        <f t="shared" si="53"/>
        <v>33.200000000000003</v>
      </c>
      <c r="X185" s="220">
        <f t="shared" si="54"/>
        <v>33.200000000000003</v>
      </c>
      <c r="Y185" s="14"/>
    </row>
    <row r="186" spans="1:25" ht="12" customHeight="1">
      <c r="A186" s="95"/>
      <c r="B186" s="86"/>
      <c r="C186" s="20" t="s">
        <v>21</v>
      </c>
      <c r="D186" s="20" t="s">
        <v>42</v>
      </c>
      <c r="E186" s="28">
        <v>332</v>
      </c>
      <c r="F186" s="28" t="s">
        <v>638</v>
      </c>
      <c r="G186" s="119">
        <v>12.5</v>
      </c>
      <c r="H186" s="119">
        <f t="shared" si="45"/>
        <v>4150</v>
      </c>
      <c r="I186" s="323">
        <v>1.5</v>
      </c>
      <c r="J186" s="214">
        <v>2.14</v>
      </c>
      <c r="K186" s="215">
        <v>1.3</v>
      </c>
      <c r="L186" s="216">
        <v>0.2</v>
      </c>
      <c r="M186" s="221">
        <f t="shared" si="46"/>
        <v>3.4400000000000004</v>
      </c>
      <c r="N186" s="218">
        <v>0.21</v>
      </c>
      <c r="O186" s="219">
        <v>0.1</v>
      </c>
      <c r="P186" s="220">
        <v>0.1</v>
      </c>
      <c r="Q186" s="323">
        <f t="shared" si="47"/>
        <v>498</v>
      </c>
      <c r="R186" s="214">
        <f t="shared" si="48"/>
        <v>710.48</v>
      </c>
      <c r="S186" s="215">
        <f t="shared" si="49"/>
        <v>431.6</v>
      </c>
      <c r="T186" s="216">
        <f t="shared" si="50"/>
        <v>66.400000000000006</v>
      </c>
      <c r="U186" s="221">
        <f t="shared" si="51"/>
        <v>1142.0800000000002</v>
      </c>
      <c r="V186" s="218">
        <f t="shared" si="52"/>
        <v>69.72</v>
      </c>
      <c r="W186" s="219">
        <f t="shared" si="53"/>
        <v>33.200000000000003</v>
      </c>
      <c r="X186" s="220">
        <f t="shared" si="54"/>
        <v>33.200000000000003</v>
      </c>
      <c r="Y186" s="14"/>
    </row>
    <row r="187" spans="1:25" ht="12" customHeight="1">
      <c r="A187" s="95"/>
      <c r="B187" s="86"/>
      <c r="C187" s="20" t="s">
        <v>21</v>
      </c>
      <c r="D187" s="20" t="s">
        <v>42</v>
      </c>
      <c r="E187" s="28">
        <v>260</v>
      </c>
      <c r="F187" s="28" t="s">
        <v>639</v>
      </c>
      <c r="G187" s="119">
        <v>14.86</v>
      </c>
      <c r="H187" s="119">
        <f t="shared" si="45"/>
        <v>3863.6</v>
      </c>
      <c r="I187" s="323">
        <v>0</v>
      </c>
      <c r="J187" s="214">
        <v>0.17</v>
      </c>
      <c r="K187" s="215">
        <v>1.3</v>
      </c>
      <c r="L187" s="216">
        <v>0.2</v>
      </c>
      <c r="M187" s="221">
        <f t="shared" si="46"/>
        <v>1.47</v>
      </c>
      <c r="N187" s="218">
        <v>0</v>
      </c>
      <c r="O187" s="219">
        <v>0.1</v>
      </c>
      <c r="P187" s="220">
        <v>0.1</v>
      </c>
      <c r="Q187" s="323">
        <f t="shared" si="47"/>
        <v>0</v>
      </c>
      <c r="R187" s="214">
        <f t="shared" si="48"/>
        <v>44.2</v>
      </c>
      <c r="S187" s="215">
        <f t="shared" si="49"/>
        <v>338</v>
      </c>
      <c r="T187" s="216">
        <f t="shared" si="50"/>
        <v>52</v>
      </c>
      <c r="U187" s="221">
        <f t="shared" si="51"/>
        <v>382.2</v>
      </c>
      <c r="V187" s="218">
        <f t="shared" si="52"/>
        <v>0</v>
      </c>
      <c r="W187" s="219">
        <f t="shared" si="53"/>
        <v>26</v>
      </c>
      <c r="X187" s="220">
        <f t="shared" si="54"/>
        <v>26</v>
      </c>
      <c r="Y187" s="14"/>
    </row>
    <row r="188" spans="1:25" ht="12" customHeight="1">
      <c r="A188" s="95"/>
      <c r="B188" s="86"/>
      <c r="C188" s="20" t="s">
        <v>21</v>
      </c>
      <c r="D188" s="20" t="s">
        <v>42</v>
      </c>
      <c r="E188" s="28">
        <v>260</v>
      </c>
      <c r="F188" s="28" t="s">
        <v>640</v>
      </c>
      <c r="G188" s="119">
        <v>12.5</v>
      </c>
      <c r="H188" s="119">
        <f t="shared" si="45"/>
        <v>3250</v>
      </c>
      <c r="I188" s="323">
        <v>1</v>
      </c>
      <c r="J188" s="214">
        <v>1.93</v>
      </c>
      <c r="K188" s="215">
        <v>1.3</v>
      </c>
      <c r="L188" s="216">
        <v>0.2</v>
      </c>
      <c r="M188" s="221">
        <f t="shared" si="46"/>
        <v>3.23</v>
      </c>
      <c r="N188" s="218">
        <v>0.28999999999999998</v>
      </c>
      <c r="O188" s="219">
        <v>0.1</v>
      </c>
      <c r="P188" s="220">
        <v>0.1</v>
      </c>
      <c r="Q188" s="323">
        <f t="shared" si="47"/>
        <v>260</v>
      </c>
      <c r="R188" s="214">
        <f t="shared" si="48"/>
        <v>501.8</v>
      </c>
      <c r="S188" s="215">
        <f t="shared" si="49"/>
        <v>338</v>
      </c>
      <c r="T188" s="216">
        <f t="shared" si="50"/>
        <v>52</v>
      </c>
      <c r="U188" s="221">
        <f t="shared" si="51"/>
        <v>839.8</v>
      </c>
      <c r="V188" s="218">
        <f t="shared" si="52"/>
        <v>75.399999999999991</v>
      </c>
      <c r="W188" s="219">
        <f t="shared" si="53"/>
        <v>26</v>
      </c>
      <c r="X188" s="220">
        <f t="shared" si="54"/>
        <v>26</v>
      </c>
      <c r="Y188" s="14"/>
    </row>
    <row r="189" spans="1:25" ht="12" customHeight="1">
      <c r="A189" s="95"/>
      <c r="B189" s="86"/>
      <c r="C189" s="20" t="s">
        <v>21</v>
      </c>
      <c r="D189" s="20" t="s">
        <v>42</v>
      </c>
      <c r="E189" s="28">
        <v>116</v>
      </c>
      <c r="F189" s="28" t="s">
        <v>641</v>
      </c>
      <c r="G189" s="119">
        <v>41</v>
      </c>
      <c r="H189" s="119">
        <f t="shared" si="45"/>
        <v>4756</v>
      </c>
      <c r="I189" s="323">
        <v>5.5</v>
      </c>
      <c r="J189" s="214">
        <v>7.57</v>
      </c>
      <c r="K189" s="215">
        <v>3</v>
      </c>
      <c r="L189" s="216">
        <v>0.45</v>
      </c>
      <c r="M189" s="221">
        <f t="shared" si="46"/>
        <v>10.57</v>
      </c>
      <c r="N189" s="218">
        <v>0.67</v>
      </c>
      <c r="O189" s="219">
        <v>0.1</v>
      </c>
      <c r="P189" s="220">
        <v>0.1</v>
      </c>
      <c r="Q189" s="323">
        <f t="shared" si="47"/>
        <v>638</v>
      </c>
      <c r="R189" s="214">
        <f t="shared" si="48"/>
        <v>878.12</v>
      </c>
      <c r="S189" s="215">
        <f t="shared" si="49"/>
        <v>348</v>
      </c>
      <c r="T189" s="216">
        <f t="shared" si="50"/>
        <v>52.2</v>
      </c>
      <c r="U189" s="221">
        <f t="shared" si="51"/>
        <v>1226.1200000000001</v>
      </c>
      <c r="V189" s="218">
        <f t="shared" si="52"/>
        <v>77.72</v>
      </c>
      <c r="W189" s="219">
        <f t="shared" si="53"/>
        <v>11.600000000000001</v>
      </c>
      <c r="X189" s="220">
        <f t="shared" si="54"/>
        <v>11.600000000000001</v>
      </c>
      <c r="Y189" s="14"/>
    </row>
    <row r="190" spans="1:25" ht="12" customHeight="1">
      <c r="A190" s="95"/>
      <c r="B190" s="86"/>
      <c r="C190" s="20" t="s">
        <v>21</v>
      </c>
      <c r="D190" s="20" t="s">
        <v>42</v>
      </c>
      <c r="E190" s="28">
        <v>42</v>
      </c>
      <c r="F190" s="28" t="s">
        <v>642</v>
      </c>
      <c r="G190" s="119">
        <v>54.5</v>
      </c>
      <c r="H190" s="119">
        <f t="shared" si="45"/>
        <v>2289</v>
      </c>
      <c r="I190" s="323">
        <v>3</v>
      </c>
      <c r="J190" s="214">
        <v>11.93</v>
      </c>
      <c r="K190" s="215">
        <v>0</v>
      </c>
      <c r="L190" s="216">
        <v>0</v>
      </c>
      <c r="M190" s="221">
        <f t="shared" si="46"/>
        <v>11.93</v>
      </c>
      <c r="N190" s="218">
        <v>0</v>
      </c>
      <c r="O190" s="219">
        <v>0.1</v>
      </c>
      <c r="P190" s="220">
        <v>0.1</v>
      </c>
      <c r="Q190" s="323">
        <f t="shared" si="47"/>
        <v>126</v>
      </c>
      <c r="R190" s="214">
        <f t="shared" si="48"/>
        <v>501.06</v>
      </c>
      <c r="S190" s="215">
        <f t="shared" si="49"/>
        <v>0</v>
      </c>
      <c r="T190" s="216">
        <f t="shared" si="50"/>
        <v>0</v>
      </c>
      <c r="U190" s="221">
        <f t="shared" si="51"/>
        <v>501.06</v>
      </c>
      <c r="V190" s="218">
        <f t="shared" si="52"/>
        <v>0</v>
      </c>
      <c r="W190" s="219">
        <f t="shared" si="53"/>
        <v>4.2</v>
      </c>
      <c r="X190" s="220">
        <f t="shared" si="54"/>
        <v>4.2</v>
      </c>
      <c r="Y190" s="14"/>
    </row>
    <row r="191" spans="1:25" ht="12" customHeight="1">
      <c r="A191" s="95"/>
      <c r="B191" s="86"/>
      <c r="C191" s="20" t="s">
        <v>21</v>
      </c>
      <c r="D191" s="20" t="s">
        <v>42</v>
      </c>
      <c r="E191" s="28">
        <v>24</v>
      </c>
      <c r="F191" s="28" t="s">
        <v>643</v>
      </c>
      <c r="G191" s="119">
        <v>54.5</v>
      </c>
      <c r="H191" s="119">
        <f t="shared" si="45"/>
        <v>1308</v>
      </c>
      <c r="I191" s="323">
        <v>0</v>
      </c>
      <c r="J191" s="214">
        <v>0.93</v>
      </c>
      <c r="K191" s="215">
        <v>0</v>
      </c>
      <c r="L191" s="216">
        <v>0</v>
      </c>
      <c r="M191" s="221">
        <f t="shared" si="46"/>
        <v>0.93</v>
      </c>
      <c r="N191" s="218">
        <v>0</v>
      </c>
      <c r="O191" s="219">
        <v>0.1</v>
      </c>
      <c r="P191" s="220">
        <v>0.1</v>
      </c>
      <c r="Q191" s="323">
        <f t="shared" si="47"/>
        <v>0</v>
      </c>
      <c r="R191" s="214">
        <f t="shared" si="48"/>
        <v>22.32</v>
      </c>
      <c r="S191" s="215">
        <f t="shared" si="49"/>
        <v>0</v>
      </c>
      <c r="T191" s="216">
        <f t="shared" si="50"/>
        <v>0</v>
      </c>
      <c r="U191" s="221">
        <f t="shared" si="51"/>
        <v>22.32</v>
      </c>
      <c r="V191" s="218">
        <f t="shared" si="52"/>
        <v>0</v>
      </c>
      <c r="W191" s="219">
        <f t="shared" si="53"/>
        <v>2.4000000000000004</v>
      </c>
      <c r="X191" s="220">
        <f t="shared" si="54"/>
        <v>2.4000000000000004</v>
      </c>
      <c r="Y191" s="14"/>
    </row>
    <row r="192" spans="1:25" ht="12" customHeight="1">
      <c r="A192" s="95">
        <v>40451</v>
      </c>
      <c r="B192" s="86">
        <v>685</v>
      </c>
      <c r="C192" s="20" t="s">
        <v>644</v>
      </c>
      <c r="D192" s="20" t="s">
        <v>645</v>
      </c>
      <c r="E192" s="28">
        <v>100</v>
      </c>
      <c r="F192" s="28" t="s">
        <v>646</v>
      </c>
      <c r="G192" s="119">
        <v>12.5</v>
      </c>
      <c r="H192" s="119">
        <f t="shared" si="45"/>
        <v>1250</v>
      </c>
      <c r="I192" s="323">
        <v>1</v>
      </c>
      <c r="J192" s="214">
        <v>0.73</v>
      </c>
      <c r="K192" s="215">
        <v>3</v>
      </c>
      <c r="L192" s="216">
        <v>0.45</v>
      </c>
      <c r="M192" s="221">
        <f t="shared" si="46"/>
        <v>3.73</v>
      </c>
      <c r="N192" s="218">
        <v>0.28999999999999998</v>
      </c>
      <c r="O192" s="219">
        <v>0.1</v>
      </c>
      <c r="P192" s="220">
        <v>0.1</v>
      </c>
      <c r="Q192" s="323">
        <f t="shared" si="47"/>
        <v>100</v>
      </c>
      <c r="R192" s="214">
        <f t="shared" si="48"/>
        <v>73</v>
      </c>
      <c r="S192" s="215">
        <f t="shared" si="49"/>
        <v>300</v>
      </c>
      <c r="T192" s="216">
        <f t="shared" si="50"/>
        <v>45</v>
      </c>
      <c r="U192" s="221">
        <f t="shared" si="51"/>
        <v>373</v>
      </c>
      <c r="V192" s="218">
        <f t="shared" si="52"/>
        <v>28.999999999999996</v>
      </c>
      <c r="W192" s="219">
        <f t="shared" si="53"/>
        <v>10</v>
      </c>
      <c r="X192" s="220">
        <f t="shared" si="54"/>
        <v>10</v>
      </c>
      <c r="Y192" s="14"/>
    </row>
    <row r="193" spans="1:25" ht="12" customHeight="1">
      <c r="A193" s="95">
        <v>40451</v>
      </c>
      <c r="B193" s="86">
        <v>686</v>
      </c>
      <c r="C193" s="20" t="s">
        <v>647</v>
      </c>
      <c r="D193" s="20" t="s">
        <v>24</v>
      </c>
      <c r="E193" s="28">
        <v>40</v>
      </c>
      <c r="F193" s="28" t="s">
        <v>648</v>
      </c>
      <c r="G193" s="119">
        <v>4.7</v>
      </c>
      <c r="H193" s="119">
        <f t="shared" si="45"/>
        <v>188</v>
      </c>
      <c r="I193" s="323">
        <v>0.5</v>
      </c>
      <c r="J193" s="214">
        <v>1.93</v>
      </c>
      <c r="K193" s="215">
        <v>0</v>
      </c>
      <c r="L193" s="216">
        <v>0</v>
      </c>
      <c r="M193" s="221">
        <f t="shared" si="46"/>
        <v>1.93</v>
      </c>
      <c r="N193" s="218">
        <v>0.03</v>
      </c>
      <c r="O193" s="219">
        <v>0.1</v>
      </c>
      <c r="P193" s="220">
        <v>0.1</v>
      </c>
      <c r="Q193" s="323">
        <f t="shared" si="47"/>
        <v>20</v>
      </c>
      <c r="R193" s="214">
        <f t="shared" si="48"/>
        <v>77.2</v>
      </c>
      <c r="S193" s="215">
        <f t="shared" si="49"/>
        <v>0</v>
      </c>
      <c r="T193" s="216">
        <f t="shared" si="50"/>
        <v>0</v>
      </c>
      <c r="U193" s="221">
        <f t="shared" si="51"/>
        <v>77.2</v>
      </c>
      <c r="V193" s="218">
        <f t="shared" si="52"/>
        <v>1.2</v>
      </c>
      <c r="W193" s="219">
        <f t="shared" si="53"/>
        <v>4</v>
      </c>
      <c r="X193" s="220">
        <f t="shared" si="54"/>
        <v>4</v>
      </c>
      <c r="Y193" s="14"/>
    </row>
    <row r="194" spans="1:25" ht="12" customHeight="1">
      <c r="A194" s="95">
        <v>40451</v>
      </c>
      <c r="B194" s="86">
        <v>687</v>
      </c>
      <c r="C194" s="20" t="s">
        <v>219</v>
      </c>
      <c r="D194" s="20" t="s">
        <v>42</v>
      </c>
      <c r="E194" s="28">
        <v>80</v>
      </c>
      <c r="F194" s="28" t="s">
        <v>649</v>
      </c>
      <c r="G194" s="119">
        <v>42.5</v>
      </c>
      <c r="H194" s="119">
        <f t="shared" si="45"/>
        <v>3400</v>
      </c>
      <c r="I194" s="323">
        <v>3.5</v>
      </c>
      <c r="J194" s="214">
        <v>8.74</v>
      </c>
      <c r="K194" s="215">
        <v>1.5</v>
      </c>
      <c r="L194" s="216">
        <v>0.23</v>
      </c>
      <c r="M194" s="221">
        <f t="shared" si="46"/>
        <v>10.24</v>
      </c>
      <c r="N194" s="218">
        <v>0.33</v>
      </c>
      <c r="O194" s="219">
        <v>0.1</v>
      </c>
      <c r="P194" s="220">
        <v>0.1</v>
      </c>
      <c r="Q194" s="323">
        <f t="shared" si="47"/>
        <v>280</v>
      </c>
      <c r="R194" s="214">
        <f t="shared" si="48"/>
        <v>699.2</v>
      </c>
      <c r="S194" s="215">
        <f t="shared" si="49"/>
        <v>120</v>
      </c>
      <c r="T194" s="216">
        <f t="shared" si="50"/>
        <v>18.400000000000002</v>
      </c>
      <c r="U194" s="221">
        <f t="shared" si="51"/>
        <v>819.2</v>
      </c>
      <c r="V194" s="218">
        <f t="shared" si="52"/>
        <v>26.400000000000002</v>
      </c>
      <c r="W194" s="219">
        <f t="shared" si="53"/>
        <v>8</v>
      </c>
      <c r="X194" s="220">
        <f t="shared" si="54"/>
        <v>8</v>
      </c>
      <c r="Y194" s="14"/>
    </row>
    <row r="195" spans="1:25" ht="12" customHeight="1" thickBot="1">
      <c r="A195" s="105"/>
      <c r="B195" s="106"/>
      <c r="C195" s="107" t="s">
        <v>219</v>
      </c>
      <c r="D195" s="107" t="s">
        <v>42</v>
      </c>
      <c r="E195" s="108">
        <v>68</v>
      </c>
      <c r="F195" s="108" t="s">
        <v>650</v>
      </c>
      <c r="G195" s="120">
        <v>37</v>
      </c>
      <c r="H195" s="120">
        <f t="shared" si="45"/>
        <v>2516</v>
      </c>
      <c r="I195" s="324">
        <v>3.5</v>
      </c>
      <c r="J195" s="223">
        <v>9.9</v>
      </c>
      <c r="K195" s="224">
        <v>1.5</v>
      </c>
      <c r="L195" s="225">
        <v>0.23</v>
      </c>
      <c r="M195" s="226">
        <f t="shared" si="46"/>
        <v>11.4</v>
      </c>
      <c r="N195" s="227">
        <v>0.33</v>
      </c>
      <c r="O195" s="228">
        <v>0.1</v>
      </c>
      <c r="P195" s="229">
        <v>0.1</v>
      </c>
      <c r="Q195" s="324">
        <f t="shared" si="47"/>
        <v>238</v>
      </c>
      <c r="R195" s="223">
        <f t="shared" si="48"/>
        <v>673.2</v>
      </c>
      <c r="S195" s="224">
        <f t="shared" si="49"/>
        <v>102</v>
      </c>
      <c r="T195" s="225">
        <f t="shared" si="50"/>
        <v>15.64</v>
      </c>
      <c r="U195" s="226">
        <f t="shared" si="51"/>
        <v>775.2</v>
      </c>
      <c r="V195" s="227">
        <f t="shared" si="52"/>
        <v>22.44</v>
      </c>
      <c r="W195" s="228">
        <f t="shared" si="53"/>
        <v>6.8000000000000007</v>
      </c>
      <c r="X195" s="229">
        <f t="shared" si="54"/>
        <v>6.8000000000000007</v>
      </c>
      <c r="Y195" s="109"/>
    </row>
    <row r="196" spans="1:25" ht="16.5" thickBot="1">
      <c r="A196" s="32"/>
      <c r="B196" s="32"/>
      <c r="C196" s="32"/>
      <c r="D196" s="32"/>
      <c r="E196" s="32"/>
      <c r="F196" s="76" t="s">
        <v>811</v>
      </c>
      <c r="G196" s="72"/>
      <c r="H196" s="362">
        <f>SUM(H8:H195)</f>
        <v>205342.50000000003</v>
      </c>
      <c r="I196" s="363"/>
      <c r="J196" s="78" t="s">
        <v>36</v>
      </c>
      <c r="K196" s="79"/>
      <c r="L196" s="80"/>
      <c r="M196" s="81">
        <f>SUM(M102:M195)</f>
        <v>476.20000000000027</v>
      </c>
      <c r="N196" s="73"/>
      <c r="O196" s="74"/>
      <c r="P196" s="75"/>
      <c r="Q196" s="312">
        <f t="shared" ref="Q196:X196" si="55">SUM(Q8:Q195)</f>
        <v>20225.5</v>
      </c>
      <c r="R196" s="98">
        <f t="shared" si="55"/>
        <v>34150.079999999994</v>
      </c>
      <c r="S196" s="99">
        <f t="shared" si="55"/>
        <v>13842.11</v>
      </c>
      <c r="T196" s="100">
        <f t="shared" si="55"/>
        <v>2093.0900000000011</v>
      </c>
      <c r="U196" s="101">
        <f t="shared" si="55"/>
        <v>47992.189999999995</v>
      </c>
      <c r="V196" s="319">
        <f t="shared" si="55"/>
        <v>2173.8200000000006</v>
      </c>
      <c r="W196" s="320">
        <f t="shared" si="55"/>
        <v>634.9</v>
      </c>
      <c r="X196" s="321">
        <f t="shared" si="55"/>
        <v>735.85000000000025</v>
      </c>
      <c r="Y196" s="32" t="s">
        <v>36</v>
      </c>
    </row>
    <row r="197" spans="1:25" ht="16.5" thickBot="1">
      <c r="A197" s="32"/>
      <c r="B197" s="32"/>
      <c r="C197" s="32"/>
      <c r="D197" s="32"/>
      <c r="E197" s="32"/>
      <c r="F197" s="76" t="s">
        <v>811</v>
      </c>
      <c r="G197" s="72"/>
      <c r="H197" s="364">
        <f>H196/7.06</f>
        <v>29085.33994334278</v>
      </c>
      <c r="I197" s="365"/>
      <c r="J197" s="78" t="s">
        <v>407</v>
      </c>
      <c r="K197" s="79"/>
      <c r="L197" s="80"/>
      <c r="M197" s="81">
        <f>M196/7.06</f>
        <v>67.45042492917851</v>
      </c>
      <c r="N197" s="73"/>
      <c r="O197" s="74"/>
      <c r="P197" s="77"/>
      <c r="Q197" s="313">
        <f t="shared" ref="Q197:X197" si="56">Q196/7.06</f>
        <v>2864.8016997167142</v>
      </c>
      <c r="R197" s="82">
        <f t="shared" si="56"/>
        <v>4837.1218130311609</v>
      </c>
      <c r="S197" s="79">
        <f t="shared" si="56"/>
        <v>1960.6388101983005</v>
      </c>
      <c r="T197" s="80">
        <f t="shared" si="56"/>
        <v>296.47167138810215</v>
      </c>
      <c r="U197" s="81">
        <f t="shared" si="56"/>
        <v>6797.7606232294611</v>
      </c>
      <c r="V197" s="73">
        <f t="shared" si="56"/>
        <v>307.90651558073665</v>
      </c>
      <c r="W197" s="88">
        <f t="shared" si="56"/>
        <v>89.929178470254953</v>
      </c>
      <c r="X197" s="302">
        <f t="shared" si="56"/>
        <v>104.22804532577908</v>
      </c>
      <c r="Y197" s="32" t="s">
        <v>407</v>
      </c>
    </row>
  </sheetData>
  <autoFilter ref="A7:S197">
    <filterColumn colId="7"/>
    <filterColumn colId="11"/>
    <filterColumn colId="16"/>
  </autoFilter>
  <mergeCells count="3">
    <mergeCell ref="H196:I196"/>
    <mergeCell ref="H197:I197"/>
    <mergeCell ref="G2:K3"/>
  </mergeCells>
  <pageMargins left="0.19685039370078741" right="0.19685039370078741" top="0.98425196850393704" bottom="0.78740157480314965" header="0" footer="0"/>
  <pageSetup paperSize="5" scale="80" orientation="landscape" horizontalDpi="4294967294" verticalDpi="30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12</vt:i4>
      </vt:variant>
    </vt:vector>
  </HeadingPairs>
  <TitlesOfParts>
    <vt:vector size="12" baseType="lpstr">
      <vt:lpstr>Enero</vt:lpstr>
      <vt:lpstr>Febrero</vt:lpstr>
      <vt:lpstr>Marzo.</vt:lpstr>
      <vt:lpstr>Abril</vt:lpstr>
      <vt:lpstr>Mayo</vt:lpstr>
      <vt:lpstr>Junio</vt:lpstr>
      <vt:lpstr>Julio</vt:lpstr>
      <vt:lpstr>Agosto</vt:lpstr>
      <vt:lpstr>Septiembre</vt:lpstr>
      <vt:lpstr>Octubre</vt:lpstr>
      <vt:lpstr>Noviembre</vt:lpstr>
      <vt:lpstr>Diciembre</vt:lpstr>
    </vt:vector>
  </TitlesOfParts>
  <Company>Bolivia</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Villanueva</dc:creator>
  <cp:lastModifiedBy>Zeny</cp:lastModifiedBy>
  <cp:lastPrinted>2011-01-28T20:12:06Z</cp:lastPrinted>
  <dcterms:created xsi:type="dcterms:W3CDTF">2008-02-26T23:11:15Z</dcterms:created>
  <dcterms:modified xsi:type="dcterms:W3CDTF">2011-04-13T20:55:11Z</dcterms:modified>
</cp:coreProperties>
</file>