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queryTables/queryTable1.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jerem\Desktop\cheme375B\hw1-JeremyRHook\"/>
    </mc:Choice>
  </mc:AlternateContent>
  <xr:revisionPtr revIDLastSave="0" documentId="8_{35BDFEC3-11D4-4642-BC59-3A1E29A2F243}" xr6:coauthVersionLast="45" xr6:coauthVersionMax="45" xr10:uidLastSave="{00000000-0000-0000-0000-000000000000}"/>
  <bookViews>
    <workbookView xWindow="384" yWindow="204" windowWidth="11748" windowHeight="10092" firstSheet="3" activeTab="5" xr2:uid="{C1BFDA8D-4032-4EE1-9A35-B763494A400C}"/>
  </bookViews>
  <sheets>
    <sheet name="HW1_P1" sheetId="1" r:id="rId1"/>
    <sheet name="HW1_P2" sheetId="2" r:id="rId2"/>
    <sheet name="HW1_P3(A)" sheetId="3" r:id="rId3"/>
    <sheet name="HW1_P3(B)" sheetId="7" r:id="rId4"/>
    <sheet name="HW1_P4" sheetId="5" r:id="rId5"/>
    <sheet name="HW1_P5" sheetId="6" r:id="rId6"/>
  </sheets>
  <definedNames>
    <definedName name="A12N2">HW1_P2!$A$12</definedName>
    <definedName name="ABC">HW1_P2!$R$11</definedName>
    <definedName name="B11_N2">HW1_P2!$B$11</definedName>
    <definedName name="cp">HW1_P1!$C$5</definedName>
    <definedName name="D11N2">HW1_P2!$D$11</definedName>
    <definedName name="Delta_T">HW1_P1!$F$7</definedName>
    <definedName name="E11N2">HW1_P2!$E$11</definedName>
    <definedName name="F11N2">HW1_P2!$F$11</definedName>
    <definedName name="G11N2">HW1_P2!$G$11</definedName>
    <definedName name="h">HW1_P1!$F$6</definedName>
    <definedName name="H11N2">HW1_P2!$H$11</definedName>
    <definedName name="I11N2">HW1_P2!$I$11</definedName>
    <definedName name="J11N2">HW1_P2!$J$11</definedName>
    <definedName name="k">HW1_P1!$C$4</definedName>
    <definedName name="K11N2">HW1_P2!$K$11</definedName>
    <definedName name="L">HW1_P1!$C$6</definedName>
    <definedName name="L11N2">HW1_P2!$L$11</definedName>
    <definedName name="L12N2">HW1_P2!$L$12</definedName>
    <definedName name="M11N2">HW1_P2!$M$11</definedName>
    <definedName name="mu">HW1_P1!$C$2</definedName>
    <definedName name="n1_N2">HW1_P2!$C$8</definedName>
    <definedName name="N11N2">HW1_P2!$N$11</definedName>
    <definedName name="Nu">HW1_P1!$F$4</definedName>
    <definedName name="O11N2">HW1_P2!$O$11</definedName>
    <definedName name="P_1">HW1_P2!$C$3</definedName>
    <definedName name="P1_N2">HW1_P2!$C$3</definedName>
    <definedName name="P11N2">HW1_P2!$P$11</definedName>
    <definedName name="Pr">HW1_P1!$F$2</definedName>
    <definedName name="Q11N2">HW1_P2!$Q$11</definedName>
    <definedName name="R_N2">HW1_P2!$C$5</definedName>
    <definedName name="Re">HW1_P1!$F$3</definedName>
    <definedName name="rho">HW1_P1!$C$3</definedName>
    <definedName name="S11N2">HW1_P2!$S$11</definedName>
    <definedName name="T_1">HW1_P1!$C$7</definedName>
    <definedName name="T_2">HW1_P1!$C$8</definedName>
    <definedName name="T1_N2">HW1_P2!$C$2</definedName>
    <definedName name="T11N2">HW1_P2!$T$11</definedName>
    <definedName name="tclab" localSheetId="4">HW1_P4!$A$2:$F$202</definedName>
    <definedName name="U11N2">HW1_P2!$U$11</definedName>
    <definedName name="v">HW1_P1!$C$9</definedName>
    <definedName name="V1_N2">HW1_P2!$C$4</definedName>
    <definedName name="V11N2">HW1_P2!$V$11</definedName>
    <definedName name="X_3">HW1_P5!$A$4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6" l="1"/>
  <c r="F2" i="1"/>
  <c r="F3" i="1"/>
  <c r="C5" i="1"/>
  <c r="G38" i="3" l="1"/>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G61" i="3"/>
  <c r="H61" i="3"/>
  <c r="I61" i="3"/>
  <c r="J61" i="3"/>
  <c r="G62" i="3"/>
  <c r="H62" i="3"/>
  <c r="I62" i="3"/>
  <c r="J62" i="3"/>
  <c r="G63" i="3"/>
  <c r="H63" i="3"/>
  <c r="I63" i="3"/>
  <c r="J63" i="3"/>
  <c r="G64" i="3"/>
  <c r="H64" i="3"/>
  <c r="I64" i="3"/>
  <c r="J64" i="3"/>
  <c r="G65" i="3"/>
  <c r="H65" i="3"/>
  <c r="I65" i="3"/>
  <c r="J65" i="3"/>
  <c r="G66" i="3"/>
  <c r="H66" i="3"/>
  <c r="I66" i="3"/>
  <c r="J66" i="3"/>
  <c r="G67" i="3"/>
  <c r="H67" i="3"/>
  <c r="I67" i="3"/>
  <c r="J67" i="3"/>
  <c r="D68" i="3"/>
  <c r="F68" i="3"/>
  <c r="D69" i="3"/>
  <c r="F69" i="3"/>
  <c r="F33" i="7"/>
  <c r="D33" i="7"/>
  <c r="F32" i="7"/>
  <c r="D32" i="7"/>
  <c r="J31" i="7"/>
  <c r="I31" i="7"/>
  <c r="H31" i="7"/>
  <c r="G31" i="7"/>
  <c r="J30" i="7"/>
  <c r="I30" i="7"/>
  <c r="H30" i="7"/>
  <c r="G30" i="7"/>
  <c r="J29" i="7"/>
  <c r="I29" i="7"/>
  <c r="H29" i="7"/>
  <c r="G29" i="7"/>
  <c r="J28" i="7"/>
  <c r="I28" i="7"/>
  <c r="H28" i="7"/>
  <c r="G28" i="7"/>
  <c r="J27" i="7"/>
  <c r="I27" i="7"/>
  <c r="H27" i="7"/>
  <c r="G27" i="7"/>
  <c r="J26" i="7"/>
  <c r="I26" i="7"/>
  <c r="H26" i="7"/>
  <c r="G26" i="7"/>
  <c r="J25" i="7"/>
  <c r="I25" i="7"/>
  <c r="H25" i="7"/>
  <c r="G25" i="7"/>
  <c r="J24" i="7"/>
  <c r="I24" i="7"/>
  <c r="H24" i="7"/>
  <c r="G24" i="7"/>
  <c r="J23" i="7"/>
  <c r="I23" i="7"/>
  <c r="H23" i="7"/>
  <c r="G23" i="7"/>
  <c r="J22" i="7"/>
  <c r="I22" i="7"/>
  <c r="H22" i="7"/>
  <c r="G22" i="7"/>
  <c r="J21" i="7"/>
  <c r="I21" i="7"/>
  <c r="H21" i="7"/>
  <c r="G21" i="7"/>
  <c r="J20" i="7"/>
  <c r="I20" i="7"/>
  <c r="H20" i="7"/>
  <c r="G20" i="7"/>
  <c r="J19" i="7"/>
  <c r="I19" i="7"/>
  <c r="H19" i="7"/>
  <c r="G19" i="7"/>
  <c r="J18" i="7"/>
  <c r="I18" i="7"/>
  <c r="H18" i="7"/>
  <c r="G18" i="7"/>
  <c r="J17" i="7"/>
  <c r="I17" i="7"/>
  <c r="H17" i="7"/>
  <c r="G17" i="7"/>
  <c r="J16" i="7"/>
  <c r="I16" i="7"/>
  <c r="H16" i="7"/>
  <c r="G16" i="7"/>
  <c r="J15" i="7"/>
  <c r="I15" i="7"/>
  <c r="H15" i="7"/>
  <c r="G15" i="7"/>
  <c r="J14" i="7"/>
  <c r="I14" i="7"/>
  <c r="H14" i="7"/>
  <c r="G14" i="7"/>
  <c r="J13" i="7"/>
  <c r="I13" i="7"/>
  <c r="H13" i="7"/>
  <c r="G13" i="7"/>
  <c r="J12" i="7"/>
  <c r="I12" i="7"/>
  <c r="H12" i="7"/>
  <c r="G12" i="7"/>
  <c r="J11" i="7"/>
  <c r="I11" i="7"/>
  <c r="H11" i="7"/>
  <c r="G11" i="7"/>
  <c r="J10" i="7"/>
  <c r="I10" i="7"/>
  <c r="H10" i="7"/>
  <c r="G10" i="7"/>
  <c r="J9" i="7"/>
  <c r="I9" i="7"/>
  <c r="H9" i="7"/>
  <c r="G9" i="7"/>
  <c r="J8" i="7"/>
  <c r="I8" i="7"/>
  <c r="H8" i="7"/>
  <c r="G8" i="7"/>
  <c r="J7" i="7"/>
  <c r="I7" i="7"/>
  <c r="H7" i="7"/>
  <c r="G7" i="7"/>
  <c r="J6" i="7"/>
  <c r="I6" i="7"/>
  <c r="H6" i="7"/>
  <c r="G6" i="7"/>
  <c r="J5" i="7"/>
  <c r="I5" i="7"/>
  <c r="H5" i="7"/>
  <c r="G5" i="7"/>
  <c r="J4" i="7"/>
  <c r="I4" i="7"/>
  <c r="H4" i="7"/>
  <c r="G4" i="7"/>
  <c r="J3" i="7"/>
  <c r="I3" i="7"/>
  <c r="H3" i="7"/>
  <c r="G3" i="7"/>
  <c r="J2" i="7"/>
  <c r="J32" i="7" s="1"/>
  <c r="J33" i="7" s="1"/>
  <c r="I2" i="7"/>
  <c r="H2" i="7"/>
  <c r="G2" i="7"/>
  <c r="D8" i="6"/>
  <c r="D3" i="6"/>
  <c r="D7" i="6"/>
  <c r="D6" i="6"/>
  <c r="D5" i="6"/>
  <c r="D4" i="6"/>
  <c r="Q101" i="3"/>
  <c r="P101" i="3"/>
  <c r="O101" i="3"/>
  <c r="Q100" i="3"/>
  <c r="P100" i="3"/>
  <c r="O100" i="3"/>
  <c r="Q99" i="3"/>
  <c r="P99" i="3"/>
  <c r="O99" i="3"/>
  <c r="Q98" i="3"/>
  <c r="P98" i="3"/>
  <c r="O98" i="3"/>
  <c r="Q97" i="3"/>
  <c r="P97" i="3"/>
  <c r="O97" i="3"/>
  <c r="Q96" i="3"/>
  <c r="P96" i="3"/>
  <c r="O96" i="3"/>
  <c r="Q95" i="3"/>
  <c r="P95" i="3"/>
  <c r="O95" i="3"/>
  <c r="Q94" i="3"/>
  <c r="P94" i="3"/>
  <c r="O94" i="3"/>
  <c r="Q93" i="3"/>
  <c r="P93" i="3"/>
  <c r="O93" i="3"/>
  <c r="Q92" i="3"/>
  <c r="P92" i="3"/>
  <c r="O92" i="3"/>
  <c r="Q91" i="3"/>
  <c r="P91" i="3"/>
  <c r="O91" i="3"/>
  <c r="Q90" i="3"/>
  <c r="P90" i="3"/>
  <c r="O90" i="3"/>
  <c r="Q89" i="3"/>
  <c r="P89" i="3"/>
  <c r="O89" i="3"/>
  <c r="Q88" i="3"/>
  <c r="P88" i="3"/>
  <c r="O88" i="3"/>
  <c r="Q87" i="3"/>
  <c r="P87" i="3"/>
  <c r="O87" i="3"/>
  <c r="Q86" i="3"/>
  <c r="P86" i="3"/>
  <c r="O86" i="3"/>
  <c r="Q85" i="3"/>
  <c r="P85" i="3"/>
  <c r="O85" i="3"/>
  <c r="Q84" i="3"/>
  <c r="P84" i="3"/>
  <c r="O84" i="3"/>
  <c r="Q83" i="3"/>
  <c r="P83" i="3"/>
  <c r="O83" i="3"/>
  <c r="Q82" i="3"/>
  <c r="P82" i="3"/>
  <c r="O82" i="3"/>
  <c r="Q81" i="3"/>
  <c r="P81" i="3"/>
  <c r="O81" i="3"/>
  <c r="Q80" i="3"/>
  <c r="P80" i="3"/>
  <c r="O80" i="3"/>
  <c r="Q79" i="3"/>
  <c r="P79" i="3"/>
  <c r="O79" i="3"/>
  <c r="Q78" i="3"/>
  <c r="P78" i="3"/>
  <c r="O78" i="3"/>
  <c r="Q77" i="3"/>
  <c r="P77" i="3"/>
  <c r="O77" i="3"/>
  <c r="Q76" i="3"/>
  <c r="P76" i="3"/>
  <c r="O76" i="3"/>
  <c r="Q75" i="3"/>
  <c r="P75" i="3"/>
  <c r="O75" i="3"/>
  <c r="Q74" i="3"/>
  <c r="P74" i="3"/>
  <c r="O74" i="3"/>
  <c r="Q73" i="3"/>
  <c r="P73" i="3"/>
  <c r="O73" i="3"/>
  <c r="Q72" i="3"/>
  <c r="P72" i="3"/>
  <c r="O72" i="3"/>
  <c r="F101" i="3"/>
  <c r="I101" i="3" s="1"/>
  <c r="E101" i="3"/>
  <c r="H101" i="3" s="1"/>
  <c r="D101" i="3"/>
  <c r="G101" i="3" s="1"/>
  <c r="F100" i="3"/>
  <c r="I100" i="3" s="1"/>
  <c r="E100" i="3"/>
  <c r="H100" i="3" s="1"/>
  <c r="D100" i="3"/>
  <c r="G100" i="3" s="1"/>
  <c r="F99" i="3"/>
  <c r="I99" i="3" s="1"/>
  <c r="E99" i="3"/>
  <c r="S99" i="3" s="1"/>
  <c r="D99" i="3"/>
  <c r="R99" i="3" s="1"/>
  <c r="F98" i="3"/>
  <c r="I98" i="3" s="1"/>
  <c r="E98" i="3"/>
  <c r="H98" i="3" s="1"/>
  <c r="D98" i="3"/>
  <c r="G98" i="3" s="1"/>
  <c r="F97" i="3"/>
  <c r="I97" i="3" s="1"/>
  <c r="E97" i="3"/>
  <c r="H97" i="3" s="1"/>
  <c r="D97" i="3"/>
  <c r="G97" i="3" s="1"/>
  <c r="F96" i="3"/>
  <c r="T96" i="3" s="1"/>
  <c r="E96" i="3"/>
  <c r="S96" i="3" s="1"/>
  <c r="D96" i="3"/>
  <c r="G96" i="3" s="1"/>
  <c r="F95" i="3"/>
  <c r="I95" i="3" s="1"/>
  <c r="E95" i="3"/>
  <c r="S95" i="3" s="1"/>
  <c r="D95" i="3"/>
  <c r="G95" i="3" s="1"/>
  <c r="F94" i="3"/>
  <c r="I94" i="3" s="1"/>
  <c r="E94" i="3"/>
  <c r="H94" i="3" s="1"/>
  <c r="D94" i="3"/>
  <c r="G94" i="3" s="1"/>
  <c r="F93" i="3"/>
  <c r="I93" i="3" s="1"/>
  <c r="E93" i="3"/>
  <c r="H93" i="3" s="1"/>
  <c r="D93" i="3"/>
  <c r="R93" i="3" s="1"/>
  <c r="F92" i="3"/>
  <c r="T92" i="3" s="1"/>
  <c r="E92" i="3"/>
  <c r="S92" i="3" s="1"/>
  <c r="D92" i="3"/>
  <c r="G92" i="3" s="1"/>
  <c r="F91" i="3"/>
  <c r="I91" i="3" s="1"/>
  <c r="E91" i="3"/>
  <c r="H91" i="3" s="1"/>
  <c r="D91" i="3"/>
  <c r="R91" i="3" s="1"/>
  <c r="F90" i="3"/>
  <c r="T90" i="3" s="1"/>
  <c r="E90" i="3"/>
  <c r="H90" i="3" s="1"/>
  <c r="D90" i="3"/>
  <c r="G90" i="3" s="1"/>
  <c r="F89" i="3"/>
  <c r="I89" i="3" s="1"/>
  <c r="E89" i="3"/>
  <c r="H89" i="3" s="1"/>
  <c r="D89" i="3"/>
  <c r="R89" i="3" s="1"/>
  <c r="F88" i="3"/>
  <c r="T88" i="3" s="1"/>
  <c r="E88" i="3"/>
  <c r="S88" i="3" s="1"/>
  <c r="D88" i="3"/>
  <c r="G88" i="3" s="1"/>
  <c r="G87" i="3"/>
  <c r="F87" i="3"/>
  <c r="I87" i="3" s="1"/>
  <c r="E87" i="3"/>
  <c r="S87" i="3" s="1"/>
  <c r="D87" i="3"/>
  <c r="R87" i="3" s="1"/>
  <c r="F86" i="3"/>
  <c r="T86" i="3" s="1"/>
  <c r="E86" i="3"/>
  <c r="H86" i="3" s="1"/>
  <c r="D86" i="3"/>
  <c r="G86" i="3" s="1"/>
  <c r="F85" i="3"/>
  <c r="I85" i="3" s="1"/>
  <c r="E85" i="3"/>
  <c r="H85" i="3" s="1"/>
  <c r="D85" i="3"/>
  <c r="R85" i="3" s="1"/>
  <c r="F84" i="3"/>
  <c r="I84" i="3" s="1"/>
  <c r="E84" i="3"/>
  <c r="H84" i="3" s="1"/>
  <c r="D84" i="3"/>
  <c r="G84" i="3" s="1"/>
  <c r="F83" i="3"/>
  <c r="I83" i="3" s="1"/>
  <c r="E83" i="3"/>
  <c r="S83" i="3" s="1"/>
  <c r="D83" i="3"/>
  <c r="R83" i="3" s="1"/>
  <c r="F82" i="3"/>
  <c r="I82" i="3" s="1"/>
  <c r="E82" i="3"/>
  <c r="H82" i="3" s="1"/>
  <c r="D82" i="3"/>
  <c r="G82" i="3" s="1"/>
  <c r="F81" i="3"/>
  <c r="I81" i="3" s="1"/>
  <c r="E81" i="3"/>
  <c r="H81" i="3" s="1"/>
  <c r="D81" i="3"/>
  <c r="R81" i="3" s="1"/>
  <c r="F80" i="3"/>
  <c r="T80" i="3" s="1"/>
  <c r="E80" i="3"/>
  <c r="S80" i="3" s="1"/>
  <c r="D80" i="3"/>
  <c r="G80" i="3" s="1"/>
  <c r="F79" i="3"/>
  <c r="I79" i="3" s="1"/>
  <c r="E79" i="3"/>
  <c r="H79" i="3" s="1"/>
  <c r="D79" i="3"/>
  <c r="G79" i="3" s="1"/>
  <c r="F78" i="3"/>
  <c r="T78" i="3" s="1"/>
  <c r="E78" i="3"/>
  <c r="H78" i="3" s="1"/>
  <c r="D78" i="3"/>
  <c r="G78" i="3" s="1"/>
  <c r="F77" i="3"/>
  <c r="I77" i="3" s="1"/>
  <c r="E77" i="3"/>
  <c r="H77" i="3" s="1"/>
  <c r="D77" i="3"/>
  <c r="G77" i="3" s="1"/>
  <c r="F76" i="3"/>
  <c r="I76" i="3" s="1"/>
  <c r="E76" i="3"/>
  <c r="S76" i="3" s="1"/>
  <c r="D76" i="3"/>
  <c r="G76" i="3" s="1"/>
  <c r="F75" i="3"/>
  <c r="I75" i="3" s="1"/>
  <c r="E75" i="3"/>
  <c r="H75" i="3" s="1"/>
  <c r="D75" i="3"/>
  <c r="R75" i="3" s="1"/>
  <c r="F74" i="3"/>
  <c r="T74" i="3" s="1"/>
  <c r="E74" i="3"/>
  <c r="H74" i="3" s="1"/>
  <c r="D74" i="3"/>
  <c r="G74" i="3" s="1"/>
  <c r="F73" i="3"/>
  <c r="I73" i="3" s="1"/>
  <c r="E73" i="3"/>
  <c r="H73" i="3" s="1"/>
  <c r="D73" i="3"/>
  <c r="R73" i="3" s="1"/>
  <c r="F72" i="3"/>
  <c r="T72" i="3" s="1"/>
  <c r="E72" i="3"/>
  <c r="S72" i="3" s="1"/>
  <c r="D72" i="3"/>
  <c r="R72" i="3" s="1"/>
  <c r="D7" i="3"/>
  <c r="G7" i="3" s="1"/>
  <c r="D6" i="3"/>
  <c r="G6" i="3" s="1"/>
  <c r="D5" i="3"/>
  <c r="G5" i="3" s="1"/>
  <c r="D4" i="3"/>
  <c r="G4" i="3" s="1"/>
  <c r="D8" i="3"/>
  <c r="G8" i="3" s="1"/>
  <c r="D9" i="3"/>
  <c r="G9" i="3" s="1"/>
  <c r="D10" i="3"/>
  <c r="G10" i="3" s="1"/>
  <c r="D11" i="3"/>
  <c r="G11" i="3" s="1"/>
  <c r="D12" i="3"/>
  <c r="G12" i="3" s="1"/>
  <c r="D13" i="3"/>
  <c r="G13" i="3" s="1"/>
  <c r="D14" i="3"/>
  <c r="G14" i="3" s="1"/>
  <c r="D15" i="3"/>
  <c r="G15" i="3" s="1"/>
  <c r="D16" i="3"/>
  <c r="G16" i="3" s="1"/>
  <c r="D17" i="3"/>
  <c r="G17" i="3" s="1"/>
  <c r="D18" i="3"/>
  <c r="G18" i="3" s="1"/>
  <c r="D19" i="3"/>
  <c r="G19" i="3" s="1"/>
  <c r="D20" i="3"/>
  <c r="G20" i="3" s="1"/>
  <c r="D21" i="3"/>
  <c r="G21" i="3" s="1"/>
  <c r="D22" i="3"/>
  <c r="G22" i="3" s="1"/>
  <c r="D23" i="3"/>
  <c r="G23" i="3" s="1"/>
  <c r="D24" i="3"/>
  <c r="G24" i="3" s="1"/>
  <c r="D25" i="3"/>
  <c r="G25" i="3" s="1"/>
  <c r="D26" i="3"/>
  <c r="G26" i="3" s="1"/>
  <c r="D27" i="3"/>
  <c r="G27" i="3" s="1"/>
  <c r="D28" i="3"/>
  <c r="G28" i="3" s="1"/>
  <c r="D29" i="3"/>
  <c r="G29" i="3" s="1"/>
  <c r="D30" i="3"/>
  <c r="G30" i="3" s="1"/>
  <c r="D31" i="3"/>
  <c r="G31" i="3" s="1"/>
  <c r="D32" i="3"/>
  <c r="G32" i="3" s="1"/>
  <c r="D33" i="3"/>
  <c r="G33" i="3" s="1"/>
  <c r="F7" i="3"/>
  <c r="I7" i="3" s="1"/>
  <c r="F33" i="3"/>
  <c r="I33" i="3" s="1"/>
  <c r="F32" i="3"/>
  <c r="I32" i="3" s="1"/>
  <c r="F31" i="3"/>
  <c r="I31" i="3" s="1"/>
  <c r="F30" i="3"/>
  <c r="I30" i="3" s="1"/>
  <c r="F29" i="3"/>
  <c r="I29" i="3" s="1"/>
  <c r="F28" i="3"/>
  <c r="I28" i="3" s="1"/>
  <c r="F27" i="3"/>
  <c r="I27" i="3" s="1"/>
  <c r="F26" i="3"/>
  <c r="I26" i="3" s="1"/>
  <c r="F25" i="3"/>
  <c r="I25" i="3" s="1"/>
  <c r="F24" i="3"/>
  <c r="I24" i="3" s="1"/>
  <c r="F23" i="3"/>
  <c r="I23" i="3" s="1"/>
  <c r="F22" i="3"/>
  <c r="I22" i="3" s="1"/>
  <c r="F21" i="3"/>
  <c r="I21" i="3" s="1"/>
  <c r="F20" i="3"/>
  <c r="I20" i="3" s="1"/>
  <c r="F19" i="3"/>
  <c r="I19" i="3" s="1"/>
  <c r="F18" i="3"/>
  <c r="I18" i="3" s="1"/>
  <c r="F17" i="3"/>
  <c r="I17" i="3" s="1"/>
  <c r="F16" i="3"/>
  <c r="I16" i="3" s="1"/>
  <c r="F15" i="3"/>
  <c r="I15" i="3" s="1"/>
  <c r="F14" i="3"/>
  <c r="I14" i="3" s="1"/>
  <c r="F13" i="3"/>
  <c r="I13" i="3" s="1"/>
  <c r="F12" i="3"/>
  <c r="I12" i="3" s="1"/>
  <c r="F11" i="3"/>
  <c r="I11" i="3" s="1"/>
  <c r="F10" i="3"/>
  <c r="I10" i="3" s="1"/>
  <c r="F9" i="3"/>
  <c r="I9" i="3" s="1"/>
  <c r="F8" i="3"/>
  <c r="I8" i="3" s="1"/>
  <c r="F6" i="3"/>
  <c r="I6" i="3" s="1"/>
  <c r="F5" i="3"/>
  <c r="I5" i="3" s="1"/>
  <c r="F4" i="3"/>
  <c r="I4" i="3" s="1"/>
  <c r="E33" i="3"/>
  <c r="H33" i="3" s="1"/>
  <c r="E32" i="3"/>
  <c r="H32" i="3" s="1"/>
  <c r="E31" i="3"/>
  <c r="H31" i="3" s="1"/>
  <c r="E30" i="3"/>
  <c r="H30" i="3" s="1"/>
  <c r="E29" i="3"/>
  <c r="H29" i="3" s="1"/>
  <c r="E28" i="3"/>
  <c r="H28" i="3" s="1"/>
  <c r="E27" i="3"/>
  <c r="H27" i="3" s="1"/>
  <c r="E26" i="3"/>
  <c r="H26" i="3" s="1"/>
  <c r="E25" i="3"/>
  <c r="H25" i="3" s="1"/>
  <c r="E24" i="3"/>
  <c r="H24" i="3" s="1"/>
  <c r="E23" i="3"/>
  <c r="H23" i="3" s="1"/>
  <c r="E22" i="3"/>
  <c r="H22" i="3" s="1"/>
  <c r="E21" i="3"/>
  <c r="H21" i="3" s="1"/>
  <c r="E20" i="3"/>
  <c r="H20" i="3" s="1"/>
  <c r="E19" i="3"/>
  <c r="H19" i="3" s="1"/>
  <c r="E18" i="3"/>
  <c r="H18" i="3" s="1"/>
  <c r="E17" i="3"/>
  <c r="H17" i="3" s="1"/>
  <c r="E16" i="3"/>
  <c r="H16" i="3" s="1"/>
  <c r="E15" i="3"/>
  <c r="H15" i="3" s="1"/>
  <c r="E14" i="3"/>
  <c r="H14" i="3" s="1"/>
  <c r="E13" i="3"/>
  <c r="H13" i="3" s="1"/>
  <c r="E12" i="3"/>
  <c r="H12" i="3" s="1"/>
  <c r="E11" i="3"/>
  <c r="H11" i="3" s="1"/>
  <c r="E10" i="3"/>
  <c r="H10" i="3" s="1"/>
  <c r="E9" i="3"/>
  <c r="H9" i="3" s="1"/>
  <c r="E8" i="3"/>
  <c r="H8" i="3" s="1"/>
  <c r="E7" i="3"/>
  <c r="H7" i="3" s="1"/>
  <c r="E6" i="3"/>
  <c r="H6" i="3" s="1"/>
  <c r="E5" i="3"/>
  <c r="H5" i="3" s="1"/>
  <c r="E4" i="3"/>
  <c r="H4" i="3" s="1"/>
  <c r="B11" i="2"/>
  <c r="C11" i="2" s="1"/>
  <c r="D11" i="2" s="1"/>
  <c r="E11" i="2" s="1"/>
  <c r="F11" i="2" s="1"/>
  <c r="G11" i="2" s="1"/>
  <c r="H11" i="2" s="1"/>
  <c r="I11" i="2" s="1"/>
  <c r="J11" i="2" s="1"/>
  <c r="K11" i="2" s="1"/>
  <c r="L11" i="2" s="1"/>
  <c r="M11" i="2" s="1"/>
  <c r="N11" i="2" s="1"/>
  <c r="O11" i="2" s="1"/>
  <c r="P11" i="2" s="1"/>
  <c r="Q11" i="2" s="1"/>
  <c r="R11" i="2" s="1"/>
  <c r="S11" i="2" s="1"/>
  <c r="T11" i="2" s="1"/>
  <c r="U11" i="2" s="1"/>
  <c r="V11" i="2" s="1"/>
  <c r="A12" i="2"/>
  <c r="A13" i="2" s="1"/>
  <c r="A14" i="2" s="1"/>
  <c r="A15" i="2" s="1"/>
  <c r="A16" i="2" s="1"/>
  <c r="A17" i="2" s="1"/>
  <c r="A18" i="2" s="1"/>
  <c r="A19" i="2" s="1"/>
  <c r="A20" i="2" s="1"/>
  <c r="A21" i="2" s="1"/>
  <c r="A22" i="2" s="1"/>
  <c r="A23" i="2" s="1"/>
  <c r="A24" i="2" s="1"/>
  <c r="A25" i="2" s="1"/>
  <c r="A26" i="2" s="1"/>
  <c r="A27" i="2" s="1"/>
  <c r="A28" i="2" s="1"/>
  <c r="A29" i="2" s="1"/>
  <c r="A30" i="2" s="1"/>
  <c r="A31" i="2" s="1"/>
  <c r="A32" i="2" s="1"/>
  <c r="C5" i="2"/>
  <c r="C6" i="2" s="1"/>
  <c r="C8" i="2" s="1"/>
  <c r="C4" i="2"/>
  <c r="C3" i="2"/>
  <c r="C2" i="2"/>
  <c r="C7" i="1"/>
  <c r="C9" i="1"/>
  <c r="C8" i="1"/>
  <c r="C6" i="1"/>
  <c r="C4" i="1"/>
  <c r="C3" i="1"/>
  <c r="C2" i="1"/>
  <c r="F7" i="1" l="1"/>
  <c r="F4" i="1"/>
  <c r="F6" i="1" s="1"/>
  <c r="B12" i="2"/>
  <c r="U32" i="2"/>
  <c r="B26" i="2"/>
  <c r="V13" i="2"/>
  <c r="U16" i="2"/>
  <c r="V29" i="2"/>
  <c r="U24" i="2"/>
  <c r="B18" i="2"/>
  <c r="V21" i="2"/>
  <c r="G75" i="3"/>
  <c r="J68" i="3"/>
  <c r="J69" i="3" s="1"/>
  <c r="G85" i="3"/>
  <c r="G83" i="3"/>
  <c r="S86" i="3"/>
  <c r="T84" i="3"/>
  <c r="G81" i="3"/>
  <c r="H83" i="3"/>
  <c r="G93" i="3"/>
  <c r="J23" i="3"/>
  <c r="H95" i="3"/>
  <c r="J15" i="3"/>
  <c r="J7" i="3"/>
  <c r="J31" i="3"/>
  <c r="S93" i="3"/>
  <c r="R88" i="3"/>
  <c r="H72" i="3"/>
  <c r="S84" i="3"/>
  <c r="T83" i="3"/>
  <c r="J30" i="3"/>
  <c r="J22" i="3"/>
  <c r="J14" i="3"/>
  <c r="J6" i="3"/>
  <c r="H92" i="3"/>
  <c r="H99" i="3"/>
  <c r="R86" i="3"/>
  <c r="S78" i="3"/>
  <c r="T82" i="3"/>
  <c r="J29" i="3"/>
  <c r="J21" i="3"/>
  <c r="J13" i="3"/>
  <c r="J5" i="3"/>
  <c r="I86" i="3"/>
  <c r="H88" i="3"/>
  <c r="I90" i="3"/>
  <c r="G72" i="3"/>
  <c r="R79" i="3"/>
  <c r="S77" i="3"/>
  <c r="T76" i="3"/>
  <c r="J28" i="3"/>
  <c r="J20" i="3"/>
  <c r="J12" i="3"/>
  <c r="I88" i="3"/>
  <c r="T100" i="3"/>
  <c r="T75" i="3"/>
  <c r="J27" i="3"/>
  <c r="J19" i="3"/>
  <c r="J11" i="3"/>
  <c r="G73" i="3"/>
  <c r="R96" i="3"/>
  <c r="S101" i="3"/>
  <c r="T99" i="3"/>
  <c r="J4" i="3"/>
  <c r="J26" i="3"/>
  <c r="J18" i="3"/>
  <c r="J10" i="3"/>
  <c r="R95" i="3"/>
  <c r="T91" i="3"/>
  <c r="J33" i="3"/>
  <c r="J25" i="3"/>
  <c r="J17" i="3"/>
  <c r="J9" i="3"/>
  <c r="R94" i="3"/>
  <c r="J32" i="3"/>
  <c r="J24" i="3"/>
  <c r="J16" i="3"/>
  <c r="J8" i="3"/>
  <c r="U31" i="2"/>
  <c r="U23" i="2"/>
  <c r="U15" i="2"/>
  <c r="V20" i="2"/>
  <c r="B13" i="2"/>
  <c r="B25" i="2"/>
  <c r="U30" i="2"/>
  <c r="V27" i="2"/>
  <c r="B32" i="2"/>
  <c r="U21" i="2"/>
  <c r="V18" i="2"/>
  <c r="B15" i="2"/>
  <c r="T32" i="2"/>
  <c r="U26" i="2"/>
  <c r="U18" i="2"/>
  <c r="V31" i="2"/>
  <c r="V23" i="2"/>
  <c r="V15" i="2"/>
  <c r="B28" i="2"/>
  <c r="B20" i="2"/>
  <c r="U22" i="2"/>
  <c r="V19" i="2"/>
  <c r="B16" i="2"/>
  <c r="U29" i="2"/>
  <c r="U13" i="2"/>
  <c r="V26" i="2"/>
  <c r="B23" i="2"/>
  <c r="U12" i="2"/>
  <c r="U25" i="2"/>
  <c r="U17" i="2"/>
  <c r="V30" i="2"/>
  <c r="V22" i="2"/>
  <c r="V14" i="2"/>
  <c r="B27" i="2"/>
  <c r="B19" i="2"/>
  <c r="B17" i="2"/>
  <c r="V28" i="2"/>
  <c r="U14" i="2"/>
  <c r="B24" i="2"/>
  <c r="B31" i="2"/>
  <c r="U28" i="2"/>
  <c r="U20" i="2"/>
  <c r="V12" i="2"/>
  <c r="V25" i="2"/>
  <c r="V17" i="2"/>
  <c r="B30" i="2"/>
  <c r="B22" i="2"/>
  <c r="B14" i="2"/>
  <c r="U27" i="2"/>
  <c r="U19" i="2"/>
  <c r="V32" i="2"/>
  <c r="V24" i="2"/>
  <c r="V16" i="2"/>
  <c r="B29" i="2"/>
  <c r="B21" i="2"/>
  <c r="R80" i="3"/>
  <c r="S94" i="3"/>
  <c r="S85" i="3"/>
  <c r="I74" i="3"/>
  <c r="H96" i="3"/>
  <c r="R78" i="3"/>
  <c r="I78" i="3"/>
  <c r="H80" i="3"/>
  <c r="H87" i="3"/>
  <c r="I96" i="3"/>
  <c r="R101" i="3"/>
  <c r="R77" i="3"/>
  <c r="S91" i="3"/>
  <c r="S75" i="3"/>
  <c r="T97" i="3"/>
  <c r="T89" i="3"/>
  <c r="T81" i="3"/>
  <c r="T73" i="3"/>
  <c r="I80" i="3"/>
  <c r="G89" i="3"/>
  <c r="G91" i="3"/>
  <c r="R100" i="3"/>
  <c r="R92" i="3"/>
  <c r="R84" i="3"/>
  <c r="R76" i="3"/>
  <c r="S98" i="3"/>
  <c r="S90" i="3"/>
  <c r="S82" i="3"/>
  <c r="S74" i="3"/>
  <c r="F34" i="3"/>
  <c r="I72" i="3"/>
  <c r="I92" i="3"/>
  <c r="S100" i="3"/>
  <c r="G99" i="3"/>
  <c r="S97" i="3"/>
  <c r="S89" i="3"/>
  <c r="S81" i="3"/>
  <c r="S73" i="3"/>
  <c r="T95" i="3"/>
  <c r="T87" i="3"/>
  <c r="T79" i="3"/>
  <c r="F35" i="3"/>
  <c r="T98" i="3"/>
  <c r="R98" i="3"/>
  <c r="R90" i="3"/>
  <c r="R82" i="3"/>
  <c r="R74" i="3"/>
  <c r="T94" i="3"/>
  <c r="D34" i="3"/>
  <c r="H76" i="3"/>
  <c r="R97" i="3"/>
  <c r="S79" i="3"/>
  <c r="T101" i="3"/>
  <c r="T93" i="3"/>
  <c r="T85" i="3"/>
  <c r="T77" i="3"/>
  <c r="D35" i="3"/>
  <c r="T13" i="2"/>
  <c r="C14" i="2"/>
  <c r="C22" i="2"/>
  <c r="C30" i="2"/>
  <c r="D29" i="2"/>
  <c r="D21" i="2"/>
  <c r="D13" i="2"/>
  <c r="E26" i="2"/>
  <c r="E18" i="2"/>
  <c r="F31" i="2"/>
  <c r="F23" i="2"/>
  <c r="F15" i="2"/>
  <c r="G28" i="2"/>
  <c r="G20" i="2"/>
  <c r="H12" i="2"/>
  <c r="H25" i="2"/>
  <c r="H17" i="2"/>
  <c r="I30" i="2"/>
  <c r="I22" i="2"/>
  <c r="I14" i="2"/>
  <c r="J27" i="2"/>
  <c r="J19" i="2"/>
  <c r="K32" i="2"/>
  <c r="K24" i="2"/>
  <c r="K16" i="2"/>
  <c r="L29" i="2"/>
  <c r="L21" i="2"/>
  <c r="L13" i="2"/>
  <c r="M26" i="2"/>
  <c r="M18" i="2"/>
  <c r="N31" i="2"/>
  <c r="N23" i="2"/>
  <c r="N15" i="2"/>
  <c r="O28" i="2"/>
  <c r="O20" i="2"/>
  <c r="P12" i="2"/>
  <c r="P25" i="2"/>
  <c r="P17" i="2"/>
  <c r="Q30" i="2"/>
  <c r="Q22" i="2"/>
  <c r="Q14" i="2"/>
  <c r="R27" i="2"/>
  <c r="R19" i="2"/>
  <c r="S32" i="2"/>
  <c r="S24" i="2"/>
  <c r="S16" i="2"/>
  <c r="T28" i="2"/>
  <c r="T20" i="2"/>
  <c r="C17" i="2"/>
  <c r="C23" i="2"/>
  <c r="C31" i="2"/>
  <c r="D28" i="2"/>
  <c r="D20" i="2"/>
  <c r="E12" i="2"/>
  <c r="E25" i="2"/>
  <c r="E17" i="2"/>
  <c r="F30" i="2"/>
  <c r="F22" i="2"/>
  <c r="F14" i="2"/>
  <c r="G27" i="2"/>
  <c r="G19" i="2"/>
  <c r="H32" i="2"/>
  <c r="H24" i="2"/>
  <c r="H16" i="2"/>
  <c r="I29" i="2"/>
  <c r="I21" i="2"/>
  <c r="I13" i="2"/>
  <c r="J26" i="2"/>
  <c r="J18" i="2"/>
  <c r="K31" i="2"/>
  <c r="K23" i="2"/>
  <c r="K15" i="2"/>
  <c r="L28" i="2"/>
  <c r="L20" i="2"/>
  <c r="M12" i="2"/>
  <c r="M25" i="2"/>
  <c r="M17" i="2"/>
  <c r="N30" i="2"/>
  <c r="N22" i="2"/>
  <c r="N14" i="2"/>
  <c r="O27" i="2"/>
  <c r="O19" i="2"/>
  <c r="P32" i="2"/>
  <c r="P24" i="2"/>
  <c r="P16" i="2"/>
  <c r="Q29" i="2"/>
  <c r="Q21" i="2"/>
  <c r="Q13" i="2"/>
  <c r="R26" i="2"/>
  <c r="R18" i="2"/>
  <c r="S31" i="2"/>
  <c r="S23" i="2"/>
  <c r="S15" i="2"/>
  <c r="T27" i="2"/>
  <c r="T19" i="2"/>
  <c r="C16" i="2"/>
  <c r="C24" i="2"/>
  <c r="C32" i="2"/>
  <c r="D27" i="2"/>
  <c r="D19" i="2"/>
  <c r="E32" i="2"/>
  <c r="E24" i="2"/>
  <c r="E16" i="2"/>
  <c r="F29" i="2"/>
  <c r="F21" i="2"/>
  <c r="F13" i="2"/>
  <c r="G26" i="2"/>
  <c r="G18" i="2"/>
  <c r="H31" i="2"/>
  <c r="H23" i="2"/>
  <c r="H15" i="2"/>
  <c r="I28" i="2"/>
  <c r="I20" i="2"/>
  <c r="J12" i="2"/>
  <c r="J25" i="2"/>
  <c r="J17" i="2"/>
  <c r="K30" i="2"/>
  <c r="K22" i="2"/>
  <c r="K14" i="2"/>
  <c r="L27" i="2"/>
  <c r="L19" i="2"/>
  <c r="M32" i="2"/>
  <c r="M24" i="2"/>
  <c r="M16" i="2"/>
  <c r="N29" i="2"/>
  <c r="N21" i="2"/>
  <c r="N13" i="2"/>
  <c r="O26" i="2"/>
  <c r="O18" i="2"/>
  <c r="P31" i="2"/>
  <c r="P23" i="2"/>
  <c r="P15" i="2"/>
  <c r="Q28" i="2"/>
  <c r="Q20" i="2"/>
  <c r="R12" i="2"/>
  <c r="R25" i="2"/>
  <c r="R17" i="2"/>
  <c r="S30" i="2"/>
  <c r="S22" i="2"/>
  <c r="S14" i="2"/>
  <c r="T26" i="2"/>
  <c r="T18" i="2"/>
  <c r="C15" i="2"/>
  <c r="C25" i="2"/>
  <c r="D26" i="2"/>
  <c r="D18" i="2"/>
  <c r="E31" i="2"/>
  <c r="E23" i="2"/>
  <c r="E15" i="2"/>
  <c r="F28" i="2"/>
  <c r="F20" i="2"/>
  <c r="G12" i="2"/>
  <c r="G25" i="2"/>
  <c r="G17" i="2"/>
  <c r="H30" i="2"/>
  <c r="H22" i="2"/>
  <c r="H14" i="2"/>
  <c r="I27" i="2"/>
  <c r="I19" i="2"/>
  <c r="J32" i="2"/>
  <c r="J24" i="2"/>
  <c r="J16" i="2"/>
  <c r="K29" i="2"/>
  <c r="K21" i="2"/>
  <c r="K13" i="2"/>
  <c r="L26" i="2"/>
  <c r="L18" i="2"/>
  <c r="M31" i="2"/>
  <c r="M23" i="2"/>
  <c r="M15" i="2"/>
  <c r="N28" i="2"/>
  <c r="N20" i="2"/>
  <c r="O12" i="2"/>
  <c r="O25" i="2"/>
  <c r="O17" i="2"/>
  <c r="P30" i="2"/>
  <c r="P22" i="2"/>
  <c r="P14" i="2"/>
  <c r="Q27" i="2"/>
  <c r="Q19" i="2"/>
  <c r="R32" i="2"/>
  <c r="R24" i="2"/>
  <c r="R16" i="2"/>
  <c r="S29" i="2"/>
  <c r="S21" i="2"/>
  <c r="S13" i="2"/>
  <c r="T25" i="2"/>
  <c r="T17" i="2"/>
  <c r="C18" i="2"/>
  <c r="C27" i="2"/>
  <c r="D12" i="2"/>
  <c r="D25" i="2"/>
  <c r="D17" i="2"/>
  <c r="E30" i="2"/>
  <c r="E22" i="2"/>
  <c r="E14" i="2"/>
  <c r="F27" i="2"/>
  <c r="F19" i="2"/>
  <c r="G32" i="2"/>
  <c r="G24" i="2"/>
  <c r="G16" i="2"/>
  <c r="H29" i="2"/>
  <c r="H21" i="2"/>
  <c r="H13" i="2"/>
  <c r="I26" i="2"/>
  <c r="I18" i="2"/>
  <c r="J31" i="2"/>
  <c r="J23" i="2"/>
  <c r="J15" i="2"/>
  <c r="K28" i="2"/>
  <c r="K20" i="2"/>
  <c r="L12" i="2"/>
  <c r="L25" i="2"/>
  <c r="L17" i="2"/>
  <c r="M30" i="2"/>
  <c r="M22" i="2"/>
  <c r="M14" i="2"/>
  <c r="N27" i="2"/>
  <c r="N19" i="2"/>
  <c r="O32" i="2"/>
  <c r="O24" i="2"/>
  <c r="O16" i="2"/>
  <c r="P29" i="2"/>
  <c r="P21" i="2"/>
  <c r="P13" i="2"/>
  <c r="Q26" i="2"/>
  <c r="Q18" i="2"/>
  <c r="R31" i="2"/>
  <c r="R23" i="2"/>
  <c r="R15" i="2"/>
  <c r="S28" i="2"/>
  <c r="S20" i="2"/>
  <c r="T12" i="2"/>
  <c r="T24" i="2"/>
  <c r="T16" i="2"/>
  <c r="C19" i="2"/>
  <c r="C26" i="2"/>
  <c r="D32" i="2"/>
  <c r="D24" i="2"/>
  <c r="D16" i="2"/>
  <c r="E29" i="2"/>
  <c r="E21" i="2"/>
  <c r="E13" i="2"/>
  <c r="F26" i="2"/>
  <c r="F18" i="2"/>
  <c r="G31" i="2"/>
  <c r="G23" i="2"/>
  <c r="G15" i="2"/>
  <c r="H28" i="2"/>
  <c r="H20" i="2"/>
  <c r="I12" i="2"/>
  <c r="I25" i="2"/>
  <c r="I17" i="2"/>
  <c r="J30" i="2"/>
  <c r="J22" i="2"/>
  <c r="J14" i="2"/>
  <c r="K27" i="2"/>
  <c r="K19" i="2"/>
  <c r="L32" i="2"/>
  <c r="L24" i="2"/>
  <c r="L16" i="2"/>
  <c r="M29" i="2"/>
  <c r="M21" i="2"/>
  <c r="M13" i="2"/>
  <c r="N26" i="2"/>
  <c r="N18" i="2"/>
  <c r="O31" i="2"/>
  <c r="O23" i="2"/>
  <c r="O15" i="2"/>
  <c r="P28" i="2"/>
  <c r="P20" i="2"/>
  <c r="Q12" i="2"/>
  <c r="Q25" i="2"/>
  <c r="Q17" i="2"/>
  <c r="R30" i="2"/>
  <c r="R22" i="2"/>
  <c r="R14" i="2"/>
  <c r="S27" i="2"/>
  <c r="S19" i="2"/>
  <c r="T31" i="2"/>
  <c r="T23" i="2"/>
  <c r="T15" i="2"/>
  <c r="C12" i="2"/>
  <c r="C20" i="2"/>
  <c r="C28" i="2"/>
  <c r="D31" i="2"/>
  <c r="D23" i="2"/>
  <c r="D15" i="2"/>
  <c r="E28" i="2"/>
  <c r="E20" i="2"/>
  <c r="F12" i="2"/>
  <c r="F25" i="2"/>
  <c r="F17" i="2"/>
  <c r="G30" i="2"/>
  <c r="G22" i="2"/>
  <c r="G14" i="2"/>
  <c r="H27" i="2"/>
  <c r="H19" i="2"/>
  <c r="I32" i="2"/>
  <c r="I24" i="2"/>
  <c r="I16" i="2"/>
  <c r="J29" i="2"/>
  <c r="J21" i="2"/>
  <c r="J13" i="2"/>
  <c r="K26" i="2"/>
  <c r="K18" i="2"/>
  <c r="L31" i="2"/>
  <c r="L23" i="2"/>
  <c r="L15" i="2"/>
  <c r="M28" i="2"/>
  <c r="M20" i="2"/>
  <c r="N12" i="2"/>
  <c r="N25" i="2"/>
  <c r="N17" i="2"/>
  <c r="O30" i="2"/>
  <c r="O22" i="2"/>
  <c r="O14" i="2"/>
  <c r="P27" i="2"/>
  <c r="P19" i="2"/>
  <c r="Q32" i="2"/>
  <c r="Q24" i="2"/>
  <c r="Q16" i="2"/>
  <c r="R29" i="2"/>
  <c r="R21" i="2"/>
  <c r="R13" i="2"/>
  <c r="S26" i="2"/>
  <c r="S18" i="2"/>
  <c r="T30" i="2"/>
  <c r="T22" i="2"/>
  <c r="T14" i="2"/>
  <c r="C13" i="2"/>
  <c r="C21" i="2"/>
  <c r="C29" i="2"/>
  <c r="D30" i="2"/>
  <c r="D22" i="2"/>
  <c r="D14" i="2"/>
  <c r="E27" i="2"/>
  <c r="E19" i="2"/>
  <c r="F32" i="2"/>
  <c r="F24" i="2"/>
  <c r="F16" i="2"/>
  <c r="G29" i="2"/>
  <c r="G21" i="2"/>
  <c r="G13" i="2"/>
  <c r="H26" i="2"/>
  <c r="H18" i="2"/>
  <c r="I31" i="2"/>
  <c r="I23" i="2"/>
  <c r="I15" i="2"/>
  <c r="J28" i="2"/>
  <c r="J20" i="2"/>
  <c r="K12" i="2"/>
  <c r="K25" i="2"/>
  <c r="K17" i="2"/>
  <c r="L30" i="2"/>
  <c r="L22" i="2"/>
  <c r="L14" i="2"/>
  <c r="M27" i="2"/>
  <c r="M19" i="2"/>
  <c r="N32" i="2"/>
  <c r="N24" i="2"/>
  <c r="N16" i="2"/>
  <c r="O29" i="2"/>
  <c r="O21" i="2"/>
  <c r="O13" i="2"/>
  <c r="P26" i="2"/>
  <c r="P18" i="2"/>
  <c r="Q31" i="2"/>
  <c r="Q23" i="2"/>
  <c r="Q15" i="2"/>
  <c r="R28" i="2"/>
  <c r="R20" i="2"/>
  <c r="S12" i="2"/>
  <c r="S25" i="2"/>
  <c r="S17" i="2"/>
  <c r="T29" i="2"/>
  <c r="T21" i="2"/>
  <c r="F8" i="1" l="1"/>
  <c r="J34" i="3"/>
  <c r="J3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D81C45-69D0-4244-B6E8-1638EAFE0BE9}" name="tclab" type="6" refreshedVersion="6" background="1" saveData="1">
    <textPr codePage="437" firstRow="2" sourceFile="C:\Users\jerem\Desktop\tclab.txt" comma="1">
      <textFields count="5">
        <textField/>
        <textField/>
        <textField/>
        <textField/>
        <textField/>
      </textFields>
    </textPr>
  </connection>
</connections>
</file>

<file path=xl/sharedStrings.xml><?xml version="1.0" encoding="utf-8"?>
<sst xmlns="http://schemas.openxmlformats.org/spreadsheetml/2006/main" count="280" uniqueCount="107">
  <si>
    <t>Thermal Conductivity (k)</t>
  </si>
  <si>
    <t>Viscosity (mu)</t>
  </si>
  <si>
    <t>Density  (rho)</t>
  </si>
  <si>
    <t>Heat Capacity (cp)</t>
  </si>
  <si>
    <t>Length (L)</t>
  </si>
  <si>
    <t>Velocity (v)</t>
  </si>
  <si>
    <t>Temperature 1 (T_1)</t>
  </si>
  <si>
    <t>Temperature 2 (T_2)</t>
  </si>
  <si>
    <t>Pr</t>
  </si>
  <si>
    <t>Re</t>
  </si>
  <si>
    <t>Nu</t>
  </si>
  <si>
    <t>h</t>
  </si>
  <si>
    <t>q</t>
  </si>
  <si>
    <t>Delta_T</t>
  </si>
  <si>
    <t>Pressure</t>
  </si>
  <si>
    <t>Nitrogen (N2)</t>
  </si>
  <si>
    <t>n_N2 (# of moles when first filled to 1.25atm)</t>
  </si>
  <si>
    <t>Temperature K (T1_N2)</t>
  </si>
  <si>
    <t>Pressure atm (P1_N2)</t>
  </si>
  <si>
    <t>Volume of tank total (V1_N2)</t>
  </si>
  <si>
    <t>R (Gas Constant) L*atm/(mol*K) (R_N2)</t>
  </si>
  <si>
    <t>n1_N2 (# moles with 25% remaining)</t>
  </si>
  <si>
    <t>Temperatures (Kelvin)</t>
  </si>
  <si>
    <t>Volumes (L)</t>
  </si>
  <si>
    <t>Pressures Table (atm)</t>
  </si>
  <si>
    <t>Too</t>
  </si>
  <si>
    <t>Low</t>
  </si>
  <si>
    <t>Is</t>
  </si>
  <si>
    <t>Acceptable</t>
  </si>
  <si>
    <t>High</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</si>
  <si>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</si>
  <si>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</si>
  <si>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</si>
  <si>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</si>
  <si>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</si>
  <si>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</si>
  <si>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</si>
  <si>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</si>
  <si>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</si>
  <si>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</si>
  <si>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</si>
  <si>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</si>
  <si>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</si>
  <si>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</si>
  <si>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</si>
  <si>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</si>
  <si>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</si>
  <si>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</si>
  <si>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</si>
  <si>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</si>
  <si>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</si>
  <si>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</si>
  <si>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</si>
  <si>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</si>
  <si>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</si>
  <si>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</si>
  <si>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</si>
  <si>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</si>
  <si>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</si>
  <si>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</si>
  <si>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NETFLIX (NFLX)</t>
  </si>
  <si>
    <t>StarBucks (SBUX)</t>
  </si>
  <si>
    <t>Date</t>
  </si>
  <si>
    <t>Close*</t>
  </si>
  <si>
    <t>Normalized High</t>
  </si>
  <si>
    <t>Normalized Low</t>
  </si>
  <si>
    <t>Normalized Close</t>
  </si>
  <si>
    <t>STDEV</t>
  </si>
  <si>
    <t>"CLOSE DATA"</t>
  </si>
  <si>
    <t>AVG CLOSE</t>
  </si>
  <si>
    <t>MEDIAN CLOSE</t>
  </si>
  <si>
    <t>MAX CLOSE</t>
  </si>
  <si>
    <t>MIN CLOSE</t>
  </si>
  <si>
    <t>(#-AVG)^2</t>
  </si>
  <si>
    <t>CLOSE DATA</t>
  </si>
  <si>
    <t>Temperature 2</t>
  </si>
  <si>
    <t>Temperature 1</t>
  </si>
  <si>
    <t>Time (sec)</t>
  </si>
  <si>
    <t>Heater 2</t>
  </si>
  <si>
    <t>Heater 1</t>
  </si>
  <si>
    <t>Input value (x)</t>
  </si>
  <si>
    <t>Output function f(x)</t>
  </si>
  <si>
    <t>cos(x)</t>
  </si>
  <si>
    <t>sin(x)</t>
  </si>
  <si>
    <t>tan(π/x) π/x in rad</t>
  </si>
  <si>
    <t>max of 2/√x, x^2/2, x^3/3, (x^2+x^3)/5</t>
  </si>
  <si>
    <t>x!</t>
  </si>
  <si>
    <t>x^2 when x&lt;1; sin(πx/2) when x≥1</t>
  </si>
  <si>
    <t>largest integer less than or equal to x</t>
  </si>
  <si>
    <t>Value of the Function</t>
  </si>
  <si>
    <t>Radians</t>
  </si>
  <si>
    <t>Degrees</t>
  </si>
  <si>
    <t>(Given Values)</t>
  </si>
  <si>
    <t>Calculated (Values)</t>
  </si>
  <si>
    <t>Pascals</t>
  </si>
  <si>
    <t>kg/m^3</t>
  </si>
  <si>
    <t>W/m*k</t>
  </si>
  <si>
    <t>J/kg*K</t>
  </si>
  <si>
    <t>m</t>
  </si>
  <si>
    <t>Kelvin</t>
  </si>
  <si>
    <t>m/s</t>
  </si>
  <si>
    <t>W/m^2*K</t>
  </si>
  <si>
    <t>W/m^2</t>
  </si>
  <si>
    <t>Atm</t>
  </si>
  <si>
    <t>L</t>
  </si>
  <si>
    <t>moles</t>
  </si>
  <si>
    <t>Moles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</si>
</sst>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4"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8"/>
      <color rgb="FF000000"/>
      <name val="Arial"/>
      <family val="2"/>
    </font>
    <font>
      <sz val="7"/>
      <color rgb="FF5B636A"/>
      <name val="Arial"/>
      <family val="2"/>
    </font>
    <font>
      <sz val="11"/>
      <name val="Calibri"/>
      <family val="2"/>
      <scheme val="minor"/>
    </font>
    <font>
      <sz val="11"/>
      <color rgb="FF5B636A"/>
      <name val="Arial"/>
      <family val="2"/>
    </font>
    <font>
      <b/>
      <sz val="8"/>
      <color rgb="FF000000"/>
      <name val="Arial"/>
      <family val="2"/>
    </font>
    <font>
      <b/>
      <sz val="8"/>
      <name val="Arial"/>
      <family val="2"/>
    </font>
    <font>
      <sz val="11"/>
      <color rgb="FFFF0000"/>
      <name val="Calibri"/>
      <family val="2"/>
      <scheme val="minor"/>
    </font>
    <font>
      <i/>
      <sz val="11"/>
      <color theme="1"/>
      <name val="Calibri"/>
      <family val="2"/>
      <scheme val="minor"/>
    </font>
    <font>
      <b/>
      <sz val="10"/>
      <color rgb="FF24292E"/>
      <name val="Segoe UI"/>
      <family val="2"/>
    </font>
    <font>
      <i/>
      <sz val="10"/>
      <color rgb="FF24292E"/>
      <name val="Segoe UI"/>
      <family val="2"/>
    </font>
  </fonts>
  <fills count="22">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7C8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FBD69B"/>
        <bgColor indexed="64"/>
      </patternFill>
    </fill>
    <fill>
      <patternFill patternType="solid">
        <fgColor theme="6" tint="0.59999389629810485"/>
        <bgColor indexed="64"/>
      </patternFill>
    </fill>
  </fills>
  <borders count="3">
    <border>
      <left/>
      <right/>
      <top/>
      <bottom/>
      <diagonal/>
    </border>
    <border>
      <left/>
      <right/>
      <top style="medium">
        <color rgb="FFE0E4E9"/>
      </top>
      <bottom/>
      <diagonal/>
    </border>
    <border>
      <left style="medium">
        <color rgb="FFDFE2E5"/>
      </left>
      <right style="medium">
        <color rgb="FFDFE2E5"/>
      </right>
      <top style="medium">
        <color rgb="FFDFE2E5"/>
      </top>
      <bottom style="medium">
        <color rgb="FFDFE2E5"/>
      </bottom>
      <diagonal/>
    </border>
  </borders>
  <cellStyleXfs count="1">
    <xf numFmtId="0" fontId="0" fillId="0" borderId="0"/>
  </cellStyleXfs>
  <cellXfs count="54">
    <xf numFmtId="0" fontId="0" fillId="0" borderId="0" xfId="0"/>
    <xf numFmtId="0" fontId="1" fillId="0" borderId="0" xfId="0" applyFont="1"/>
    <xf numFmtId="0" fontId="0" fillId="3" borderId="0" xfId="0" applyFill="1"/>
    <xf numFmtId="0" fontId="0" fillId="5" borderId="0" xfId="0" applyFill="1"/>
    <xf numFmtId="0" fontId="0" fillId="6" borderId="0" xfId="0" applyFill="1"/>
    <xf numFmtId="0" fontId="0" fillId="7" borderId="0" xfId="0" applyFill="1"/>
    <xf numFmtId="0" fontId="0" fillId="8" borderId="0" xfId="0" applyFill="1"/>
    <xf numFmtId="0" fontId="1" fillId="6" borderId="0" xfId="0" applyFont="1" applyFill="1"/>
    <xf numFmtId="0" fontId="1" fillId="5" borderId="0" xfId="0" applyFont="1" applyFill="1"/>
    <xf numFmtId="0" fontId="2" fillId="2" borderId="0" xfId="0" applyFont="1" applyFill="1"/>
    <xf numFmtId="164" fontId="1" fillId="0" borderId="0" xfId="0" applyNumberFormat="1" applyFont="1"/>
    <xf numFmtId="0" fontId="0" fillId="10" borderId="0" xfId="0" applyFill="1"/>
    <xf numFmtId="0" fontId="0" fillId="11" borderId="0" xfId="0" applyFill="1"/>
    <xf numFmtId="0" fontId="5" fillId="12" borderId="0" xfId="0" applyFont="1" applyFill="1" applyAlignment="1">
      <alignment horizontal="center" vertical="center" wrapText="1"/>
    </xf>
    <xf numFmtId="0" fontId="4" fillId="4" borderId="1" xfId="0" applyFont="1" applyFill="1" applyBorder="1" applyAlignment="1">
      <alignment horizontal="right" vertical="center"/>
    </xf>
    <xf numFmtId="0" fontId="6" fillId="3" borderId="0" xfId="0" applyFont="1" applyFill="1" applyAlignment="1">
      <alignment horizontal="right" vertical="center" wrapText="1"/>
    </xf>
    <xf numFmtId="0" fontId="6" fillId="3" borderId="0" xfId="0" applyFont="1" applyFill="1" applyAlignment="1">
      <alignment horizontal="center" vertical="center" wrapText="1"/>
    </xf>
    <xf numFmtId="0" fontId="0" fillId="13" borderId="0" xfId="0" applyFill="1"/>
    <xf numFmtId="0" fontId="7" fillId="13" borderId="0" xfId="0" applyFont="1" applyFill="1" applyAlignment="1">
      <alignment horizontal="left" vertical="center" wrapText="1"/>
    </xf>
    <xf numFmtId="0" fontId="7" fillId="13" borderId="0" xfId="0" applyFont="1" applyFill="1" applyAlignment="1">
      <alignment horizontal="center" vertical="center" wrapText="1"/>
    </xf>
    <xf numFmtId="0" fontId="7" fillId="3" borderId="0" xfId="0" applyFont="1" applyFill="1" applyAlignment="1">
      <alignment horizontal="left" vertical="center" wrapText="1"/>
    </xf>
    <xf numFmtId="0" fontId="7" fillId="3" borderId="0" xfId="0" applyFont="1" applyFill="1" applyAlignment="1">
      <alignment horizontal="center" vertical="center" wrapText="1"/>
    </xf>
    <xf numFmtId="15" fontId="4" fillId="11" borderId="1" xfId="0" applyNumberFormat="1" applyFont="1" applyFill="1" applyBorder="1" applyAlignment="1">
      <alignment horizontal="left" vertical="center"/>
    </xf>
    <xf numFmtId="0" fontId="4" fillId="11" borderId="1" xfId="0" applyFont="1" applyFill="1" applyBorder="1" applyAlignment="1">
      <alignment horizontal="right" vertical="center"/>
    </xf>
    <xf numFmtId="0" fontId="4" fillId="14" borderId="1" xfId="0" applyFont="1" applyFill="1" applyBorder="1" applyAlignment="1">
      <alignment horizontal="right" vertical="center"/>
    </xf>
    <xf numFmtId="0" fontId="6" fillId="13" borderId="0" xfId="0" applyFont="1" applyFill="1" applyAlignment="1">
      <alignment horizontal="right" vertical="center" wrapText="1"/>
    </xf>
    <xf numFmtId="0" fontId="6" fillId="13" borderId="0" xfId="0" applyFont="1" applyFill="1" applyAlignment="1">
      <alignment horizontal="center" vertical="center" wrapText="1"/>
    </xf>
    <xf numFmtId="0" fontId="6" fillId="13" borderId="0" xfId="0" applyFont="1" applyFill="1" applyAlignment="1">
      <alignment horizontal="right" vertical="center"/>
    </xf>
    <xf numFmtId="0" fontId="6" fillId="13" borderId="0" xfId="0" applyFont="1" applyFill="1" applyAlignment="1">
      <alignment wrapText="1"/>
    </xf>
    <xf numFmtId="15" fontId="4" fillId="8" borderId="1" xfId="0" applyNumberFormat="1" applyFont="1" applyFill="1" applyBorder="1" applyAlignment="1">
      <alignment horizontal="left" vertical="center"/>
    </xf>
    <xf numFmtId="0" fontId="4" fillId="8" borderId="1" xfId="0" applyFont="1" applyFill="1" applyBorder="1" applyAlignment="1">
      <alignment horizontal="right" vertical="center"/>
    </xf>
    <xf numFmtId="0" fontId="0" fillId="15" borderId="0" xfId="0" applyFill="1"/>
    <xf numFmtId="0" fontId="0" fillId="16" borderId="0" xfId="0" applyFill="1"/>
    <xf numFmtId="0" fontId="8" fillId="14" borderId="1" xfId="0" applyFont="1" applyFill="1" applyBorder="1" applyAlignment="1">
      <alignment horizontal="right" vertical="center"/>
    </xf>
    <xf numFmtId="0" fontId="9" fillId="4" borderId="1" xfId="0" applyFont="1" applyFill="1" applyBorder="1" applyAlignment="1">
      <alignment horizontal="right" vertical="center"/>
    </xf>
    <xf numFmtId="0" fontId="0" fillId="17" borderId="0" xfId="0" applyFill="1"/>
    <xf numFmtId="11" fontId="0" fillId="0" borderId="0" xfId="0" applyNumberFormat="1"/>
    <xf numFmtId="0" fontId="1" fillId="2" borderId="0" xfId="0" applyFont="1" applyFill="1" applyAlignment="1">
      <alignment horizontal="center" vertical="center"/>
    </xf>
    <xf numFmtId="0" fontId="0" fillId="18" borderId="0" xfId="0" applyFill="1"/>
    <xf numFmtId="0" fontId="0" fillId="19" borderId="0" xfId="0" applyFill="1"/>
    <xf numFmtId="0" fontId="0" fillId="20" borderId="0" xfId="0" applyFill="1"/>
    <xf numFmtId="0" fontId="10" fillId="19" borderId="0" xfId="0" applyFont="1" applyFill="1"/>
    <xf numFmtId="0" fontId="11" fillId="19" borderId="0" xfId="0" applyFont="1" applyFill="1"/>
    <xf numFmtId="0" fontId="1" fillId="19" borderId="0" xfId="0" applyFont="1" applyFill="1"/>
    <xf numFmtId="0" fontId="1" fillId="18" borderId="0" xfId="0" applyFont="1" applyFill="1"/>
    <xf numFmtId="0" fontId="11" fillId="18" borderId="0" xfId="0" applyFont="1" applyFill="1"/>
    <xf numFmtId="0" fontId="11" fillId="9" borderId="0" xfId="0" applyFont="1" applyFill="1"/>
    <xf numFmtId="0" fontId="11" fillId="0" borderId="0" xfId="0" applyFont="1"/>
    <xf numFmtId="0" fontId="1" fillId="21" borderId="0" xfId="0" applyFont="1" applyFill="1"/>
    <xf numFmtId="0" fontId="2" fillId="10" borderId="0" xfId="0" applyFont="1" applyFill="1"/>
    <xf numFmtId="0" fontId="12" fillId="17" borderId="2"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3" fillId="17" borderId="2" xfId="0" applyFont="1" applyFill="1" applyBorder="1" applyAlignment="1">
      <alignment horizontal="left" vertical="center" wrapText="1" indent="1"/>
    </xf>
    <xf numFmtId="0" fontId="13" fillId="13" borderId="2" xfId="0" applyFont="1" applyFill="1" applyBorder="1" applyAlignment="1">
      <alignment horizontal="left" vertical="center" wrapText="1" inden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BD69B"/>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Normalized Netflix (NFLX) Stock Price (Last 30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High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'HW1_P3(A)'!$G$4:$G$33</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extLst>
            <c:ext xmlns:c16="http://schemas.microsoft.com/office/drawing/2014/chart" uri="{C3380CC4-5D6E-409C-BE32-E72D297353CC}">
              <c16:uniqueId val="{00000000-E9E0-4B73-B200-5AD5E47FBDBE}"/>
            </c:ext>
          </c:extLst>
        </c:ser>
        <c:ser>
          <c:idx val="1"/>
          <c:order val="1"/>
          <c:tx>
            <c:v>Low</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'HW1_P3(A)'!$H$4:$H$33</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extLst>
            <c:ext xmlns:c16="http://schemas.microsoft.com/office/drawing/2014/chart" uri="{C3380CC4-5D6E-409C-BE32-E72D297353CC}">
              <c16:uniqueId val="{00000001-E9E0-4B73-B200-5AD5E47FBDBE}"/>
            </c:ext>
          </c:extLst>
        </c:ser>
        <c:ser>
          <c:idx val="2"/>
          <c:order val="2"/>
          <c:tx>
            <c:v>Close</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'HW1_P3(A)'!$I$4:$I$33</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extLst>
            <c:ext xmlns:c16="http://schemas.microsoft.com/office/drawing/2014/chart" uri="{C3380CC4-5D6E-409C-BE32-E72D297353CC}">
              <c16:uniqueId val="{00000002-E9E0-4B73-B200-5AD5E47FBDBE}"/>
            </c:ext>
          </c:extLst>
        </c:ser>
        <c:dLbls>
          <c:showLegendKey val="0"/>
          <c:showVal val="0"/>
          <c:showCatName val="0"/>
          <c:showSerName val="0"/>
          <c:showPercent val="0"/>
          <c:showBubbleSize val="0"/>
        </c:dLbls>
        <c:gapWidth val="100"/>
        <c:overlap val="-24"/>
        <c:axId val="396512288"/>
        <c:axId val="396511632"/>
      </c:barChart>
      <c:catAx>
        <c:axId val="39651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 30=Yesterday)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511632"/>
        <c:crosses val="autoZero"/>
        <c:auto val="1"/>
        <c:lblAlgn val="ctr"/>
        <c:lblOffset val="100"/>
        <c:noMultiLvlLbl val="0"/>
      </c:catAx>
      <c:valAx>
        <c:axId val="396511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 Stock Value</a:t>
                </a:r>
              </a:p>
            </c:rich>
          </c:tx>
          <c:layout>
            <c:manualLayout>
              <c:xMode val="edge"/>
              <c:yMode val="edge"/>
              <c:x val="1.7404044166655246E-2"/>
              <c:y val="0.443051956335472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5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Normalized Starbucks(SBUX) Stock Price (Last 30 Days)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107722718567091"/>
          <c:y val="0.10231228877977804"/>
          <c:w val="0.86773118738029753"/>
          <c:h val="0.83553112110367456"/>
        </c:manualLayout>
      </c:layout>
      <c:barChart>
        <c:barDir val="col"/>
        <c:grouping val="clustered"/>
        <c:varyColors val="0"/>
        <c:ser>
          <c:idx val="0"/>
          <c:order val="0"/>
          <c:tx>
            <c:v>HIGH</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'HW1_P3(A)'!$G$38:$G$67</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extLst>
            <c:ext xmlns:c16="http://schemas.microsoft.com/office/drawing/2014/chart" uri="{C3380CC4-5D6E-409C-BE32-E72D297353CC}">
              <c16:uniqueId val="{00000000-3E81-4451-8AB4-8C0E0469CB7B}"/>
            </c:ext>
          </c:extLst>
        </c:ser>
        <c:ser>
          <c:idx val="1"/>
          <c:order val="1"/>
          <c:tx>
            <c:v>LOW</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'HW1_P3(A)'!$H$38:$H$67</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extLst>
            <c:ext xmlns:c16="http://schemas.microsoft.com/office/drawing/2014/chart" uri="{C3380CC4-5D6E-409C-BE32-E72D297353CC}">
              <c16:uniqueId val="{00000001-3E81-4451-8AB4-8C0E0469CB7B}"/>
            </c:ext>
          </c:extLst>
        </c:ser>
        <c:ser>
          <c:idx val="2"/>
          <c:order val="2"/>
          <c:tx>
            <c:v>CLOSE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'HW1_P3(A)'!$I$38:$I$67</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extLst>
            <c:ext xmlns:c16="http://schemas.microsoft.com/office/drawing/2014/chart" uri="{C3380CC4-5D6E-409C-BE32-E72D297353CC}">
              <c16:uniqueId val="{00000002-3E81-4451-8AB4-8C0E0469CB7B}"/>
            </c:ext>
          </c:extLst>
        </c:ser>
        <c:dLbls>
          <c:showLegendKey val="0"/>
          <c:showVal val="0"/>
          <c:showCatName val="0"/>
          <c:showSerName val="0"/>
          <c:showPercent val="0"/>
          <c:showBubbleSize val="0"/>
        </c:dLbls>
        <c:gapWidth val="150"/>
        <c:axId val="396259712"/>
        <c:axId val="396261024"/>
      </c:barChart>
      <c:catAx>
        <c:axId val="39625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61024"/>
        <c:crosses val="autoZero"/>
        <c:auto val="1"/>
        <c:lblAlgn val="ctr"/>
        <c:lblOffset val="100"/>
        <c:noMultiLvlLbl val="0"/>
      </c:catAx>
      <c:valAx>
        <c:axId val="39626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a:t>
                </a:r>
                <a:r>
                  <a:rPr lang="en-US" baseline="0"/>
                  <a:t> Stock Value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Side by Side</a:t>
            </a:r>
            <a:r>
              <a:rPr lang="en-US" sz="2800" baseline="0"/>
              <a:t> </a:t>
            </a:r>
            <a:r>
              <a:rPr lang="en-US" sz="2800"/>
              <a:t>Normalized SBUX</a:t>
            </a:r>
            <a:r>
              <a:rPr lang="en-US" sz="2800" baseline="0"/>
              <a:t> &amp; NFLX Stock Price (Past 30 days) </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911527009374748E-2"/>
          <c:y val="9.6187876492773175E-2"/>
          <c:w val="0.90514548106222692"/>
          <c:h val="0.83976818238769224"/>
        </c:manualLayout>
      </c:layout>
      <c:barChart>
        <c:barDir val="col"/>
        <c:grouping val="clustered"/>
        <c:varyColors val="0"/>
        <c:ser>
          <c:idx val="0"/>
          <c:order val="0"/>
          <c:tx>
            <c:v>NFLX HIGH</c:v>
          </c:tx>
          <c:spPr>
            <a:solidFill>
              <a:schemeClr val="accent1"/>
            </a:solidFill>
            <a:ln>
              <a:noFill/>
            </a:ln>
            <a:effectLst/>
          </c:spPr>
          <c:invertIfNegative val="0"/>
          <c:val>
            <c:numRef>
              <c:f>'HW1_P3(A)'!$O$72:$O$101</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extLst>
            <c:ext xmlns:c16="http://schemas.microsoft.com/office/drawing/2014/chart" uri="{C3380CC4-5D6E-409C-BE32-E72D297353CC}">
              <c16:uniqueId val="{00000000-6F96-4081-8062-827094A249E9}"/>
            </c:ext>
          </c:extLst>
        </c:ser>
        <c:ser>
          <c:idx val="1"/>
          <c:order val="1"/>
          <c:tx>
            <c:v>NFLX LOW</c:v>
          </c:tx>
          <c:spPr>
            <a:solidFill>
              <a:schemeClr val="accent2"/>
            </a:solidFill>
            <a:ln>
              <a:noFill/>
            </a:ln>
            <a:effectLst/>
          </c:spPr>
          <c:invertIfNegative val="0"/>
          <c:val>
            <c:numRef>
              <c:f>'HW1_P3(A)'!$P$72:$P$101</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extLst>
            <c:ext xmlns:c16="http://schemas.microsoft.com/office/drawing/2014/chart" uri="{C3380CC4-5D6E-409C-BE32-E72D297353CC}">
              <c16:uniqueId val="{00000001-6F96-4081-8062-827094A249E9}"/>
            </c:ext>
          </c:extLst>
        </c:ser>
        <c:ser>
          <c:idx val="2"/>
          <c:order val="2"/>
          <c:tx>
            <c:v>NFLX CLOSE</c:v>
          </c:tx>
          <c:spPr>
            <a:solidFill>
              <a:schemeClr val="accent3"/>
            </a:solidFill>
            <a:ln>
              <a:noFill/>
            </a:ln>
            <a:effectLst/>
          </c:spPr>
          <c:invertIfNegative val="0"/>
          <c:val>
            <c:numRef>
              <c:f>'HW1_P3(A)'!$Q$72:$Q$101</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extLst>
            <c:ext xmlns:c16="http://schemas.microsoft.com/office/drawing/2014/chart" uri="{C3380CC4-5D6E-409C-BE32-E72D297353CC}">
              <c16:uniqueId val="{00000002-6F96-4081-8062-827094A249E9}"/>
            </c:ext>
          </c:extLst>
        </c:ser>
        <c:ser>
          <c:idx val="3"/>
          <c:order val="3"/>
          <c:tx>
            <c:v>SBUX HIGH</c:v>
          </c:tx>
          <c:spPr>
            <a:solidFill>
              <a:schemeClr val="accent4"/>
            </a:solidFill>
            <a:ln>
              <a:noFill/>
            </a:ln>
            <a:effectLst/>
          </c:spPr>
          <c:invertIfNegative val="0"/>
          <c:val>
            <c:numRef>
              <c:f>'HW1_P3(A)'!$R$72:$R$101</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extLst>
            <c:ext xmlns:c16="http://schemas.microsoft.com/office/drawing/2014/chart" uri="{C3380CC4-5D6E-409C-BE32-E72D297353CC}">
              <c16:uniqueId val="{00000003-6F96-4081-8062-827094A249E9}"/>
            </c:ext>
          </c:extLst>
        </c:ser>
        <c:ser>
          <c:idx val="4"/>
          <c:order val="4"/>
          <c:tx>
            <c:v>SBUX LOW</c:v>
          </c:tx>
          <c:spPr>
            <a:solidFill>
              <a:schemeClr val="accent5"/>
            </a:solidFill>
            <a:ln>
              <a:noFill/>
            </a:ln>
            <a:effectLst/>
          </c:spPr>
          <c:invertIfNegative val="0"/>
          <c:val>
            <c:numRef>
              <c:f>'HW1_P3(A)'!$S$72:$S$101</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extLst>
            <c:ext xmlns:c16="http://schemas.microsoft.com/office/drawing/2014/chart" uri="{C3380CC4-5D6E-409C-BE32-E72D297353CC}">
              <c16:uniqueId val="{00000004-6F96-4081-8062-827094A249E9}"/>
            </c:ext>
          </c:extLst>
        </c:ser>
        <c:ser>
          <c:idx val="5"/>
          <c:order val="5"/>
          <c:tx>
            <c:v>SBUX CLOSE</c:v>
          </c:tx>
          <c:spPr>
            <a:solidFill>
              <a:schemeClr val="accent6"/>
            </a:solidFill>
            <a:ln>
              <a:noFill/>
            </a:ln>
            <a:effectLst/>
          </c:spPr>
          <c:invertIfNegative val="0"/>
          <c:val>
            <c:numRef>
              <c:f>'HW1_P3(A)'!$T$72:$T$101</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extLst>
            <c:ext xmlns:c16="http://schemas.microsoft.com/office/drawing/2014/chart" uri="{C3380CC4-5D6E-409C-BE32-E72D297353CC}">
              <c16:uniqueId val="{00000005-6F96-4081-8062-827094A249E9}"/>
            </c:ext>
          </c:extLst>
        </c:ser>
        <c:dLbls>
          <c:showLegendKey val="0"/>
          <c:showVal val="0"/>
          <c:showCatName val="0"/>
          <c:showSerName val="0"/>
          <c:showPercent val="0"/>
          <c:showBubbleSize val="0"/>
        </c:dLbls>
        <c:gapWidth val="150"/>
        <c:axId val="542691920"/>
        <c:axId val="542695200"/>
      </c:barChart>
      <c:catAx>
        <c:axId val="5426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200"/>
        <c:crosses val="autoZero"/>
        <c:auto val="1"/>
        <c:lblAlgn val="ctr"/>
        <c:lblOffset val="100"/>
        <c:noMultiLvlLbl val="0"/>
      </c:catAx>
      <c:valAx>
        <c:axId val="54269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Stock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1920"/>
        <c:crosses val="autoZero"/>
        <c:crossBetween val="between"/>
      </c:valAx>
      <c:spPr>
        <a:noFill/>
        <a:ln>
          <a:noFill/>
        </a:ln>
        <a:effectLst/>
      </c:spPr>
    </c:plotArea>
    <c:legend>
      <c:legendPos val="r"/>
      <c:layout>
        <c:manualLayout>
          <c:xMode val="edge"/>
          <c:yMode val="edge"/>
          <c:x val="0.96322229051286212"/>
          <c:y val="0.24151272714986663"/>
          <c:w val="3.6777709487137829E-2"/>
          <c:h val="0.37586202439321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Normalized Starbucks(SBUX) Stock Price (Last 30 Days)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4.5855199383613862E-2"/>
          <c:y val="9.2449004158884115E-2"/>
          <c:w val="0.86773118738029753"/>
          <c:h val="0.83553112110367456"/>
        </c:manualLayout>
      </c:layout>
      <c:barChart>
        <c:barDir val="col"/>
        <c:grouping val="clustered"/>
        <c:varyColors val="0"/>
        <c:ser>
          <c:idx val="0"/>
          <c:order val="0"/>
          <c:tx>
            <c:v>HIGH</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'HW1_P3(A)'!$G$38:$G$67</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extLst>
            <c:ext xmlns:c16="http://schemas.microsoft.com/office/drawing/2014/chart" uri="{C3380CC4-5D6E-409C-BE32-E72D297353CC}">
              <c16:uniqueId val="{00000000-8A64-4072-AC7D-B2C1ADD6D67D}"/>
            </c:ext>
          </c:extLst>
        </c:ser>
        <c:ser>
          <c:idx val="1"/>
          <c:order val="1"/>
          <c:tx>
            <c:v>LOW</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'HW1_P3(A)'!$H$38:$H$67</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extLst>
            <c:ext xmlns:c16="http://schemas.microsoft.com/office/drawing/2014/chart" uri="{C3380CC4-5D6E-409C-BE32-E72D297353CC}">
              <c16:uniqueId val="{00000001-8A64-4072-AC7D-B2C1ADD6D67D}"/>
            </c:ext>
          </c:extLst>
        </c:ser>
        <c:ser>
          <c:idx val="2"/>
          <c:order val="2"/>
          <c:tx>
            <c:v>CLOSE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'HW1_P3(A)'!$I$38:$I$67</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extLst>
            <c:ext xmlns:c16="http://schemas.microsoft.com/office/drawing/2014/chart" uri="{C3380CC4-5D6E-409C-BE32-E72D297353CC}">
              <c16:uniqueId val="{00000002-8A64-4072-AC7D-B2C1ADD6D67D}"/>
            </c:ext>
          </c:extLst>
        </c:ser>
        <c:dLbls>
          <c:showLegendKey val="0"/>
          <c:showVal val="0"/>
          <c:showCatName val="0"/>
          <c:showSerName val="0"/>
          <c:showPercent val="0"/>
          <c:showBubbleSize val="0"/>
        </c:dLbls>
        <c:gapWidth val="150"/>
        <c:axId val="396259712"/>
        <c:axId val="396261024"/>
      </c:barChart>
      <c:catAx>
        <c:axId val="39625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61024"/>
        <c:crosses val="autoZero"/>
        <c:auto val="1"/>
        <c:lblAlgn val="ctr"/>
        <c:lblOffset val="100"/>
        <c:noMultiLvlLbl val="0"/>
      </c:catAx>
      <c:valAx>
        <c:axId val="39626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a:t>
                </a:r>
                <a:r>
                  <a:rPr lang="en-US" baseline="0"/>
                  <a:t> Stock Value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Side by Side</a:t>
            </a:r>
            <a:r>
              <a:rPr lang="en-US" sz="2800" baseline="0"/>
              <a:t> </a:t>
            </a:r>
            <a:r>
              <a:rPr lang="en-US" sz="2800"/>
              <a:t>Normalized SBUX</a:t>
            </a:r>
            <a:r>
              <a:rPr lang="en-US" sz="2800" baseline="0"/>
              <a:t> &amp; NFLX Stock Price (Past 30 days) </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911527009374748E-2"/>
          <c:y val="9.6187876492773175E-2"/>
          <c:w val="0.90514548106222692"/>
          <c:h val="0.83976818238769224"/>
        </c:manualLayout>
      </c:layout>
      <c:barChart>
        <c:barDir val="col"/>
        <c:grouping val="clustered"/>
        <c:varyColors val="0"/>
        <c:ser>
          <c:idx val="0"/>
          <c:order val="0"/>
          <c:tx>
            <c:v>NFLX HIGH</c:v>
          </c:tx>
          <c:spPr>
            <a:solidFill>
              <a:schemeClr val="accent1"/>
            </a:solidFill>
            <a:ln>
              <a:noFill/>
            </a:ln>
            <a:effectLst/>
          </c:spPr>
          <c:invertIfNegative val="0"/>
          <c:val>
            <c:numRef>
              <c:f>'HW1_P3(A)'!$O$72:$O$101</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extLst>
            <c:ext xmlns:c16="http://schemas.microsoft.com/office/drawing/2014/chart" uri="{C3380CC4-5D6E-409C-BE32-E72D297353CC}">
              <c16:uniqueId val="{00000000-3BDD-44D4-A718-F167A94E43F4}"/>
            </c:ext>
          </c:extLst>
        </c:ser>
        <c:ser>
          <c:idx val="1"/>
          <c:order val="1"/>
          <c:tx>
            <c:v>NFLX LOW</c:v>
          </c:tx>
          <c:spPr>
            <a:solidFill>
              <a:schemeClr val="accent2"/>
            </a:solidFill>
            <a:ln>
              <a:noFill/>
            </a:ln>
            <a:effectLst/>
          </c:spPr>
          <c:invertIfNegative val="0"/>
          <c:val>
            <c:numRef>
              <c:f>'HW1_P3(A)'!$P$72:$P$101</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extLst>
            <c:ext xmlns:c16="http://schemas.microsoft.com/office/drawing/2014/chart" uri="{C3380CC4-5D6E-409C-BE32-E72D297353CC}">
              <c16:uniqueId val="{00000001-3BDD-44D4-A718-F167A94E43F4}"/>
            </c:ext>
          </c:extLst>
        </c:ser>
        <c:ser>
          <c:idx val="2"/>
          <c:order val="2"/>
          <c:tx>
            <c:v>NFLX CLOSE</c:v>
          </c:tx>
          <c:spPr>
            <a:solidFill>
              <a:schemeClr val="accent3"/>
            </a:solidFill>
            <a:ln>
              <a:noFill/>
            </a:ln>
            <a:effectLst/>
          </c:spPr>
          <c:invertIfNegative val="0"/>
          <c:val>
            <c:numRef>
              <c:f>'HW1_P3(A)'!$Q$72:$Q$101</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extLst>
            <c:ext xmlns:c16="http://schemas.microsoft.com/office/drawing/2014/chart" uri="{C3380CC4-5D6E-409C-BE32-E72D297353CC}">
              <c16:uniqueId val="{00000002-3BDD-44D4-A718-F167A94E43F4}"/>
            </c:ext>
          </c:extLst>
        </c:ser>
        <c:ser>
          <c:idx val="3"/>
          <c:order val="3"/>
          <c:tx>
            <c:v>SBUX HIGH</c:v>
          </c:tx>
          <c:spPr>
            <a:solidFill>
              <a:schemeClr val="accent4"/>
            </a:solidFill>
            <a:ln>
              <a:noFill/>
            </a:ln>
            <a:effectLst/>
          </c:spPr>
          <c:invertIfNegative val="0"/>
          <c:val>
            <c:numRef>
              <c:f>'HW1_P3(A)'!$R$72:$R$101</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extLst>
            <c:ext xmlns:c16="http://schemas.microsoft.com/office/drawing/2014/chart" uri="{C3380CC4-5D6E-409C-BE32-E72D297353CC}">
              <c16:uniqueId val="{00000003-3BDD-44D4-A718-F167A94E43F4}"/>
            </c:ext>
          </c:extLst>
        </c:ser>
        <c:ser>
          <c:idx val="4"/>
          <c:order val="4"/>
          <c:tx>
            <c:v>SBUX LOW</c:v>
          </c:tx>
          <c:spPr>
            <a:solidFill>
              <a:schemeClr val="accent5"/>
            </a:solidFill>
            <a:ln>
              <a:noFill/>
            </a:ln>
            <a:effectLst/>
          </c:spPr>
          <c:invertIfNegative val="0"/>
          <c:val>
            <c:numRef>
              <c:f>'HW1_P3(A)'!$S$72:$S$101</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extLst>
            <c:ext xmlns:c16="http://schemas.microsoft.com/office/drawing/2014/chart" uri="{C3380CC4-5D6E-409C-BE32-E72D297353CC}">
              <c16:uniqueId val="{00000004-3BDD-44D4-A718-F167A94E43F4}"/>
            </c:ext>
          </c:extLst>
        </c:ser>
        <c:ser>
          <c:idx val="5"/>
          <c:order val="5"/>
          <c:tx>
            <c:v>SBUX CLOSE</c:v>
          </c:tx>
          <c:spPr>
            <a:solidFill>
              <a:schemeClr val="accent6"/>
            </a:solidFill>
            <a:ln>
              <a:noFill/>
            </a:ln>
            <a:effectLst/>
          </c:spPr>
          <c:invertIfNegative val="0"/>
          <c:val>
            <c:numRef>
              <c:f>'HW1_P3(A)'!$T$72:$T$101</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extLst>
            <c:ext xmlns:c16="http://schemas.microsoft.com/office/drawing/2014/chart" uri="{C3380CC4-5D6E-409C-BE32-E72D297353CC}">
              <c16:uniqueId val="{00000005-3BDD-44D4-A718-F167A94E43F4}"/>
            </c:ext>
          </c:extLst>
        </c:ser>
        <c:dLbls>
          <c:showLegendKey val="0"/>
          <c:showVal val="0"/>
          <c:showCatName val="0"/>
          <c:showSerName val="0"/>
          <c:showPercent val="0"/>
          <c:showBubbleSize val="0"/>
        </c:dLbls>
        <c:gapWidth val="150"/>
        <c:axId val="542691920"/>
        <c:axId val="542695200"/>
      </c:barChart>
      <c:catAx>
        <c:axId val="5426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200"/>
        <c:crosses val="autoZero"/>
        <c:auto val="1"/>
        <c:lblAlgn val="ctr"/>
        <c:lblOffset val="100"/>
        <c:noMultiLvlLbl val="0"/>
      </c:catAx>
      <c:valAx>
        <c:axId val="54269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Stock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1920"/>
        <c:crosses val="autoZero"/>
        <c:crossBetween val="between"/>
      </c:valAx>
      <c:spPr>
        <a:noFill/>
        <a:ln>
          <a:noFill/>
        </a:ln>
        <a:effectLst/>
      </c:spPr>
    </c:plotArea>
    <c:legend>
      <c:legendPos val="r"/>
      <c:layout>
        <c:manualLayout>
          <c:xMode val="edge"/>
          <c:yMode val="edge"/>
          <c:x val="0.96322229051286212"/>
          <c:y val="0.24151272714986663"/>
          <c:w val="3.6777709487137829E-2"/>
          <c:h val="0.37586202439321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Heater(s)</a:t>
            </a:r>
            <a:r>
              <a:rPr lang="en-US" baseline="0"/>
              <a:t> Vs Time Graph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HW1_P4!$B$1</c:f>
              <c:strCache>
                <c:ptCount val="1"/>
                <c:pt idx="0">
                  <c:v>Heater 1</c:v>
                </c:pt>
              </c:strCache>
            </c:strRef>
          </c:tx>
          <c:spPr>
            <a:ln w="9525" cap="rnd">
              <a:solidFill>
                <a:schemeClr val="dk1">
                  <a:tint val="88500"/>
                </a:schemeClr>
              </a:solid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HW1_P4!$B$2:$B$202</c:f>
              <c:numCache>
                <c:formatCode>0.00E+00</c:formatCode>
                <c:ptCount val="201"/>
                <c:pt idx="0">
                  <c:v>70.204572511977901</c:v>
                </c:pt>
                <c:pt idx="1">
                  <c:v>70.204572511977901</c:v>
                </c:pt>
                <c:pt idx="2">
                  <c:v>70.204572511977901</c:v>
                </c:pt>
                <c:pt idx="3">
                  <c:v>70.204572511977901</c:v>
                </c:pt>
                <c:pt idx="4">
                  <c:v>70.204572511977901</c:v>
                </c:pt>
                <c:pt idx="5">
                  <c:v>70.204572511977901</c:v>
                </c:pt>
                <c:pt idx="6">
                  <c:v>70.204572511977901</c:v>
                </c:pt>
                <c:pt idx="7">
                  <c:v>70.204572511977901</c:v>
                </c:pt>
                <c:pt idx="8">
                  <c:v>70.204572511977901</c:v>
                </c:pt>
                <c:pt idx="9">
                  <c:v>70.204572511977901</c:v>
                </c:pt>
                <c:pt idx="10">
                  <c:v>70.204572511977901</c:v>
                </c:pt>
                <c:pt idx="11">
                  <c:v>70.204572511977901</c:v>
                </c:pt>
                <c:pt idx="12">
                  <c:v>70.204572511977901</c:v>
                </c:pt>
                <c:pt idx="13">
                  <c:v>70.204572511977901</c:v>
                </c:pt>
                <c:pt idx="14">
                  <c:v>70.204572511977901</c:v>
                </c:pt>
                <c:pt idx="15">
                  <c:v>70.204572511977901</c:v>
                </c:pt>
                <c:pt idx="16">
                  <c:v>70.204572511977901</c:v>
                </c:pt>
                <c:pt idx="17">
                  <c:v>70.204572511977901</c:v>
                </c:pt>
                <c:pt idx="18">
                  <c:v>70.204572511977901</c:v>
                </c:pt>
                <c:pt idx="19">
                  <c:v>70.204572511977901</c:v>
                </c:pt>
                <c:pt idx="20">
                  <c:v>96.827184630018195</c:v>
                </c:pt>
                <c:pt idx="21">
                  <c:v>96.827184630018195</c:v>
                </c:pt>
                <c:pt idx="22">
                  <c:v>96.827184630018195</c:v>
                </c:pt>
                <c:pt idx="23">
                  <c:v>96.827184630018195</c:v>
                </c:pt>
                <c:pt idx="24">
                  <c:v>96.827184630018195</c:v>
                </c:pt>
                <c:pt idx="25">
                  <c:v>96.827184630018195</c:v>
                </c:pt>
                <c:pt idx="26">
                  <c:v>96.827184630018195</c:v>
                </c:pt>
                <c:pt idx="27">
                  <c:v>96.827184630018195</c:v>
                </c:pt>
                <c:pt idx="28">
                  <c:v>96.827184630018195</c:v>
                </c:pt>
                <c:pt idx="29">
                  <c:v>96.827184630018195</c:v>
                </c:pt>
                <c:pt idx="30">
                  <c:v>96.827184630018195</c:v>
                </c:pt>
                <c:pt idx="31">
                  <c:v>96.827184630018195</c:v>
                </c:pt>
                <c:pt idx="32">
                  <c:v>96.827184630018195</c:v>
                </c:pt>
                <c:pt idx="33">
                  <c:v>96.827184630018195</c:v>
                </c:pt>
                <c:pt idx="34">
                  <c:v>96.827184630018195</c:v>
                </c:pt>
                <c:pt idx="35">
                  <c:v>96.827184630018195</c:v>
                </c:pt>
                <c:pt idx="36">
                  <c:v>96.827184630018195</c:v>
                </c:pt>
                <c:pt idx="37">
                  <c:v>96.827184630018195</c:v>
                </c:pt>
                <c:pt idx="38">
                  <c:v>96.827184630018195</c:v>
                </c:pt>
                <c:pt idx="39">
                  <c:v>96.827184630018195</c:v>
                </c:pt>
                <c:pt idx="40">
                  <c:v>41.207470125498801</c:v>
                </c:pt>
                <c:pt idx="41">
                  <c:v>41.207470125498801</c:v>
                </c:pt>
                <c:pt idx="42">
                  <c:v>41.207470125498801</c:v>
                </c:pt>
                <c:pt idx="43">
                  <c:v>41.207470125498801</c:v>
                </c:pt>
                <c:pt idx="44">
                  <c:v>41.207470125498801</c:v>
                </c:pt>
                <c:pt idx="45">
                  <c:v>41.207470125498801</c:v>
                </c:pt>
                <c:pt idx="46">
                  <c:v>41.207470125498801</c:v>
                </c:pt>
                <c:pt idx="47">
                  <c:v>41.207470125498801</c:v>
                </c:pt>
                <c:pt idx="48">
                  <c:v>41.207470125498801</c:v>
                </c:pt>
                <c:pt idx="49">
                  <c:v>41.207470125498801</c:v>
                </c:pt>
                <c:pt idx="50">
                  <c:v>41.207470125498801</c:v>
                </c:pt>
                <c:pt idx="51">
                  <c:v>41.207470125498801</c:v>
                </c:pt>
                <c:pt idx="52">
                  <c:v>41.207470125498801</c:v>
                </c:pt>
                <c:pt idx="53">
                  <c:v>41.207470125498801</c:v>
                </c:pt>
                <c:pt idx="54">
                  <c:v>41.207470125498801</c:v>
                </c:pt>
                <c:pt idx="55">
                  <c:v>41.207470125498801</c:v>
                </c:pt>
                <c:pt idx="56">
                  <c:v>41.207470125498801</c:v>
                </c:pt>
                <c:pt idx="57">
                  <c:v>41.207470125498801</c:v>
                </c:pt>
                <c:pt idx="58">
                  <c:v>41.207470125498801</c:v>
                </c:pt>
                <c:pt idx="59">
                  <c:v>41.207470125498801</c:v>
                </c:pt>
                <c:pt idx="60">
                  <c:v>92.045246557088703</c:v>
                </c:pt>
                <c:pt idx="61">
                  <c:v>92.045246557088703</c:v>
                </c:pt>
                <c:pt idx="62">
                  <c:v>92.045246557088703</c:v>
                </c:pt>
                <c:pt idx="63">
                  <c:v>92.045246557088703</c:v>
                </c:pt>
                <c:pt idx="64">
                  <c:v>92.045246557088703</c:v>
                </c:pt>
                <c:pt idx="65">
                  <c:v>92.045246557088703</c:v>
                </c:pt>
                <c:pt idx="66">
                  <c:v>92.045246557088703</c:v>
                </c:pt>
                <c:pt idx="67">
                  <c:v>92.045246557088703</c:v>
                </c:pt>
                <c:pt idx="68">
                  <c:v>92.045246557088703</c:v>
                </c:pt>
                <c:pt idx="69">
                  <c:v>92.045246557088703</c:v>
                </c:pt>
                <c:pt idx="70">
                  <c:v>92.045246557088703</c:v>
                </c:pt>
                <c:pt idx="71">
                  <c:v>92.045246557088703</c:v>
                </c:pt>
                <c:pt idx="72">
                  <c:v>92.045246557088703</c:v>
                </c:pt>
                <c:pt idx="73">
                  <c:v>92.045246557088703</c:v>
                </c:pt>
                <c:pt idx="74">
                  <c:v>92.045246557088703</c:v>
                </c:pt>
                <c:pt idx="75">
                  <c:v>92.045246557088703</c:v>
                </c:pt>
                <c:pt idx="76">
                  <c:v>92.045246557088703</c:v>
                </c:pt>
                <c:pt idx="77">
                  <c:v>92.045246557088703</c:v>
                </c:pt>
                <c:pt idx="78">
                  <c:v>92.045246557088703</c:v>
                </c:pt>
                <c:pt idx="79">
                  <c:v>92.045246557088703</c:v>
                </c:pt>
                <c:pt idx="80">
                  <c:v>29.646147484181501</c:v>
                </c:pt>
                <c:pt idx="81">
                  <c:v>29.646147484181501</c:v>
                </c:pt>
                <c:pt idx="82">
                  <c:v>29.646147484181501</c:v>
                </c:pt>
                <c:pt idx="83">
                  <c:v>29.646147484181501</c:v>
                </c:pt>
                <c:pt idx="84">
                  <c:v>29.646147484181501</c:v>
                </c:pt>
                <c:pt idx="85">
                  <c:v>29.646147484181501</c:v>
                </c:pt>
                <c:pt idx="86">
                  <c:v>29.646147484181501</c:v>
                </c:pt>
                <c:pt idx="87">
                  <c:v>29.646147484181501</c:v>
                </c:pt>
                <c:pt idx="88">
                  <c:v>29.646147484181501</c:v>
                </c:pt>
                <c:pt idx="89">
                  <c:v>29.646147484181501</c:v>
                </c:pt>
                <c:pt idx="90">
                  <c:v>29.646147484181501</c:v>
                </c:pt>
                <c:pt idx="91">
                  <c:v>29.646147484181501</c:v>
                </c:pt>
                <c:pt idx="92">
                  <c:v>29.646147484181501</c:v>
                </c:pt>
                <c:pt idx="93">
                  <c:v>29.646147484181501</c:v>
                </c:pt>
                <c:pt idx="94">
                  <c:v>29.646147484181501</c:v>
                </c:pt>
                <c:pt idx="95">
                  <c:v>29.646147484181501</c:v>
                </c:pt>
                <c:pt idx="96">
                  <c:v>29.646147484181501</c:v>
                </c:pt>
                <c:pt idx="97">
                  <c:v>29.646147484181501</c:v>
                </c:pt>
                <c:pt idx="98">
                  <c:v>29.646147484181501</c:v>
                </c:pt>
                <c:pt idx="99">
                  <c:v>29.646147484181501</c:v>
                </c:pt>
                <c:pt idx="100">
                  <c:v>96.422517288635404</c:v>
                </c:pt>
                <c:pt idx="101">
                  <c:v>96.422517288635404</c:v>
                </c:pt>
                <c:pt idx="102">
                  <c:v>96.422517288635404</c:v>
                </c:pt>
                <c:pt idx="103">
                  <c:v>96.422517288635404</c:v>
                </c:pt>
                <c:pt idx="104">
                  <c:v>96.422517288635404</c:v>
                </c:pt>
                <c:pt idx="105">
                  <c:v>96.422517288635404</c:v>
                </c:pt>
                <c:pt idx="106">
                  <c:v>96.422517288635404</c:v>
                </c:pt>
                <c:pt idx="107">
                  <c:v>96.422517288635404</c:v>
                </c:pt>
                <c:pt idx="108">
                  <c:v>96.422517288635404</c:v>
                </c:pt>
                <c:pt idx="109">
                  <c:v>96.422517288635404</c:v>
                </c:pt>
                <c:pt idx="110">
                  <c:v>96.422517288635404</c:v>
                </c:pt>
                <c:pt idx="111">
                  <c:v>96.422517288635404</c:v>
                </c:pt>
                <c:pt idx="112">
                  <c:v>96.422517288635404</c:v>
                </c:pt>
                <c:pt idx="113">
                  <c:v>96.422517288635404</c:v>
                </c:pt>
                <c:pt idx="114">
                  <c:v>96.422517288635404</c:v>
                </c:pt>
                <c:pt idx="115">
                  <c:v>96.422517288635404</c:v>
                </c:pt>
                <c:pt idx="116">
                  <c:v>96.422517288635404</c:v>
                </c:pt>
                <c:pt idx="117">
                  <c:v>96.422517288635404</c:v>
                </c:pt>
                <c:pt idx="118">
                  <c:v>96.422517288635404</c:v>
                </c:pt>
                <c:pt idx="119">
                  <c:v>96.422517288635404</c:v>
                </c:pt>
                <c:pt idx="120">
                  <c:v>0.91242113782200496</c:v>
                </c:pt>
                <c:pt idx="121">
                  <c:v>0.91242113782200496</c:v>
                </c:pt>
                <c:pt idx="122">
                  <c:v>0.91242113782200496</c:v>
                </c:pt>
                <c:pt idx="123">
                  <c:v>0.91242113782200496</c:v>
                </c:pt>
                <c:pt idx="124">
                  <c:v>0.91242113782200496</c:v>
                </c:pt>
                <c:pt idx="125">
                  <c:v>0.91242113782200496</c:v>
                </c:pt>
                <c:pt idx="126">
                  <c:v>0.91242113782200496</c:v>
                </c:pt>
                <c:pt idx="127">
                  <c:v>0.91242113782200496</c:v>
                </c:pt>
                <c:pt idx="128">
                  <c:v>0.91242113782200496</c:v>
                </c:pt>
                <c:pt idx="129">
                  <c:v>0.91242113782200496</c:v>
                </c:pt>
                <c:pt idx="130">
                  <c:v>0.91242113782200496</c:v>
                </c:pt>
                <c:pt idx="131">
                  <c:v>0.91242113782200496</c:v>
                </c:pt>
                <c:pt idx="132">
                  <c:v>0.91242113782200496</c:v>
                </c:pt>
                <c:pt idx="133">
                  <c:v>0.91242113782200496</c:v>
                </c:pt>
                <c:pt idx="134">
                  <c:v>0.91242113782200496</c:v>
                </c:pt>
                <c:pt idx="135">
                  <c:v>0.91242113782200496</c:v>
                </c:pt>
                <c:pt idx="136">
                  <c:v>0.91242113782200496</c:v>
                </c:pt>
                <c:pt idx="137">
                  <c:v>0.91242113782200496</c:v>
                </c:pt>
                <c:pt idx="138">
                  <c:v>0.91242113782200496</c:v>
                </c:pt>
                <c:pt idx="139">
                  <c:v>0.91242113782200496</c:v>
                </c:pt>
                <c:pt idx="140">
                  <c:v>96.130496879090998</c:v>
                </c:pt>
                <c:pt idx="141">
                  <c:v>96.130496879090998</c:v>
                </c:pt>
                <c:pt idx="142">
                  <c:v>96.130496879090998</c:v>
                </c:pt>
                <c:pt idx="143">
                  <c:v>96.130496879090998</c:v>
                </c:pt>
                <c:pt idx="144">
                  <c:v>96.130496879090998</c:v>
                </c:pt>
                <c:pt idx="145">
                  <c:v>96.130496879090998</c:v>
                </c:pt>
                <c:pt idx="146">
                  <c:v>96.130496879090998</c:v>
                </c:pt>
                <c:pt idx="147">
                  <c:v>96.130496879090998</c:v>
                </c:pt>
                <c:pt idx="148">
                  <c:v>96.130496879090998</c:v>
                </c:pt>
                <c:pt idx="149">
                  <c:v>96.130496879090998</c:v>
                </c:pt>
                <c:pt idx="150">
                  <c:v>96.130496879090998</c:v>
                </c:pt>
                <c:pt idx="151">
                  <c:v>96.130496879090998</c:v>
                </c:pt>
                <c:pt idx="152">
                  <c:v>96.130496879090998</c:v>
                </c:pt>
                <c:pt idx="153">
                  <c:v>96.130496879090998</c:v>
                </c:pt>
                <c:pt idx="154">
                  <c:v>96.130496879090998</c:v>
                </c:pt>
                <c:pt idx="155">
                  <c:v>96.130496879090998</c:v>
                </c:pt>
                <c:pt idx="156">
                  <c:v>96.130496879090998</c:v>
                </c:pt>
                <c:pt idx="157">
                  <c:v>96.130496879090998</c:v>
                </c:pt>
                <c:pt idx="158">
                  <c:v>96.130496879090998</c:v>
                </c:pt>
                <c:pt idx="159">
                  <c:v>96.130496879090998</c:v>
                </c:pt>
                <c:pt idx="160">
                  <c:v>1.4562785593418901</c:v>
                </c:pt>
                <c:pt idx="161">
                  <c:v>1.4562785593418901</c:v>
                </c:pt>
                <c:pt idx="162">
                  <c:v>1.4562785593418901</c:v>
                </c:pt>
                <c:pt idx="163">
                  <c:v>1.4562785593418901</c:v>
                </c:pt>
                <c:pt idx="164">
                  <c:v>1.4562785593418901</c:v>
                </c:pt>
                <c:pt idx="165">
                  <c:v>1.4562785593418901</c:v>
                </c:pt>
                <c:pt idx="166">
                  <c:v>1.4562785593418901</c:v>
                </c:pt>
                <c:pt idx="167">
                  <c:v>1.4562785593418901</c:v>
                </c:pt>
                <c:pt idx="168">
                  <c:v>1.4562785593418901</c:v>
                </c:pt>
                <c:pt idx="169">
                  <c:v>1.4562785593418901</c:v>
                </c:pt>
                <c:pt idx="170">
                  <c:v>1.4562785593418901</c:v>
                </c:pt>
                <c:pt idx="171">
                  <c:v>1.4562785593418901</c:v>
                </c:pt>
                <c:pt idx="172">
                  <c:v>1.4562785593418901</c:v>
                </c:pt>
                <c:pt idx="173">
                  <c:v>1.4562785593418901</c:v>
                </c:pt>
                <c:pt idx="174">
                  <c:v>1.4562785593418901</c:v>
                </c:pt>
                <c:pt idx="175">
                  <c:v>1.4562785593418901</c:v>
                </c:pt>
                <c:pt idx="176">
                  <c:v>1.4562785593418901</c:v>
                </c:pt>
                <c:pt idx="177">
                  <c:v>1.4562785593418901</c:v>
                </c:pt>
                <c:pt idx="178">
                  <c:v>1.4562785593418901</c:v>
                </c:pt>
                <c:pt idx="179">
                  <c:v>1.4562785593418901</c:v>
                </c:pt>
                <c:pt idx="180">
                  <c:v>71.736705629173699</c:v>
                </c:pt>
                <c:pt idx="181">
                  <c:v>71.736705629173699</c:v>
                </c:pt>
                <c:pt idx="182">
                  <c:v>71.736705629173699</c:v>
                </c:pt>
                <c:pt idx="183">
                  <c:v>71.736705629173699</c:v>
                </c:pt>
                <c:pt idx="184">
                  <c:v>71.736705629173699</c:v>
                </c:pt>
                <c:pt idx="185">
                  <c:v>71.736705629173699</c:v>
                </c:pt>
                <c:pt idx="186">
                  <c:v>71.736705629173699</c:v>
                </c:pt>
                <c:pt idx="187">
                  <c:v>71.736705629173699</c:v>
                </c:pt>
                <c:pt idx="188">
                  <c:v>71.736705629173699</c:v>
                </c:pt>
                <c:pt idx="189">
                  <c:v>71.736705629173699</c:v>
                </c:pt>
                <c:pt idx="190">
                  <c:v>71.736705629173699</c:v>
                </c:pt>
                <c:pt idx="191">
                  <c:v>71.736705629173699</c:v>
                </c:pt>
                <c:pt idx="192">
                  <c:v>71.736705629173699</c:v>
                </c:pt>
                <c:pt idx="193">
                  <c:v>71.736705629173699</c:v>
                </c:pt>
                <c:pt idx="194">
                  <c:v>71.736705629173699</c:v>
                </c:pt>
                <c:pt idx="195">
                  <c:v>71.736705629173699</c:v>
                </c:pt>
                <c:pt idx="196">
                  <c:v>71.736705629173699</c:v>
                </c:pt>
                <c:pt idx="197">
                  <c:v>71.736705629173699</c:v>
                </c:pt>
                <c:pt idx="198">
                  <c:v>71.736705629173699</c:v>
                </c:pt>
                <c:pt idx="199">
                  <c:v>71.736705629173699</c:v>
                </c:pt>
                <c:pt idx="200">
                  <c:v>85.100034079664397</c:v>
                </c:pt>
              </c:numCache>
            </c:numRef>
          </c:yVal>
          <c:smooth val="1"/>
          <c:extLst>
            <c:ext xmlns:c16="http://schemas.microsoft.com/office/drawing/2014/chart" uri="{C3380CC4-5D6E-409C-BE32-E72D297353CC}">
              <c16:uniqueId val="{00000000-3383-455D-96A3-FC968576084A}"/>
            </c:ext>
          </c:extLst>
        </c:ser>
        <c:ser>
          <c:idx val="1"/>
          <c:order val="1"/>
          <c:tx>
            <c:strRef>
              <c:f>HW1_P4!$C$1</c:f>
              <c:strCache>
                <c:ptCount val="1"/>
                <c:pt idx="0">
                  <c:v>Heater 2</c:v>
                </c:pt>
              </c:strCache>
            </c:strRef>
          </c:tx>
          <c:spPr>
            <a:ln w="9525" cap="rnd">
              <a:solidFill>
                <a:schemeClr val="dk1">
                  <a:tint val="55000"/>
                </a:schemeClr>
              </a:solidFill>
              <a:round/>
            </a:ln>
            <a:effectLst/>
          </c:spPr>
          <c:marker>
            <c:symbol val="circle"/>
            <c:size val="5"/>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HW1_P4!$C$2:$C$202</c:f>
              <c:numCache>
                <c:formatCode>0.00E+00</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75.750123756706103</c:v>
                </c:pt>
                <c:pt idx="51">
                  <c:v>75.750123756706103</c:v>
                </c:pt>
                <c:pt idx="52">
                  <c:v>75.750123756706103</c:v>
                </c:pt>
                <c:pt idx="53">
                  <c:v>75.750123756706103</c:v>
                </c:pt>
                <c:pt idx="54">
                  <c:v>75.750123756706103</c:v>
                </c:pt>
                <c:pt idx="55">
                  <c:v>75.750123756706103</c:v>
                </c:pt>
                <c:pt idx="56">
                  <c:v>75.750123756706103</c:v>
                </c:pt>
                <c:pt idx="57">
                  <c:v>75.750123756706103</c:v>
                </c:pt>
                <c:pt idx="58">
                  <c:v>75.750123756706103</c:v>
                </c:pt>
                <c:pt idx="59">
                  <c:v>75.750123756706103</c:v>
                </c:pt>
                <c:pt idx="60">
                  <c:v>75.750123756706103</c:v>
                </c:pt>
                <c:pt idx="61">
                  <c:v>75.750123756706103</c:v>
                </c:pt>
                <c:pt idx="62">
                  <c:v>75.750123756706103</c:v>
                </c:pt>
                <c:pt idx="63">
                  <c:v>75.750123756706103</c:v>
                </c:pt>
                <c:pt idx="64">
                  <c:v>75.750123756706103</c:v>
                </c:pt>
                <c:pt idx="65">
                  <c:v>75.750123756706103</c:v>
                </c:pt>
                <c:pt idx="66">
                  <c:v>75.750123756706103</c:v>
                </c:pt>
                <c:pt idx="67">
                  <c:v>75.750123756706103</c:v>
                </c:pt>
                <c:pt idx="68">
                  <c:v>75.750123756706103</c:v>
                </c:pt>
                <c:pt idx="69">
                  <c:v>75.750123756706103</c:v>
                </c:pt>
                <c:pt idx="70">
                  <c:v>48.840347575990101</c:v>
                </c:pt>
                <c:pt idx="71">
                  <c:v>48.840347575990101</c:v>
                </c:pt>
                <c:pt idx="72">
                  <c:v>48.840347575990101</c:v>
                </c:pt>
                <c:pt idx="73">
                  <c:v>48.840347575990101</c:v>
                </c:pt>
                <c:pt idx="74">
                  <c:v>48.840347575990101</c:v>
                </c:pt>
                <c:pt idx="75">
                  <c:v>48.840347575990101</c:v>
                </c:pt>
                <c:pt idx="76">
                  <c:v>48.840347575990101</c:v>
                </c:pt>
                <c:pt idx="77">
                  <c:v>48.840347575990101</c:v>
                </c:pt>
                <c:pt idx="78">
                  <c:v>48.840347575990101</c:v>
                </c:pt>
                <c:pt idx="79">
                  <c:v>48.840347575990101</c:v>
                </c:pt>
                <c:pt idx="80">
                  <c:v>48.840347575990101</c:v>
                </c:pt>
                <c:pt idx="81">
                  <c:v>48.840347575990101</c:v>
                </c:pt>
                <c:pt idx="82">
                  <c:v>48.840347575990101</c:v>
                </c:pt>
                <c:pt idx="83">
                  <c:v>48.840347575990101</c:v>
                </c:pt>
                <c:pt idx="84">
                  <c:v>48.840347575990101</c:v>
                </c:pt>
                <c:pt idx="85">
                  <c:v>48.840347575990101</c:v>
                </c:pt>
                <c:pt idx="86">
                  <c:v>48.840347575990101</c:v>
                </c:pt>
                <c:pt idx="87">
                  <c:v>48.840347575990101</c:v>
                </c:pt>
                <c:pt idx="88">
                  <c:v>48.840347575990101</c:v>
                </c:pt>
                <c:pt idx="89">
                  <c:v>48.840347575990101</c:v>
                </c:pt>
                <c:pt idx="90">
                  <c:v>76.807626469902402</c:v>
                </c:pt>
                <c:pt idx="91">
                  <c:v>76.807626469902402</c:v>
                </c:pt>
                <c:pt idx="92">
                  <c:v>76.807626469902402</c:v>
                </c:pt>
                <c:pt idx="93">
                  <c:v>76.807626469902402</c:v>
                </c:pt>
                <c:pt idx="94">
                  <c:v>76.807626469902402</c:v>
                </c:pt>
                <c:pt idx="95">
                  <c:v>76.807626469902402</c:v>
                </c:pt>
                <c:pt idx="96">
                  <c:v>76.807626469902402</c:v>
                </c:pt>
                <c:pt idx="97">
                  <c:v>76.807626469902402</c:v>
                </c:pt>
                <c:pt idx="98">
                  <c:v>76.807626469902402</c:v>
                </c:pt>
                <c:pt idx="99">
                  <c:v>76.807626469902402</c:v>
                </c:pt>
                <c:pt idx="100">
                  <c:v>76.807626469902402</c:v>
                </c:pt>
                <c:pt idx="101">
                  <c:v>76.807626469902402</c:v>
                </c:pt>
                <c:pt idx="102">
                  <c:v>76.807626469902402</c:v>
                </c:pt>
                <c:pt idx="103">
                  <c:v>76.807626469902402</c:v>
                </c:pt>
                <c:pt idx="104">
                  <c:v>76.807626469902402</c:v>
                </c:pt>
                <c:pt idx="105">
                  <c:v>76.807626469902402</c:v>
                </c:pt>
                <c:pt idx="106">
                  <c:v>76.807626469902402</c:v>
                </c:pt>
                <c:pt idx="107">
                  <c:v>76.807626469902402</c:v>
                </c:pt>
                <c:pt idx="108">
                  <c:v>76.807626469902402</c:v>
                </c:pt>
                <c:pt idx="109">
                  <c:v>76.807626469902402</c:v>
                </c:pt>
                <c:pt idx="110">
                  <c:v>52.622060539459603</c:v>
                </c:pt>
                <c:pt idx="111">
                  <c:v>52.622060539459603</c:v>
                </c:pt>
                <c:pt idx="112">
                  <c:v>52.622060539459603</c:v>
                </c:pt>
                <c:pt idx="113">
                  <c:v>52.622060539459603</c:v>
                </c:pt>
                <c:pt idx="114">
                  <c:v>52.622060539459603</c:v>
                </c:pt>
                <c:pt idx="115">
                  <c:v>52.622060539459603</c:v>
                </c:pt>
                <c:pt idx="116">
                  <c:v>52.622060539459603</c:v>
                </c:pt>
                <c:pt idx="117">
                  <c:v>52.622060539459603</c:v>
                </c:pt>
                <c:pt idx="118">
                  <c:v>52.622060539459603</c:v>
                </c:pt>
                <c:pt idx="119">
                  <c:v>52.622060539459603</c:v>
                </c:pt>
                <c:pt idx="120">
                  <c:v>52.622060539459603</c:v>
                </c:pt>
                <c:pt idx="121">
                  <c:v>52.622060539459603</c:v>
                </c:pt>
                <c:pt idx="122">
                  <c:v>52.622060539459603</c:v>
                </c:pt>
                <c:pt idx="123">
                  <c:v>52.622060539459603</c:v>
                </c:pt>
                <c:pt idx="124">
                  <c:v>52.622060539459603</c:v>
                </c:pt>
                <c:pt idx="125">
                  <c:v>52.622060539459603</c:v>
                </c:pt>
                <c:pt idx="126">
                  <c:v>52.622060539459603</c:v>
                </c:pt>
                <c:pt idx="127">
                  <c:v>52.622060539459603</c:v>
                </c:pt>
                <c:pt idx="128">
                  <c:v>52.622060539459603</c:v>
                </c:pt>
                <c:pt idx="129">
                  <c:v>52.622060539459603</c:v>
                </c:pt>
                <c:pt idx="130">
                  <c:v>14.628026515038201</c:v>
                </c:pt>
                <c:pt idx="131">
                  <c:v>14.628026515038201</c:v>
                </c:pt>
                <c:pt idx="132">
                  <c:v>14.628026515038201</c:v>
                </c:pt>
                <c:pt idx="133">
                  <c:v>14.628026515038201</c:v>
                </c:pt>
                <c:pt idx="134">
                  <c:v>14.628026515038201</c:v>
                </c:pt>
                <c:pt idx="135">
                  <c:v>14.628026515038201</c:v>
                </c:pt>
                <c:pt idx="136">
                  <c:v>14.628026515038201</c:v>
                </c:pt>
                <c:pt idx="137">
                  <c:v>14.628026515038201</c:v>
                </c:pt>
                <c:pt idx="138">
                  <c:v>14.628026515038201</c:v>
                </c:pt>
                <c:pt idx="139">
                  <c:v>14.628026515038201</c:v>
                </c:pt>
                <c:pt idx="140">
                  <c:v>14.628026515038201</c:v>
                </c:pt>
                <c:pt idx="141">
                  <c:v>14.628026515038201</c:v>
                </c:pt>
                <c:pt idx="142">
                  <c:v>14.628026515038201</c:v>
                </c:pt>
                <c:pt idx="143">
                  <c:v>14.628026515038201</c:v>
                </c:pt>
                <c:pt idx="144">
                  <c:v>14.628026515038201</c:v>
                </c:pt>
                <c:pt idx="145">
                  <c:v>14.628026515038201</c:v>
                </c:pt>
                <c:pt idx="146">
                  <c:v>14.628026515038201</c:v>
                </c:pt>
                <c:pt idx="147">
                  <c:v>14.628026515038201</c:v>
                </c:pt>
                <c:pt idx="148">
                  <c:v>14.628026515038201</c:v>
                </c:pt>
                <c:pt idx="149">
                  <c:v>14.628026515038201</c:v>
                </c:pt>
                <c:pt idx="150">
                  <c:v>10.463869174811199</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54.919994293643299</c:v>
                </c:pt>
              </c:numCache>
            </c:numRef>
          </c:yVal>
          <c:smooth val="1"/>
          <c:extLst>
            <c:ext xmlns:c16="http://schemas.microsoft.com/office/drawing/2014/chart" uri="{C3380CC4-5D6E-409C-BE32-E72D297353CC}">
              <c16:uniqueId val="{00000001-3383-455D-96A3-FC968576084A}"/>
            </c:ext>
          </c:extLst>
        </c:ser>
        <c:dLbls>
          <c:showLegendKey val="0"/>
          <c:showVal val="0"/>
          <c:showCatName val="0"/>
          <c:showSerName val="0"/>
          <c:showPercent val="0"/>
          <c:showBubbleSize val="0"/>
        </c:dLbls>
        <c:axId val="604135064"/>
        <c:axId val="604138016"/>
      </c:scatterChart>
      <c:valAx>
        <c:axId val="6041350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8016"/>
        <c:crosses val="autoZero"/>
        <c:crossBetween val="midCat"/>
      </c:valAx>
      <c:valAx>
        <c:axId val="604138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Change</a:t>
                </a:r>
                <a:r>
                  <a:rPr lang="en-US" baseline="0"/>
                  <a:t> In Heater(s)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5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Temperature(s) Vs Time Graph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HW1_P4!$E$1</c:f>
              <c:strCache>
                <c:ptCount val="1"/>
                <c:pt idx="0">
                  <c:v>Temperature 1</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HW1_P4!$E$2:$E$202</c:f>
              <c:numCache>
                <c:formatCode>0.00E+00</c:formatCode>
                <c:ptCount val="201"/>
                <c:pt idx="0">
                  <c:v>21.0899999999999</c:v>
                </c:pt>
                <c:pt idx="1">
                  <c:v>21.059999999999899</c:v>
                </c:pt>
                <c:pt idx="2">
                  <c:v>21</c:v>
                </c:pt>
                <c:pt idx="3">
                  <c:v>21.16</c:v>
                </c:pt>
                <c:pt idx="4">
                  <c:v>21.19</c:v>
                </c:pt>
                <c:pt idx="5">
                  <c:v>21.579999999999899</c:v>
                </c:pt>
                <c:pt idx="6">
                  <c:v>21.87</c:v>
                </c:pt>
                <c:pt idx="7">
                  <c:v>22.35</c:v>
                </c:pt>
                <c:pt idx="8">
                  <c:v>22.8</c:v>
                </c:pt>
                <c:pt idx="9">
                  <c:v>23.35</c:v>
                </c:pt>
                <c:pt idx="10">
                  <c:v>23.8599999999999</c:v>
                </c:pt>
                <c:pt idx="11">
                  <c:v>24.51</c:v>
                </c:pt>
                <c:pt idx="12">
                  <c:v>25.059999999999899</c:v>
                </c:pt>
                <c:pt idx="13">
                  <c:v>25.6999999999999</c:v>
                </c:pt>
                <c:pt idx="14">
                  <c:v>26.12</c:v>
                </c:pt>
                <c:pt idx="15">
                  <c:v>26.829999999999899</c:v>
                </c:pt>
                <c:pt idx="16">
                  <c:v>27.3399999999999</c:v>
                </c:pt>
                <c:pt idx="17">
                  <c:v>27.89</c:v>
                </c:pt>
                <c:pt idx="18">
                  <c:v>28.5</c:v>
                </c:pt>
                <c:pt idx="19">
                  <c:v>29.05</c:v>
                </c:pt>
                <c:pt idx="20">
                  <c:v>29.6</c:v>
                </c:pt>
                <c:pt idx="21">
                  <c:v>30.239999999999899</c:v>
                </c:pt>
                <c:pt idx="22">
                  <c:v>30.89</c:v>
                </c:pt>
                <c:pt idx="23">
                  <c:v>31.44</c:v>
                </c:pt>
                <c:pt idx="24">
                  <c:v>31.98</c:v>
                </c:pt>
                <c:pt idx="25">
                  <c:v>32.759999999999899</c:v>
                </c:pt>
                <c:pt idx="26">
                  <c:v>33.340000000000003</c:v>
                </c:pt>
                <c:pt idx="27">
                  <c:v>34.1099999999999</c:v>
                </c:pt>
                <c:pt idx="28">
                  <c:v>34.85</c:v>
                </c:pt>
                <c:pt idx="29">
                  <c:v>35.53</c:v>
                </c:pt>
                <c:pt idx="30">
                  <c:v>36.24</c:v>
                </c:pt>
                <c:pt idx="31">
                  <c:v>36.92</c:v>
                </c:pt>
                <c:pt idx="32">
                  <c:v>37.619999999999898</c:v>
                </c:pt>
                <c:pt idx="33">
                  <c:v>38.24</c:v>
                </c:pt>
                <c:pt idx="34">
                  <c:v>39.0399999999999</c:v>
                </c:pt>
                <c:pt idx="35">
                  <c:v>39.649999999999899</c:v>
                </c:pt>
                <c:pt idx="36">
                  <c:v>40.270000000000003</c:v>
                </c:pt>
                <c:pt idx="37">
                  <c:v>40.880000000000003</c:v>
                </c:pt>
                <c:pt idx="38">
                  <c:v>41.59</c:v>
                </c:pt>
                <c:pt idx="39">
                  <c:v>42.17</c:v>
                </c:pt>
                <c:pt idx="40">
                  <c:v>42.81</c:v>
                </c:pt>
                <c:pt idx="41">
                  <c:v>43.42</c:v>
                </c:pt>
                <c:pt idx="42">
                  <c:v>44.0399999999999</c:v>
                </c:pt>
                <c:pt idx="43">
                  <c:v>44.42</c:v>
                </c:pt>
                <c:pt idx="44">
                  <c:v>44.88</c:v>
                </c:pt>
                <c:pt idx="45">
                  <c:v>45.1</c:v>
                </c:pt>
                <c:pt idx="46">
                  <c:v>45.329999999999899</c:v>
                </c:pt>
                <c:pt idx="47">
                  <c:v>45.49</c:v>
                </c:pt>
                <c:pt idx="48">
                  <c:v>45.579999999999899</c:v>
                </c:pt>
                <c:pt idx="49">
                  <c:v>45.75</c:v>
                </c:pt>
                <c:pt idx="50">
                  <c:v>45.81</c:v>
                </c:pt>
                <c:pt idx="51">
                  <c:v>45.969999999999899</c:v>
                </c:pt>
                <c:pt idx="52">
                  <c:v>45.909999999999897</c:v>
                </c:pt>
                <c:pt idx="53">
                  <c:v>45.939999999999898</c:v>
                </c:pt>
                <c:pt idx="54">
                  <c:v>46.0399999999999</c:v>
                </c:pt>
                <c:pt idx="55">
                  <c:v>45.969999999999899</c:v>
                </c:pt>
                <c:pt idx="56">
                  <c:v>45.969999999999899</c:v>
                </c:pt>
                <c:pt idx="57">
                  <c:v>45.939999999999898</c:v>
                </c:pt>
                <c:pt idx="58">
                  <c:v>45.869999999999898</c:v>
                </c:pt>
                <c:pt idx="59">
                  <c:v>45.909999999999897</c:v>
                </c:pt>
                <c:pt idx="60">
                  <c:v>45.81</c:v>
                </c:pt>
                <c:pt idx="61">
                  <c:v>45.75</c:v>
                </c:pt>
                <c:pt idx="62">
                  <c:v>45.75</c:v>
                </c:pt>
                <c:pt idx="63">
                  <c:v>45.869999999999898</c:v>
                </c:pt>
                <c:pt idx="64">
                  <c:v>45.909999999999897</c:v>
                </c:pt>
                <c:pt idx="65">
                  <c:v>46.13</c:v>
                </c:pt>
                <c:pt idx="66">
                  <c:v>46.3599999999999</c:v>
                </c:pt>
                <c:pt idx="67">
                  <c:v>46.52</c:v>
                </c:pt>
                <c:pt idx="68">
                  <c:v>46.74</c:v>
                </c:pt>
                <c:pt idx="69">
                  <c:v>47.13</c:v>
                </c:pt>
                <c:pt idx="70">
                  <c:v>47.32</c:v>
                </c:pt>
                <c:pt idx="71">
                  <c:v>47.6099999999999</c:v>
                </c:pt>
                <c:pt idx="72">
                  <c:v>47.939999999999898</c:v>
                </c:pt>
                <c:pt idx="73">
                  <c:v>48.189999999999898</c:v>
                </c:pt>
                <c:pt idx="74">
                  <c:v>48.52</c:v>
                </c:pt>
                <c:pt idx="75">
                  <c:v>48.84</c:v>
                </c:pt>
                <c:pt idx="76">
                  <c:v>49.229999999999897</c:v>
                </c:pt>
                <c:pt idx="77">
                  <c:v>49.64</c:v>
                </c:pt>
                <c:pt idx="78">
                  <c:v>49.84</c:v>
                </c:pt>
                <c:pt idx="79">
                  <c:v>50.159999999999897</c:v>
                </c:pt>
                <c:pt idx="80">
                  <c:v>50.45</c:v>
                </c:pt>
                <c:pt idx="81">
                  <c:v>50.71</c:v>
                </c:pt>
                <c:pt idx="82">
                  <c:v>50.969999999999899</c:v>
                </c:pt>
                <c:pt idx="83">
                  <c:v>51.189999999999898</c:v>
                </c:pt>
                <c:pt idx="84">
                  <c:v>51.259999999999899</c:v>
                </c:pt>
                <c:pt idx="85">
                  <c:v>51.32</c:v>
                </c:pt>
                <c:pt idx="86">
                  <c:v>51.219999999999899</c:v>
                </c:pt>
                <c:pt idx="87">
                  <c:v>51.189999999999898</c:v>
                </c:pt>
                <c:pt idx="88">
                  <c:v>51.159999999999897</c:v>
                </c:pt>
                <c:pt idx="89">
                  <c:v>50.9299999999999</c:v>
                </c:pt>
                <c:pt idx="90">
                  <c:v>50.84</c:v>
                </c:pt>
                <c:pt idx="91">
                  <c:v>50.71</c:v>
                </c:pt>
                <c:pt idx="92">
                  <c:v>50.509999999999899</c:v>
                </c:pt>
                <c:pt idx="93">
                  <c:v>50.45</c:v>
                </c:pt>
                <c:pt idx="94">
                  <c:v>50.219999999999899</c:v>
                </c:pt>
                <c:pt idx="95">
                  <c:v>50.1</c:v>
                </c:pt>
                <c:pt idx="96">
                  <c:v>49.869999999999898</c:v>
                </c:pt>
                <c:pt idx="97">
                  <c:v>49.64</c:v>
                </c:pt>
                <c:pt idx="98">
                  <c:v>49.479999999999897</c:v>
                </c:pt>
                <c:pt idx="99">
                  <c:v>49.259999999999899</c:v>
                </c:pt>
                <c:pt idx="100">
                  <c:v>49.1</c:v>
                </c:pt>
                <c:pt idx="101">
                  <c:v>48.899999999999899</c:v>
                </c:pt>
                <c:pt idx="102">
                  <c:v>48.77</c:v>
                </c:pt>
                <c:pt idx="103">
                  <c:v>48.6099999999999</c:v>
                </c:pt>
                <c:pt idx="104">
                  <c:v>48.6799999999999</c:v>
                </c:pt>
                <c:pt idx="105">
                  <c:v>48.77</c:v>
                </c:pt>
                <c:pt idx="106">
                  <c:v>49</c:v>
                </c:pt>
                <c:pt idx="107">
                  <c:v>49.159999999999897</c:v>
                </c:pt>
                <c:pt idx="108">
                  <c:v>49.35</c:v>
                </c:pt>
                <c:pt idx="109">
                  <c:v>49.579999999999899</c:v>
                </c:pt>
                <c:pt idx="110">
                  <c:v>49.899999999999899</c:v>
                </c:pt>
                <c:pt idx="111">
                  <c:v>50</c:v>
                </c:pt>
                <c:pt idx="112">
                  <c:v>50.39</c:v>
                </c:pt>
                <c:pt idx="113">
                  <c:v>50.64</c:v>
                </c:pt>
                <c:pt idx="114">
                  <c:v>50.969999999999899</c:v>
                </c:pt>
                <c:pt idx="115">
                  <c:v>51.35</c:v>
                </c:pt>
                <c:pt idx="116">
                  <c:v>51.64</c:v>
                </c:pt>
                <c:pt idx="117">
                  <c:v>52.03</c:v>
                </c:pt>
                <c:pt idx="118">
                  <c:v>52.2899999999999</c:v>
                </c:pt>
                <c:pt idx="119">
                  <c:v>52.71</c:v>
                </c:pt>
                <c:pt idx="120">
                  <c:v>53</c:v>
                </c:pt>
                <c:pt idx="121">
                  <c:v>53.219999999999899</c:v>
                </c:pt>
                <c:pt idx="122">
                  <c:v>53.579999999999899</c:v>
                </c:pt>
                <c:pt idx="123">
                  <c:v>53.67</c:v>
                </c:pt>
                <c:pt idx="124">
                  <c:v>53.74</c:v>
                </c:pt>
                <c:pt idx="125">
                  <c:v>53.579999999999899</c:v>
                </c:pt>
                <c:pt idx="126">
                  <c:v>53.38</c:v>
                </c:pt>
                <c:pt idx="127">
                  <c:v>53.189999999999898</c:v>
                </c:pt>
                <c:pt idx="128">
                  <c:v>52.899999999999899</c:v>
                </c:pt>
                <c:pt idx="129">
                  <c:v>52.64</c:v>
                </c:pt>
                <c:pt idx="130">
                  <c:v>52.2899999999999</c:v>
                </c:pt>
                <c:pt idx="131">
                  <c:v>51.84</c:v>
                </c:pt>
                <c:pt idx="132">
                  <c:v>51.479999999999897</c:v>
                </c:pt>
                <c:pt idx="133">
                  <c:v>51.13</c:v>
                </c:pt>
                <c:pt idx="134">
                  <c:v>50.6799999999999</c:v>
                </c:pt>
                <c:pt idx="135">
                  <c:v>50.259999999999899</c:v>
                </c:pt>
                <c:pt idx="136">
                  <c:v>49.84</c:v>
                </c:pt>
                <c:pt idx="137">
                  <c:v>49.479999999999897</c:v>
                </c:pt>
                <c:pt idx="138">
                  <c:v>49.06</c:v>
                </c:pt>
                <c:pt idx="139">
                  <c:v>48.579999999999899</c:v>
                </c:pt>
                <c:pt idx="140">
                  <c:v>48.259999999999899</c:v>
                </c:pt>
                <c:pt idx="141">
                  <c:v>47.81</c:v>
                </c:pt>
                <c:pt idx="142">
                  <c:v>47.49</c:v>
                </c:pt>
                <c:pt idx="143">
                  <c:v>47.39</c:v>
                </c:pt>
                <c:pt idx="144">
                  <c:v>47.2899999999999</c:v>
                </c:pt>
                <c:pt idx="145">
                  <c:v>47.32</c:v>
                </c:pt>
                <c:pt idx="146">
                  <c:v>47.549999999999898</c:v>
                </c:pt>
                <c:pt idx="147">
                  <c:v>47.78</c:v>
                </c:pt>
                <c:pt idx="148">
                  <c:v>48</c:v>
                </c:pt>
                <c:pt idx="149">
                  <c:v>48.229999999999897</c:v>
                </c:pt>
                <c:pt idx="150">
                  <c:v>48.74</c:v>
                </c:pt>
                <c:pt idx="151">
                  <c:v>49.13</c:v>
                </c:pt>
                <c:pt idx="152">
                  <c:v>49.45</c:v>
                </c:pt>
                <c:pt idx="153">
                  <c:v>49.9299999999999</c:v>
                </c:pt>
                <c:pt idx="154">
                  <c:v>50.35</c:v>
                </c:pt>
                <c:pt idx="155">
                  <c:v>50.84</c:v>
                </c:pt>
                <c:pt idx="156">
                  <c:v>51.09</c:v>
                </c:pt>
                <c:pt idx="157">
                  <c:v>51.479999999999897</c:v>
                </c:pt>
                <c:pt idx="158">
                  <c:v>52</c:v>
                </c:pt>
                <c:pt idx="159">
                  <c:v>52.509999999999899</c:v>
                </c:pt>
                <c:pt idx="160">
                  <c:v>52.899999999999899</c:v>
                </c:pt>
                <c:pt idx="161">
                  <c:v>53.32</c:v>
                </c:pt>
                <c:pt idx="162">
                  <c:v>53.71</c:v>
                </c:pt>
                <c:pt idx="163">
                  <c:v>53.829999999999899</c:v>
                </c:pt>
                <c:pt idx="164">
                  <c:v>53.96</c:v>
                </c:pt>
                <c:pt idx="165">
                  <c:v>53.869999999999898</c:v>
                </c:pt>
                <c:pt idx="166">
                  <c:v>53.74</c:v>
                </c:pt>
                <c:pt idx="167">
                  <c:v>53.479999999999897</c:v>
                </c:pt>
                <c:pt idx="168">
                  <c:v>53.159999999999897</c:v>
                </c:pt>
                <c:pt idx="169">
                  <c:v>52.799999999999898</c:v>
                </c:pt>
                <c:pt idx="170">
                  <c:v>52.579999999999899</c:v>
                </c:pt>
                <c:pt idx="171">
                  <c:v>52.189999999999898</c:v>
                </c:pt>
                <c:pt idx="172">
                  <c:v>51.77</c:v>
                </c:pt>
                <c:pt idx="173">
                  <c:v>51.479999999999897</c:v>
                </c:pt>
                <c:pt idx="174">
                  <c:v>51.13</c:v>
                </c:pt>
                <c:pt idx="175">
                  <c:v>50.64</c:v>
                </c:pt>
                <c:pt idx="176">
                  <c:v>50.219999999999899</c:v>
                </c:pt>
                <c:pt idx="177">
                  <c:v>49.899999999999899</c:v>
                </c:pt>
                <c:pt idx="178">
                  <c:v>49.2899999999999</c:v>
                </c:pt>
                <c:pt idx="179">
                  <c:v>48.899999999999899</c:v>
                </c:pt>
                <c:pt idx="180">
                  <c:v>48.479999999999897</c:v>
                </c:pt>
                <c:pt idx="181">
                  <c:v>48.03</c:v>
                </c:pt>
                <c:pt idx="182">
                  <c:v>47.74</c:v>
                </c:pt>
                <c:pt idx="183">
                  <c:v>47.49</c:v>
                </c:pt>
                <c:pt idx="184">
                  <c:v>47.2899999999999</c:v>
                </c:pt>
                <c:pt idx="185">
                  <c:v>47.32</c:v>
                </c:pt>
                <c:pt idx="186">
                  <c:v>47.2899999999999</c:v>
                </c:pt>
                <c:pt idx="187">
                  <c:v>47.32</c:v>
                </c:pt>
                <c:pt idx="188">
                  <c:v>47.39</c:v>
                </c:pt>
                <c:pt idx="189">
                  <c:v>47.579999999999899</c:v>
                </c:pt>
                <c:pt idx="190">
                  <c:v>47.81</c:v>
                </c:pt>
                <c:pt idx="191">
                  <c:v>47.969999999999899</c:v>
                </c:pt>
                <c:pt idx="192">
                  <c:v>48.07</c:v>
                </c:pt>
                <c:pt idx="193">
                  <c:v>48.3599999999999</c:v>
                </c:pt>
                <c:pt idx="194">
                  <c:v>48.549999999999898</c:v>
                </c:pt>
                <c:pt idx="195">
                  <c:v>48.649999999999899</c:v>
                </c:pt>
                <c:pt idx="196">
                  <c:v>48.969999999999899</c:v>
                </c:pt>
                <c:pt idx="197">
                  <c:v>49.229999999999897</c:v>
                </c:pt>
                <c:pt idx="198">
                  <c:v>49.42</c:v>
                </c:pt>
                <c:pt idx="199">
                  <c:v>49.6799999999999</c:v>
                </c:pt>
                <c:pt idx="200">
                  <c:v>49.9299999999999</c:v>
                </c:pt>
              </c:numCache>
            </c:numRef>
          </c:yVal>
          <c:smooth val="1"/>
          <c:extLst>
            <c:ext xmlns:c16="http://schemas.microsoft.com/office/drawing/2014/chart" uri="{C3380CC4-5D6E-409C-BE32-E72D297353CC}">
              <c16:uniqueId val="{00000000-CF18-4E58-AF4C-5628B96A0E7D}"/>
            </c:ext>
          </c:extLst>
        </c:ser>
        <c:ser>
          <c:idx val="1"/>
          <c:order val="1"/>
          <c:tx>
            <c:strRef>
              <c:f>HW1_P4!$F$1</c:f>
              <c:strCache>
                <c:ptCount val="1"/>
                <c:pt idx="0">
                  <c:v>Temperature 2</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HW1_P4!$F$2:$F$202</c:f>
              <c:numCache>
                <c:formatCode>0.00E+00</c:formatCode>
                <c:ptCount val="201"/>
                <c:pt idx="0">
                  <c:v>19.71</c:v>
                </c:pt>
                <c:pt idx="1">
                  <c:v>19.739999999999899</c:v>
                </c:pt>
                <c:pt idx="2">
                  <c:v>19.739999999999899</c:v>
                </c:pt>
                <c:pt idx="3">
                  <c:v>19.739999999999899</c:v>
                </c:pt>
                <c:pt idx="4">
                  <c:v>19.739999999999899</c:v>
                </c:pt>
                <c:pt idx="5">
                  <c:v>19.739999999999899</c:v>
                </c:pt>
                <c:pt idx="6">
                  <c:v>19.739999999999899</c:v>
                </c:pt>
                <c:pt idx="7">
                  <c:v>19.739999999999899</c:v>
                </c:pt>
                <c:pt idx="8">
                  <c:v>19.739999999999899</c:v>
                </c:pt>
                <c:pt idx="9">
                  <c:v>19.829999999999899</c:v>
                </c:pt>
                <c:pt idx="10">
                  <c:v>19.739999999999899</c:v>
                </c:pt>
                <c:pt idx="11">
                  <c:v>19.7699999999999</c:v>
                </c:pt>
                <c:pt idx="12">
                  <c:v>19.64</c:v>
                </c:pt>
                <c:pt idx="13">
                  <c:v>19.87</c:v>
                </c:pt>
                <c:pt idx="14">
                  <c:v>19.87</c:v>
                </c:pt>
                <c:pt idx="15">
                  <c:v>19.899999999999899</c:v>
                </c:pt>
                <c:pt idx="16">
                  <c:v>19.96</c:v>
                </c:pt>
                <c:pt idx="17">
                  <c:v>20</c:v>
                </c:pt>
                <c:pt idx="18">
                  <c:v>20.03</c:v>
                </c:pt>
                <c:pt idx="19">
                  <c:v>20.059999999999899</c:v>
                </c:pt>
                <c:pt idx="20">
                  <c:v>20.219999999999899</c:v>
                </c:pt>
                <c:pt idx="21">
                  <c:v>20</c:v>
                </c:pt>
                <c:pt idx="22">
                  <c:v>20.12</c:v>
                </c:pt>
                <c:pt idx="23">
                  <c:v>20.350000000000001</c:v>
                </c:pt>
                <c:pt idx="24">
                  <c:v>20.25</c:v>
                </c:pt>
                <c:pt idx="25">
                  <c:v>20.32</c:v>
                </c:pt>
                <c:pt idx="26">
                  <c:v>20.420000000000002</c:v>
                </c:pt>
                <c:pt idx="27">
                  <c:v>20.51</c:v>
                </c:pt>
                <c:pt idx="28">
                  <c:v>20.67</c:v>
                </c:pt>
                <c:pt idx="29">
                  <c:v>20.71</c:v>
                </c:pt>
                <c:pt idx="30">
                  <c:v>20.739999999999899</c:v>
                </c:pt>
                <c:pt idx="31">
                  <c:v>20.7699999999999</c:v>
                </c:pt>
                <c:pt idx="32">
                  <c:v>20.96</c:v>
                </c:pt>
                <c:pt idx="33">
                  <c:v>20.899999999999899</c:v>
                </c:pt>
                <c:pt idx="34">
                  <c:v>21.03</c:v>
                </c:pt>
                <c:pt idx="35">
                  <c:v>21.25</c:v>
                </c:pt>
                <c:pt idx="36">
                  <c:v>21.2899999999999</c:v>
                </c:pt>
                <c:pt idx="37">
                  <c:v>21.3799999999999</c:v>
                </c:pt>
                <c:pt idx="38">
                  <c:v>21.51</c:v>
                </c:pt>
                <c:pt idx="39">
                  <c:v>21.5399999999999</c:v>
                </c:pt>
                <c:pt idx="40">
                  <c:v>21.64</c:v>
                </c:pt>
                <c:pt idx="41">
                  <c:v>21.8</c:v>
                </c:pt>
                <c:pt idx="42">
                  <c:v>21.899999999999899</c:v>
                </c:pt>
                <c:pt idx="43">
                  <c:v>21.989999999999899</c:v>
                </c:pt>
                <c:pt idx="44">
                  <c:v>22.059999999999899</c:v>
                </c:pt>
                <c:pt idx="45">
                  <c:v>22.25</c:v>
                </c:pt>
                <c:pt idx="46">
                  <c:v>22.3799999999999</c:v>
                </c:pt>
                <c:pt idx="47">
                  <c:v>22.4499999999999</c:v>
                </c:pt>
                <c:pt idx="48">
                  <c:v>22.5399999999999</c:v>
                </c:pt>
                <c:pt idx="49">
                  <c:v>22.7699999999999</c:v>
                </c:pt>
                <c:pt idx="50">
                  <c:v>22.739999999999899</c:v>
                </c:pt>
                <c:pt idx="51">
                  <c:v>23.12</c:v>
                </c:pt>
                <c:pt idx="52">
                  <c:v>23.3799999999999</c:v>
                </c:pt>
                <c:pt idx="53">
                  <c:v>23.48</c:v>
                </c:pt>
                <c:pt idx="54">
                  <c:v>23.73</c:v>
                </c:pt>
                <c:pt idx="55">
                  <c:v>23.8599999999999</c:v>
                </c:pt>
                <c:pt idx="56">
                  <c:v>24.35</c:v>
                </c:pt>
                <c:pt idx="57">
                  <c:v>24.6</c:v>
                </c:pt>
                <c:pt idx="58">
                  <c:v>24.67</c:v>
                </c:pt>
                <c:pt idx="59">
                  <c:v>25.41</c:v>
                </c:pt>
                <c:pt idx="60">
                  <c:v>25.64</c:v>
                </c:pt>
                <c:pt idx="61">
                  <c:v>26.12</c:v>
                </c:pt>
                <c:pt idx="62">
                  <c:v>26.3399999999999</c:v>
                </c:pt>
                <c:pt idx="63">
                  <c:v>26.67</c:v>
                </c:pt>
                <c:pt idx="64">
                  <c:v>26.92</c:v>
                </c:pt>
                <c:pt idx="65">
                  <c:v>27.12</c:v>
                </c:pt>
                <c:pt idx="66">
                  <c:v>27.6299999999999</c:v>
                </c:pt>
                <c:pt idx="67">
                  <c:v>27.73</c:v>
                </c:pt>
                <c:pt idx="68">
                  <c:v>28.0199999999999</c:v>
                </c:pt>
                <c:pt idx="69">
                  <c:v>28.44</c:v>
                </c:pt>
                <c:pt idx="70">
                  <c:v>28.6299999999999</c:v>
                </c:pt>
                <c:pt idx="71">
                  <c:v>28.89</c:v>
                </c:pt>
                <c:pt idx="72">
                  <c:v>29.25</c:v>
                </c:pt>
                <c:pt idx="73">
                  <c:v>29.28</c:v>
                </c:pt>
                <c:pt idx="74">
                  <c:v>29.37</c:v>
                </c:pt>
                <c:pt idx="75">
                  <c:v>29.73</c:v>
                </c:pt>
                <c:pt idx="76">
                  <c:v>29.57</c:v>
                </c:pt>
                <c:pt idx="77">
                  <c:v>30.21</c:v>
                </c:pt>
                <c:pt idx="78">
                  <c:v>30.239999999999899</c:v>
                </c:pt>
                <c:pt idx="79">
                  <c:v>30.37</c:v>
                </c:pt>
                <c:pt idx="80">
                  <c:v>30.53</c:v>
                </c:pt>
                <c:pt idx="81">
                  <c:v>30.73</c:v>
                </c:pt>
                <c:pt idx="82">
                  <c:v>31.079999999999899</c:v>
                </c:pt>
                <c:pt idx="83">
                  <c:v>31.21</c:v>
                </c:pt>
                <c:pt idx="84">
                  <c:v>31.3399999999999</c:v>
                </c:pt>
                <c:pt idx="85">
                  <c:v>31.3399999999999</c:v>
                </c:pt>
                <c:pt idx="86">
                  <c:v>31.76</c:v>
                </c:pt>
                <c:pt idx="87">
                  <c:v>31.7899999999999</c:v>
                </c:pt>
                <c:pt idx="88">
                  <c:v>31.98</c:v>
                </c:pt>
                <c:pt idx="89">
                  <c:v>32.1799999999999</c:v>
                </c:pt>
                <c:pt idx="90">
                  <c:v>32.270000000000003</c:v>
                </c:pt>
                <c:pt idx="91">
                  <c:v>32.5</c:v>
                </c:pt>
                <c:pt idx="92">
                  <c:v>32.85</c:v>
                </c:pt>
                <c:pt idx="93">
                  <c:v>33.21</c:v>
                </c:pt>
                <c:pt idx="94">
                  <c:v>33.469999999999899</c:v>
                </c:pt>
                <c:pt idx="95">
                  <c:v>33.630000000000003</c:v>
                </c:pt>
                <c:pt idx="96">
                  <c:v>33.719999999999899</c:v>
                </c:pt>
                <c:pt idx="97">
                  <c:v>34.14</c:v>
                </c:pt>
                <c:pt idx="98">
                  <c:v>33.89</c:v>
                </c:pt>
                <c:pt idx="99">
                  <c:v>34.590000000000003</c:v>
                </c:pt>
                <c:pt idx="100">
                  <c:v>34.880000000000003</c:v>
                </c:pt>
                <c:pt idx="101">
                  <c:v>35.1099999999999</c:v>
                </c:pt>
                <c:pt idx="102">
                  <c:v>35.21</c:v>
                </c:pt>
                <c:pt idx="103">
                  <c:v>35.590000000000003</c:v>
                </c:pt>
                <c:pt idx="104">
                  <c:v>35.719999999999899</c:v>
                </c:pt>
                <c:pt idx="105">
                  <c:v>35.950000000000003</c:v>
                </c:pt>
                <c:pt idx="106">
                  <c:v>36.21</c:v>
                </c:pt>
                <c:pt idx="107">
                  <c:v>36.46</c:v>
                </c:pt>
                <c:pt idx="108">
                  <c:v>36.4299999999999</c:v>
                </c:pt>
                <c:pt idx="109">
                  <c:v>36.4299999999999</c:v>
                </c:pt>
                <c:pt idx="110">
                  <c:v>36.82</c:v>
                </c:pt>
                <c:pt idx="111">
                  <c:v>36.75</c:v>
                </c:pt>
                <c:pt idx="112">
                  <c:v>36.82</c:v>
                </c:pt>
                <c:pt idx="113">
                  <c:v>37.0399999999999</c:v>
                </c:pt>
                <c:pt idx="114">
                  <c:v>37.1099999999999</c:v>
                </c:pt>
                <c:pt idx="115">
                  <c:v>37.21</c:v>
                </c:pt>
                <c:pt idx="116">
                  <c:v>37.299999999999898</c:v>
                </c:pt>
                <c:pt idx="117">
                  <c:v>37.399999999999899</c:v>
                </c:pt>
                <c:pt idx="118">
                  <c:v>37.46</c:v>
                </c:pt>
                <c:pt idx="119">
                  <c:v>37.399999999999899</c:v>
                </c:pt>
                <c:pt idx="120">
                  <c:v>37.56</c:v>
                </c:pt>
                <c:pt idx="121">
                  <c:v>37.619999999999898</c:v>
                </c:pt>
                <c:pt idx="122">
                  <c:v>37.5</c:v>
                </c:pt>
                <c:pt idx="123">
                  <c:v>37.7899999999999</c:v>
                </c:pt>
                <c:pt idx="124">
                  <c:v>37.659999999999897</c:v>
                </c:pt>
                <c:pt idx="125">
                  <c:v>37.85</c:v>
                </c:pt>
                <c:pt idx="126">
                  <c:v>38.009999999999899</c:v>
                </c:pt>
                <c:pt idx="127">
                  <c:v>38.079999999999899</c:v>
                </c:pt>
                <c:pt idx="128">
                  <c:v>38.200000000000003</c:v>
                </c:pt>
                <c:pt idx="129">
                  <c:v>38.14</c:v>
                </c:pt>
                <c:pt idx="130">
                  <c:v>38.689999999999898</c:v>
                </c:pt>
                <c:pt idx="131">
                  <c:v>38.329999999999899</c:v>
                </c:pt>
                <c:pt idx="132">
                  <c:v>38.399999999999899</c:v>
                </c:pt>
                <c:pt idx="133">
                  <c:v>38.4299999999999</c:v>
                </c:pt>
                <c:pt idx="134">
                  <c:v>38.619999999999898</c:v>
                </c:pt>
                <c:pt idx="135">
                  <c:v>38.590000000000003</c:v>
                </c:pt>
                <c:pt idx="136">
                  <c:v>38.659999999999897</c:v>
                </c:pt>
                <c:pt idx="137">
                  <c:v>38.590000000000003</c:v>
                </c:pt>
                <c:pt idx="138">
                  <c:v>38.46</c:v>
                </c:pt>
                <c:pt idx="139">
                  <c:v>38.4299999999999</c:v>
                </c:pt>
                <c:pt idx="140">
                  <c:v>38.619999999999898</c:v>
                </c:pt>
                <c:pt idx="141">
                  <c:v>38.270000000000003</c:v>
                </c:pt>
                <c:pt idx="142">
                  <c:v>38.200000000000003</c:v>
                </c:pt>
                <c:pt idx="143">
                  <c:v>38.0399999999999</c:v>
                </c:pt>
                <c:pt idx="144">
                  <c:v>38.14</c:v>
                </c:pt>
                <c:pt idx="145">
                  <c:v>38.079999999999899</c:v>
                </c:pt>
                <c:pt idx="146">
                  <c:v>37.85</c:v>
                </c:pt>
                <c:pt idx="147">
                  <c:v>37.659999999999897</c:v>
                </c:pt>
                <c:pt idx="148">
                  <c:v>37.75</c:v>
                </c:pt>
                <c:pt idx="149">
                  <c:v>37.719999999999899</c:v>
                </c:pt>
                <c:pt idx="150">
                  <c:v>37.369999999999898</c:v>
                </c:pt>
                <c:pt idx="151">
                  <c:v>37.299999999999898</c:v>
                </c:pt>
                <c:pt idx="152">
                  <c:v>37.21</c:v>
                </c:pt>
                <c:pt idx="153">
                  <c:v>37.0399999999999</c:v>
                </c:pt>
                <c:pt idx="154">
                  <c:v>36.7899999999999</c:v>
                </c:pt>
                <c:pt idx="155">
                  <c:v>36.630000000000003</c:v>
                </c:pt>
                <c:pt idx="156">
                  <c:v>36.630000000000003</c:v>
                </c:pt>
                <c:pt idx="157">
                  <c:v>36.56</c:v>
                </c:pt>
                <c:pt idx="158">
                  <c:v>36.369999999999898</c:v>
                </c:pt>
                <c:pt idx="159">
                  <c:v>36.270000000000003</c:v>
                </c:pt>
                <c:pt idx="160">
                  <c:v>36.17</c:v>
                </c:pt>
                <c:pt idx="161">
                  <c:v>36.1099999999999</c:v>
                </c:pt>
                <c:pt idx="162">
                  <c:v>36.0399999999999</c:v>
                </c:pt>
                <c:pt idx="163">
                  <c:v>35.7899999999999</c:v>
                </c:pt>
                <c:pt idx="164">
                  <c:v>35.82</c:v>
                </c:pt>
                <c:pt idx="165">
                  <c:v>35.630000000000003</c:v>
                </c:pt>
                <c:pt idx="166">
                  <c:v>35.53</c:v>
                </c:pt>
                <c:pt idx="167">
                  <c:v>35.4299999999999</c:v>
                </c:pt>
                <c:pt idx="168">
                  <c:v>35.340000000000003</c:v>
                </c:pt>
                <c:pt idx="169">
                  <c:v>35.24</c:v>
                </c:pt>
                <c:pt idx="170">
                  <c:v>35.1099999999999</c:v>
                </c:pt>
                <c:pt idx="171">
                  <c:v>35.009999999999899</c:v>
                </c:pt>
                <c:pt idx="172">
                  <c:v>34.85</c:v>
                </c:pt>
                <c:pt idx="173">
                  <c:v>34.53</c:v>
                </c:pt>
                <c:pt idx="174">
                  <c:v>34.5</c:v>
                </c:pt>
                <c:pt idx="175">
                  <c:v>34.399999999999899</c:v>
                </c:pt>
                <c:pt idx="176">
                  <c:v>34.369999999999898</c:v>
                </c:pt>
                <c:pt idx="177">
                  <c:v>34.299999999999898</c:v>
                </c:pt>
                <c:pt idx="178">
                  <c:v>34.14</c:v>
                </c:pt>
                <c:pt idx="179">
                  <c:v>34.009999999999899</c:v>
                </c:pt>
                <c:pt idx="180">
                  <c:v>33.92</c:v>
                </c:pt>
                <c:pt idx="181">
                  <c:v>33.759999999999899</c:v>
                </c:pt>
                <c:pt idx="182">
                  <c:v>33.630000000000003</c:v>
                </c:pt>
                <c:pt idx="183">
                  <c:v>33.56</c:v>
                </c:pt>
                <c:pt idx="184">
                  <c:v>33.340000000000003</c:v>
                </c:pt>
                <c:pt idx="185">
                  <c:v>33.369999999999898</c:v>
                </c:pt>
                <c:pt idx="186">
                  <c:v>33.14</c:v>
                </c:pt>
                <c:pt idx="187">
                  <c:v>33.079999999999899</c:v>
                </c:pt>
                <c:pt idx="188">
                  <c:v>32.950000000000003</c:v>
                </c:pt>
                <c:pt idx="189">
                  <c:v>32.729999999999897</c:v>
                </c:pt>
                <c:pt idx="190">
                  <c:v>32.759999999999899</c:v>
                </c:pt>
                <c:pt idx="191">
                  <c:v>32.689999999999898</c:v>
                </c:pt>
                <c:pt idx="192">
                  <c:v>32.53</c:v>
                </c:pt>
                <c:pt idx="193">
                  <c:v>32.439999999999898</c:v>
                </c:pt>
                <c:pt idx="194">
                  <c:v>32.439999999999898</c:v>
                </c:pt>
                <c:pt idx="195">
                  <c:v>32.369999999999898</c:v>
                </c:pt>
                <c:pt idx="196">
                  <c:v>32.21</c:v>
                </c:pt>
                <c:pt idx="197">
                  <c:v>32.149999999999899</c:v>
                </c:pt>
                <c:pt idx="198">
                  <c:v>32.020000000000003</c:v>
                </c:pt>
                <c:pt idx="199">
                  <c:v>31.98</c:v>
                </c:pt>
                <c:pt idx="200">
                  <c:v>31.9499999999999</c:v>
                </c:pt>
              </c:numCache>
            </c:numRef>
          </c:yVal>
          <c:smooth val="1"/>
          <c:extLst>
            <c:ext xmlns:c16="http://schemas.microsoft.com/office/drawing/2014/chart" uri="{C3380CC4-5D6E-409C-BE32-E72D297353CC}">
              <c16:uniqueId val="{00000001-CF18-4E58-AF4C-5628B96A0E7D}"/>
            </c:ext>
          </c:extLst>
        </c:ser>
        <c:dLbls>
          <c:showLegendKey val="0"/>
          <c:showVal val="0"/>
          <c:showCatName val="0"/>
          <c:showSerName val="0"/>
          <c:showPercent val="0"/>
          <c:showBubbleSize val="0"/>
        </c:dLbls>
        <c:axId val="390386120"/>
        <c:axId val="390386776"/>
      </c:scatterChart>
      <c:valAx>
        <c:axId val="39038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90386776"/>
        <c:crosses val="autoZero"/>
        <c:crossBetween val="midCat"/>
      </c:valAx>
      <c:valAx>
        <c:axId val="39038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Change in Temperature(s)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8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Temperature(s) Vs Time Graph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HW1_P4!$E$1</c:f>
              <c:strCache>
                <c:ptCount val="1"/>
                <c:pt idx="0">
                  <c:v>Temperature 1</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HW1_P4!$E$2:$E$202</c:f>
              <c:numCache>
                <c:formatCode>0.00E+00</c:formatCode>
                <c:ptCount val="201"/>
                <c:pt idx="0">
                  <c:v>21.0899999999999</c:v>
                </c:pt>
                <c:pt idx="1">
                  <c:v>21.059999999999899</c:v>
                </c:pt>
                <c:pt idx="2">
                  <c:v>21</c:v>
                </c:pt>
                <c:pt idx="3">
                  <c:v>21.16</c:v>
                </c:pt>
                <c:pt idx="4">
                  <c:v>21.19</c:v>
                </c:pt>
                <c:pt idx="5">
                  <c:v>21.579999999999899</c:v>
                </c:pt>
                <c:pt idx="6">
                  <c:v>21.87</c:v>
                </c:pt>
                <c:pt idx="7">
                  <c:v>22.35</c:v>
                </c:pt>
                <c:pt idx="8">
                  <c:v>22.8</c:v>
                </c:pt>
                <c:pt idx="9">
                  <c:v>23.35</c:v>
                </c:pt>
                <c:pt idx="10">
                  <c:v>23.8599999999999</c:v>
                </c:pt>
                <c:pt idx="11">
                  <c:v>24.51</c:v>
                </c:pt>
                <c:pt idx="12">
                  <c:v>25.059999999999899</c:v>
                </c:pt>
                <c:pt idx="13">
                  <c:v>25.6999999999999</c:v>
                </c:pt>
                <c:pt idx="14">
                  <c:v>26.12</c:v>
                </c:pt>
                <c:pt idx="15">
                  <c:v>26.829999999999899</c:v>
                </c:pt>
                <c:pt idx="16">
                  <c:v>27.3399999999999</c:v>
                </c:pt>
                <c:pt idx="17">
                  <c:v>27.89</c:v>
                </c:pt>
                <c:pt idx="18">
                  <c:v>28.5</c:v>
                </c:pt>
                <c:pt idx="19">
                  <c:v>29.05</c:v>
                </c:pt>
                <c:pt idx="20">
                  <c:v>29.6</c:v>
                </c:pt>
                <c:pt idx="21">
                  <c:v>30.239999999999899</c:v>
                </c:pt>
                <c:pt idx="22">
                  <c:v>30.89</c:v>
                </c:pt>
                <c:pt idx="23">
                  <c:v>31.44</c:v>
                </c:pt>
                <c:pt idx="24">
                  <c:v>31.98</c:v>
                </c:pt>
                <c:pt idx="25">
                  <c:v>32.759999999999899</c:v>
                </c:pt>
                <c:pt idx="26">
                  <c:v>33.340000000000003</c:v>
                </c:pt>
                <c:pt idx="27">
                  <c:v>34.1099999999999</c:v>
                </c:pt>
                <c:pt idx="28">
                  <c:v>34.85</c:v>
                </c:pt>
                <c:pt idx="29">
                  <c:v>35.53</c:v>
                </c:pt>
                <c:pt idx="30">
                  <c:v>36.24</c:v>
                </c:pt>
                <c:pt idx="31">
                  <c:v>36.92</c:v>
                </c:pt>
                <c:pt idx="32">
                  <c:v>37.619999999999898</c:v>
                </c:pt>
                <c:pt idx="33">
                  <c:v>38.24</c:v>
                </c:pt>
                <c:pt idx="34">
                  <c:v>39.0399999999999</c:v>
                </c:pt>
                <c:pt idx="35">
                  <c:v>39.649999999999899</c:v>
                </c:pt>
                <c:pt idx="36">
                  <c:v>40.270000000000003</c:v>
                </c:pt>
                <c:pt idx="37">
                  <c:v>40.880000000000003</c:v>
                </c:pt>
                <c:pt idx="38">
                  <c:v>41.59</c:v>
                </c:pt>
                <c:pt idx="39">
                  <c:v>42.17</c:v>
                </c:pt>
                <c:pt idx="40">
                  <c:v>42.81</c:v>
                </c:pt>
                <c:pt idx="41">
                  <c:v>43.42</c:v>
                </c:pt>
                <c:pt idx="42">
                  <c:v>44.0399999999999</c:v>
                </c:pt>
                <c:pt idx="43">
                  <c:v>44.42</c:v>
                </c:pt>
                <c:pt idx="44">
                  <c:v>44.88</c:v>
                </c:pt>
                <c:pt idx="45">
                  <c:v>45.1</c:v>
                </c:pt>
                <c:pt idx="46">
                  <c:v>45.329999999999899</c:v>
                </c:pt>
                <c:pt idx="47">
                  <c:v>45.49</c:v>
                </c:pt>
                <c:pt idx="48">
                  <c:v>45.579999999999899</c:v>
                </c:pt>
                <c:pt idx="49">
                  <c:v>45.75</c:v>
                </c:pt>
                <c:pt idx="50">
                  <c:v>45.81</c:v>
                </c:pt>
                <c:pt idx="51">
                  <c:v>45.969999999999899</c:v>
                </c:pt>
                <c:pt idx="52">
                  <c:v>45.909999999999897</c:v>
                </c:pt>
                <c:pt idx="53">
                  <c:v>45.939999999999898</c:v>
                </c:pt>
                <c:pt idx="54">
                  <c:v>46.0399999999999</c:v>
                </c:pt>
                <c:pt idx="55">
                  <c:v>45.969999999999899</c:v>
                </c:pt>
                <c:pt idx="56">
                  <c:v>45.969999999999899</c:v>
                </c:pt>
                <c:pt idx="57">
                  <c:v>45.939999999999898</c:v>
                </c:pt>
                <c:pt idx="58">
                  <c:v>45.869999999999898</c:v>
                </c:pt>
                <c:pt idx="59">
                  <c:v>45.909999999999897</c:v>
                </c:pt>
                <c:pt idx="60">
                  <c:v>45.81</c:v>
                </c:pt>
                <c:pt idx="61">
                  <c:v>45.75</c:v>
                </c:pt>
                <c:pt idx="62">
                  <c:v>45.75</c:v>
                </c:pt>
                <c:pt idx="63">
                  <c:v>45.869999999999898</c:v>
                </c:pt>
                <c:pt idx="64">
                  <c:v>45.909999999999897</c:v>
                </c:pt>
                <c:pt idx="65">
                  <c:v>46.13</c:v>
                </c:pt>
                <c:pt idx="66">
                  <c:v>46.3599999999999</c:v>
                </c:pt>
                <c:pt idx="67">
                  <c:v>46.52</c:v>
                </c:pt>
                <c:pt idx="68">
                  <c:v>46.74</c:v>
                </c:pt>
                <c:pt idx="69">
                  <c:v>47.13</c:v>
                </c:pt>
                <c:pt idx="70">
                  <c:v>47.32</c:v>
                </c:pt>
                <c:pt idx="71">
                  <c:v>47.6099999999999</c:v>
                </c:pt>
                <c:pt idx="72">
                  <c:v>47.939999999999898</c:v>
                </c:pt>
                <c:pt idx="73">
                  <c:v>48.189999999999898</c:v>
                </c:pt>
                <c:pt idx="74">
                  <c:v>48.52</c:v>
                </c:pt>
                <c:pt idx="75">
                  <c:v>48.84</c:v>
                </c:pt>
                <c:pt idx="76">
                  <c:v>49.229999999999897</c:v>
                </c:pt>
                <c:pt idx="77">
                  <c:v>49.64</c:v>
                </c:pt>
                <c:pt idx="78">
                  <c:v>49.84</c:v>
                </c:pt>
                <c:pt idx="79">
                  <c:v>50.159999999999897</c:v>
                </c:pt>
                <c:pt idx="80">
                  <c:v>50.45</c:v>
                </c:pt>
                <c:pt idx="81">
                  <c:v>50.71</c:v>
                </c:pt>
                <c:pt idx="82">
                  <c:v>50.969999999999899</c:v>
                </c:pt>
                <c:pt idx="83">
                  <c:v>51.189999999999898</c:v>
                </c:pt>
                <c:pt idx="84">
                  <c:v>51.259999999999899</c:v>
                </c:pt>
                <c:pt idx="85">
                  <c:v>51.32</c:v>
                </c:pt>
                <c:pt idx="86">
                  <c:v>51.219999999999899</c:v>
                </c:pt>
                <c:pt idx="87">
                  <c:v>51.189999999999898</c:v>
                </c:pt>
                <c:pt idx="88">
                  <c:v>51.159999999999897</c:v>
                </c:pt>
                <c:pt idx="89">
                  <c:v>50.9299999999999</c:v>
                </c:pt>
                <c:pt idx="90">
                  <c:v>50.84</c:v>
                </c:pt>
                <c:pt idx="91">
                  <c:v>50.71</c:v>
                </c:pt>
                <c:pt idx="92">
                  <c:v>50.509999999999899</c:v>
                </c:pt>
                <c:pt idx="93">
                  <c:v>50.45</c:v>
                </c:pt>
                <c:pt idx="94">
                  <c:v>50.219999999999899</c:v>
                </c:pt>
                <c:pt idx="95">
                  <c:v>50.1</c:v>
                </c:pt>
                <c:pt idx="96">
                  <c:v>49.869999999999898</c:v>
                </c:pt>
                <c:pt idx="97">
                  <c:v>49.64</c:v>
                </c:pt>
                <c:pt idx="98">
                  <c:v>49.479999999999897</c:v>
                </c:pt>
                <c:pt idx="99">
                  <c:v>49.259999999999899</c:v>
                </c:pt>
                <c:pt idx="100">
                  <c:v>49.1</c:v>
                </c:pt>
                <c:pt idx="101">
                  <c:v>48.899999999999899</c:v>
                </c:pt>
                <c:pt idx="102">
                  <c:v>48.77</c:v>
                </c:pt>
                <c:pt idx="103">
                  <c:v>48.6099999999999</c:v>
                </c:pt>
                <c:pt idx="104">
                  <c:v>48.6799999999999</c:v>
                </c:pt>
                <c:pt idx="105">
                  <c:v>48.77</c:v>
                </c:pt>
                <c:pt idx="106">
                  <c:v>49</c:v>
                </c:pt>
                <c:pt idx="107">
                  <c:v>49.159999999999897</c:v>
                </c:pt>
                <c:pt idx="108">
                  <c:v>49.35</c:v>
                </c:pt>
                <c:pt idx="109">
                  <c:v>49.579999999999899</c:v>
                </c:pt>
                <c:pt idx="110">
                  <c:v>49.899999999999899</c:v>
                </c:pt>
                <c:pt idx="111">
                  <c:v>50</c:v>
                </c:pt>
                <c:pt idx="112">
                  <c:v>50.39</c:v>
                </c:pt>
                <c:pt idx="113">
                  <c:v>50.64</c:v>
                </c:pt>
                <c:pt idx="114">
                  <c:v>50.969999999999899</c:v>
                </c:pt>
                <c:pt idx="115">
                  <c:v>51.35</c:v>
                </c:pt>
                <c:pt idx="116">
                  <c:v>51.64</c:v>
                </c:pt>
                <c:pt idx="117">
                  <c:v>52.03</c:v>
                </c:pt>
                <c:pt idx="118">
                  <c:v>52.2899999999999</c:v>
                </c:pt>
                <c:pt idx="119">
                  <c:v>52.71</c:v>
                </c:pt>
                <c:pt idx="120">
                  <c:v>53</c:v>
                </c:pt>
                <c:pt idx="121">
                  <c:v>53.219999999999899</c:v>
                </c:pt>
                <c:pt idx="122">
                  <c:v>53.579999999999899</c:v>
                </c:pt>
                <c:pt idx="123">
                  <c:v>53.67</c:v>
                </c:pt>
                <c:pt idx="124">
                  <c:v>53.74</c:v>
                </c:pt>
                <c:pt idx="125">
                  <c:v>53.579999999999899</c:v>
                </c:pt>
                <c:pt idx="126">
                  <c:v>53.38</c:v>
                </c:pt>
                <c:pt idx="127">
                  <c:v>53.189999999999898</c:v>
                </c:pt>
                <c:pt idx="128">
                  <c:v>52.899999999999899</c:v>
                </c:pt>
                <c:pt idx="129">
                  <c:v>52.64</c:v>
                </c:pt>
                <c:pt idx="130">
                  <c:v>52.2899999999999</c:v>
                </c:pt>
                <c:pt idx="131">
                  <c:v>51.84</c:v>
                </c:pt>
                <c:pt idx="132">
                  <c:v>51.479999999999897</c:v>
                </c:pt>
                <c:pt idx="133">
                  <c:v>51.13</c:v>
                </c:pt>
                <c:pt idx="134">
                  <c:v>50.6799999999999</c:v>
                </c:pt>
                <c:pt idx="135">
                  <c:v>50.259999999999899</c:v>
                </c:pt>
                <c:pt idx="136">
                  <c:v>49.84</c:v>
                </c:pt>
                <c:pt idx="137">
                  <c:v>49.479999999999897</c:v>
                </c:pt>
                <c:pt idx="138">
                  <c:v>49.06</c:v>
                </c:pt>
                <c:pt idx="139">
                  <c:v>48.579999999999899</c:v>
                </c:pt>
                <c:pt idx="140">
                  <c:v>48.259999999999899</c:v>
                </c:pt>
                <c:pt idx="141">
                  <c:v>47.81</c:v>
                </c:pt>
                <c:pt idx="142">
                  <c:v>47.49</c:v>
                </c:pt>
                <c:pt idx="143">
                  <c:v>47.39</c:v>
                </c:pt>
                <c:pt idx="144">
                  <c:v>47.2899999999999</c:v>
                </c:pt>
                <c:pt idx="145">
                  <c:v>47.32</c:v>
                </c:pt>
                <c:pt idx="146">
                  <c:v>47.549999999999898</c:v>
                </c:pt>
                <c:pt idx="147">
                  <c:v>47.78</c:v>
                </c:pt>
                <c:pt idx="148">
                  <c:v>48</c:v>
                </c:pt>
                <c:pt idx="149">
                  <c:v>48.229999999999897</c:v>
                </c:pt>
                <c:pt idx="150">
                  <c:v>48.74</c:v>
                </c:pt>
                <c:pt idx="151">
                  <c:v>49.13</c:v>
                </c:pt>
                <c:pt idx="152">
                  <c:v>49.45</c:v>
                </c:pt>
                <c:pt idx="153">
                  <c:v>49.9299999999999</c:v>
                </c:pt>
                <c:pt idx="154">
                  <c:v>50.35</c:v>
                </c:pt>
                <c:pt idx="155">
                  <c:v>50.84</c:v>
                </c:pt>
                <c:pt idx="156">
                  <c:v>51.09</c:v>
                </c:pt>
                <c:pt idx="157">
                  <c:v>51.479999999999897</c:v>
                </c:pt>
                <c:pt idx="158">
                  <c:v>52</c:v>
                </c:pt>
                <c:pt idx="159">
                  <c:v>52.509999999999899</c:v>
                </c:pt>
                <c:pt idx="160">
                  <c:v>52.899999999999899</c:v>
                </c:pt>
                <c:pt idx="161">
                  <c:v>53.32</c:v>
                </c:pt>
                <c:pt idx="162">
                  <c:v>53.71</c:v>
                </c:pt>
                <c:pt idx="163">
                  <c:v>53.829999999999899</c:v>
                </c:pt>
                <c:pt idx="164">
                  <c:v>53.96</c:v>
                </c:pt>
                <c:pt idx="165">
                  <c:v>53.869999999999898</c:v>
                </c:pt>
                <c:pt idx="166">
                  <c:v>53.74</c:v>
                </c:pt>
                <c:pt idx="167">
                  <c:v>53.479999999999897</c:v>
                </c:pt>
                <c:pt idx="168">
                  <c:v>53.159999999999897</c:v>
                </c:pt>
                <c:pt idx="169">
                  <c:v>52.799999999999898</c:v>
                </c:pt>
                <c:pt idx="170">
                  <c:v>52.579999999999899</c:v>
                </c:pt>
                <c:pt idx="171">
                  <c:v>52.189999999999898</c:v>
                </c:pt>
                <c:pt idx="172">
                  <c:v>51.77</c:v>
                </c:pt>
                <c:pt idx="173">
                  <c:v>51.479999999999897</c:v>
                </c:pt>
                <c:pt idx="174">
                  <c:v>51.13</c:v>
                </c:pt>
                <c:pt idx="175">
                  <c:v>50.64</c:v>
                </c:pt>
                <c:pt idx="176">
                  <c:v>50.219999999999899</c:v>
                </c:pt>
                <c:pt idx="177">
                  <c:v>49.899999999999899</c:v>
                </c:pt>
                <c:pt idx="178">
                  <c:v>49.2899999999999</c:v>
                </c:pt>
                <c:pt idx="179">
                  <c:v>48.899999999999899</c:v>
                </c:pt>
                <c:pt idx="180">
                  <c:v>48.479999999999897</c:v>
                </c:pt>
                <c:pt idx="181">
                  <c:v>48.03</c:v>
                </c:pt>
                <c:pt idx="182">
                  <c:v>47.74</c:v>
                </c:pt>
                <c:pt idx="183">
                  <c:v>47.49</c:v>
                </c:pt>
                <c:pt idx="184">
                  <c:v>47.2899999999999</c:v>
                </c:pt>
                <c:pt idx="185">
                  <c:v>47.32</c:v>
                </c:pt>
                <c:pt idx="186">
                  <c:v>47.2899999999999</c:v>
                </c:pt>
                <c:pt idx="187">
                  <c:v>47.32</c:v>
                </c:pt>
                <c:pt idx="188">
                  <c:v>47.39</c:v>
                </c:pt>
                <c:pt idx="189">
                  <c:v>47.579999999999899</c:v>
                </c:pt>
                <c:pt idx="190">
                  <c:v>47.81</c:v>
                </c:pt>
                <c:pt idx="191">
                  <c:v>47.969999999999899</c:v>
                </c:pt>
                <c:pt idx="192">
                  <c:v>48.07</c:v>
                </c:pt>
                <c:pt idx="193">
                  <c:v>48.3599999999999</c:v>
                </c:pt>
                <c:pt idx="194">
                  <c:v>48.549999999999898</c:v>
                </c:pt>
                <c:pt idx="195">
                  <c:v>48.649999999999899</c:v>
                </c:pt>
                <c:pt idx="196">
                  <c:v>48.969999999999899</c:v>
                </c:pt>
                <c:pt idx="197">
                  <c:v>49.229999999999897</c:v>
                </c:pt>
                <c:pt idx="198">
                  <c:v>49.42</c:v>
                </c:pt>
                <c:pt idx="199">
                  <c:v>49.6799999999999</c:v>
                </c:pt>
                <c:pt idx="200">
                  <c:v>49.9299999999999</c:v>
                </c:pt>
              </c:numCache>
            </c:numRef>
          </c:yVal>
          <c:smooth val="1"/>
          <c:extLst>
            <c:ext xmlns:c16="http://schemas.microsoft.com/office/drawing/2014/chart" uri="{C3380CC4-5D6E-409C-BE32-E72D297353CC}">
              <c16:uniqueId val="{00000000-61DF-4555-92DE-CAF135C6E7E0}"/>
            </c:ext>
          </c:extLst>
        </c:ser>
        <c:ser>
          <c:idx val="1"/>
          <c:order val="1"/>
          <c:tx>
            <c:strRef>
              <c:f>HW1_P4!$F$1</c:f>
              <c:strCache>
                <c:ptCount val="1"/>
                <c:pt idx="0">
                  <c:v>Temperature 2</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HW1_P4!$F$2:$F$202</c:f>
              <c:numCache>
                <c:formatCode>0.00E+00</c:formatCode>
                <c:ptCount val="201"/>
                <c:pt idx="0">
                  <c:v>19.71</c:v>
                </c:pt>
                <c:pt idx="1">
                  <c:v>19.739999999999899</c:v>
                </c:pt>
                <c:pt idx="2">
                  <c:v>19.739999999999899</c:v>
                </c:pt>
                <c:pt idx="3">
                  <c:v>19.739999999999899</c:v>
                </c:pt>
                <c:pt idx="4">
                  <c:v>19.739999999999899</c:v>
                </c:pt>
                <c:pt idx="5">
                  <c:v>19.739999999999899</c:v>
                </c:pt>
                <c:pt idx="6">
                  <c:v>19.739999999999899</c:v>
                </c:pt>
                <c:pt idx="7">
                  <c:v>19.739999999999899</c:v>
                </c:pt>
                <c:pt idx="8">
                  <c:v>19.739999999999899</c:v>
                </c:pt>
                <c:pt idx="9">
                  <c:v>19.829999999999899</c:v>
                </c:pt>
                <c:pt idx="10">
                  <c:v>19.739999999999899</c:v>
                </c:pt>
                <c:pt idx="11">
                  <c:v>19.7699999999999</c:v>
                </c:pt>
                <c:pt idx="12">
                  <c:v>19.64</c:v>
                </c:pt>
                <c:pt idx="13">
                  <c:v>19.87</c:v>
                </c:pt>
                <c:pt idx="14">
                  <c:v>19.87</c:v>
                </c:pt>
                <c:pt idx="15">
                  <c:v>19.899999999999899</c:v>
                </c:pt>
                <c:pt idx="16">
                  <c:v>19.96</c:v>
                </c:pt>
                <c:pt idx="17">
                  <c:v>20</c:v>
                </c:pt>
                <c:pt idx="18">
                  <c:v>20.03</c:v>
                </c:pt>
                <c:pt idx="19">
                  <c:v>20.059999999999899</c:v>
                </c:pt>
                <c:pt idx="20">
                  <c:v>20.219999999999899</c:v>
                </c:pt>
                <c:pt idx="21">
                  <c:v>20</c:v>
                </c:pt>
                <c:pt idx="22">
                  <c:v>20.12</c:v>
                </c:pt>
                <c:pt idx="23">
                  <c:v>20.350000000000001</c:v>
                </c:pt>
                <c:pt idx="24">
                  <c:v>20.25</c:v>
                </c:pt>
                <c:pt idx="25">
                  <c:v>20.32</c:v>
                </c:pt>
                <c:pt idx="26">
                  <c:v>20.420000000000002</c:v>
                </c:pt>
                <c:pt idx="27">
                  <c:v>20.51</c:v>
                </c:pt>
                <c:pt idx="28">
                  <c:v>20.67</c:v>
                </c:pt>
                <c:pt idx="29">
                  <c:v>20.71</c:v>
                </c:pt>
                <c:pt idx="30">
                  <c:v>20.739999999999899</c:v>
                </c:pt>
                <c:pt idx="31">
                  <c:v>20.7699999999999</c:v>
                </c:pt>
                <c:pt idx="32">
                  <c:v>20.96</c:v>
                </c:pt>
                <c:pt idx="33">
                  <c:v>20.899999999999899</c:v>
                </c:pt>
                <c:pt idx="34">
                  <c:v>21.03</c:v>
                </c:pt>
                <c:pt idx="35">
                  <c:v>21.25</c:v>
                </c:pt>
                <c:pt idx="36">
                  <c:v>21.2899999999999</c:v>
                </c:pt>
                <c:pt idx="37">
                  <c:v>21.3799999999999</c:v>
                </c:pt>
                <c:pt idx="38">
                  <c:v>21.51</c:v>
                </c:pt>
                <c:pt idx="39">
                  <c:v>21.5399999999999</c:v>
                </c:pt>
                <c:pt idx="40">
                  <c:v>21.64</c:v>
                </c:pt>
                <c:pt idx="41">
                  <c:v>21.8</c:v>
                </c:pt>
                <c:pt idx="42">
                  <c:v>21.899999999999899</c:v>
                </c:pt>
                <c:pt idx="43">
                  <c:v>21.989999999999899</c:v>
                </c:pt>
                <c:pt idx="44">
                  <c:v>22.059999999999899</c:v>
                </c:pt>
                <c:pt idx="45">
                  <c:v>22.25</c:v>
                </c:pt>
                <c:pt idx="46">
                  <c:v>22.3799999999999</c:v>
                </c:pt>
                <c:pt idx="47">
                  <c:v>22.4499999999999</c:v>
                </c:pt>
                <c:pt idx="48">
                  <c:v>22.5399999999999</c:v>
                </c:pt>
                <c:pt idx="49">
                  <c:v>22.7699999999999</c:v>
                </c:pt>
                <c:pt idx="50">
                  <c:v>22.739999999999899</c:v>
                </c:pt>
                <c:pt idx="51">
                  <c:v>23.12</c:v>
                </c:pt>
                <c:pt idx="52">
                  <c:v>23.3799999999999</c:v>
                </c:pt>
                <c:pt idx="53">
                  <c:v>23.48</c:v>
                </c:pt>
                <c:pt idx="54">
                  <c:v>23.73</c:v>
                </c:pt>
                <c:pt idx="55">
                  <c:v>23.8599999999999</c:v>
                </c:pt>
                <c:pt idx="56">
                  <c:v>24.35</c:v>
                </c:pt>
                <c:pt idx="57">
                  <c:v>24.6</c:v>
                </c:pt>
                <c:pt idx="58">
                  <c:v>24.67</c:v>
                </c:pt>
                <c:pt idx="59">
                  <c:v>25.41</c:v>
                </c:pt>
                <c:pt idx="60">
                  <c:v>25.64</c:v>
                </c:pt>
                <c:pt idx="61">
                  <c:v>26.12</c:v>
                </c:pt>
                <c:pt idx="62">
                  <c:v>26.3399999999999</c:v>
                </c:pt>
                <c:pt idx="63">
                  <c:v>26.67</c:v>
                </c:pt>
                <c:pt idx="64">
                  <c:v>26.92</c:v>
                </c:pt>
                <c:pt idx="65">
                  <c:v>27.12</c:v>
                </c:pt>
                <c:pt idx="66">
                  <c:v>27.6299999999999</c:v>
                </c:pt>
                <c:pt idx="67">
                  <c:v>27.73</c:v>
                </c:pt>
                <c:pt idx="68">
                  <c:v>28.0199999999999</c:v>
                </c:pt>
                <c:pt idx="69">
                  <c:v>28.44</c:v>
                </c:pt>
                <c:pt idx="70">
                  <c:v>28.6299999999999</c:v>
                </c:pt>
                <c:pt idx="71">
                  <c:v>28.89</c:v>
                </c:pt>
                <c:pt idx="72">
                  <c:v>29.25</c:v>
                </c:pt>
                <c:pt idx="73">
                  <c:v>29.28</c:v>
                </c:pt>
                <c:pt idx="74">
                  <c:v>29.37</c:v>
                </c:pt>
                <c:pt idx="75">
                  <c:v>29.73</c:v>
                </c:pt>
                <c:pt idx="76">
                  <c:v>29.57</c:v>
                </c:pt>
                <c:pt idx="77">
                  <c:v>30.21</c:v>
                </c:pt>
                <c:pt idx="78">
                  <c:v>30.239999999999899</c:v>
                </c:pt>
                <c:pt idx="79">
                  <c:v>30.37</c:v>
                </c:pt>
                <c:pt idx="80">
                  <c:v>30.53</c:v>
                </c:pt>
                <c:pt idx="81">
                  <c:v>30.73</c:v>
                </c:pt>
                <c:pt idx="82">
                  <c:v>31.079999999999899</c:v>
                </c:pt>
                <c:pt idx="83">
                  <c:v>31.21</c:v>
                </c:pt>
                <c:pt idx="84">
                  <c:v>31.3399999999999</c:v>
                </c:pt>
                <c:pt idx="85">
                  <c:v>31.3399999999999</c:v>
                </c:pt>
                <c:pt idx="86">
                  <c:v>31.76</c:v>
                </c:pt>
                <c:pt idx="87">
                  <c:v>31.7899999999999</c:v>
                </c:pt>
                <c:pt idx="88">
                  <c:v>31.98</c:v>
                </c:pt>
                <c:pt idx="89">
                  <c:v>32.1799999999999</c:v>
                </c:pt>
                <c:pt idx="90">
                  <c:v>32.270000000000003</c:v>
                </c:pt>
                <c:pt idx="91">
                  <c:v>32.5</c:v>
                </c:pt>
                <c:pt idx="92">
                  <c:v>32.85</c:v>
                </c:pt>
                <c:pt idx="93">
                  <c:v>33.21</c:v>
                </c:pt>
                <c:pt idx="94">
                  <c:v>33.469999999999899</c:v>
                </c:pt>
                <c:pt idx="95">
                  <c:v>33.630000000000003</c:v>
                </c:pt>
                <c:pt idx="96">
                  <c:v>33.719999999999899</c:v>
                </c:pt>
                <c:pt idx="97">
                  <c:v>34.14</c:v>
                </c:pt>
                <c:pt idx="98">
                  <c:v>33.89</c:v>
                </c:pt>
                <c:pt idx="99">
                  <c:v>34.590000000000003</c:v>
                </c:pt>
                <c:pt idx="100">
                  <c:v>34.880000000000003</c:v>
                </c:pt>
                <c:pt idx="101">
                  <c:v>35.1099999999999</c:v>
                </c:pt>
                <c:pt idx="102">
                  <c:v>35.21</c:v>
                </c:pt>
                <c:pt idx="103">
                  <c:v>35.590000000000003</c:v>
                </c:pt>
                <c:pt idx="104">
                  <c:v>35.719999999999899</c:v>
                </c:pt>
                <c:pt idx="105">
                  <c:v>35.950000000000003</c:v>
                </c:pt>
                <c:pt idx="106">
                  <c:v>36.21</c:v>
                </c:pt>
                <c:pt idx="107">
                  <c:v>36.46</c:v>
                </c:pt>
                <c:pt idx="108">
                  <c:v>36.4299999999999</c:v>
                </c:pt>
                <c:pt idx="109">
                  <c:v>36.4299999999999</c:v>
                </c:pt>
                <c:pt idx="110">
                  <c:v>36.82</c:v>
                </c:pt>
                <c:pt idx="111">
                  <c:v>36.75</c:v>
                </c:pt>
                <c:pt idx="112">
                  <c:v>36.82</c:v>
                </c:pt>
                <c:pt idx="113">
                  <c:v>37.0399999999999</c:v>
                </c:pt>
                <c:pt idx="114">
                  <c:v>37.1099999999999</c:v>
                </c:pt>
                <c:pt idx="115">
                  <c:v>37.21</c:v>
                </c:pt>
                <c:pt idx="116">
                  <c:v>37.299999999999898</c:v>
                </c:pt>
                <c:pt idx="117">
                  <c:v>37.399999999999899</c:v>
                </c:pt>
                <c:pt idx="118">
                  <c:v>37.46</c:v>
                </c:pt>
                <c:pt idx="119">
                  <c:v>37.399999999999899</c:v>
                </c:pt>
                <c:pt idx="120">
                  <c:v>37.56</c:v>
                </c:pt>
                <c:pt idx="121">
                  <c:v>37.619999999999898</c:v>
                </c:pt>
                <c:pt idx="122">
                  <c:v>37.5</c:v>
                </c:pt>
                <c:pt idx="123">
                  <c:v>37.7899999999999</c:v>
                </c:pt>
                <c:pt idx="124">
                  <c:v>37.659999999999897</c:v>
                </c:pt>
                <c:pt idx="125">
                  <c:v>37.85</c:v>
                </c:pt>
                <c:pt idx="126">
                  <c:v>38.009999999999899</c:v>
                </c:pt>
                <c:pt idx="127">
                  <c:v>38.079999999999899</c:v>
                </c:pt>
                <c:pt idx="128">
                  <c:v>38.200000000000003</c:v>
                </c:pt>
                <c:pt idx="129">
                  <c:v>38.14</c:v>
                </c:pt>
                <c:pt idx="130">
                  <c:v>38.689999999999898</c:v>
                </c:pt>
                <c:pt idx="131">
                  <c:v>38.329999999999899</c:v>
                </c:pt>
                <c:pt idx="132">
                  <c:v>38.399999999999899</c:v>
                </c:pt>
                <c:pt idx="133">
                  <c:v>38.4299999999999</c:v>
                </c:pt>
                <c:pt idx="134">
                  <c:v>38.619999999999898</c:v>
                </c:pt>
                <c:pt idx="135">
                  <c:v>38.590000000000003</c:v>
                </c:pt>
                <c:pt idx="136">
                  <c:v>38.659999999999897</c:v>
                </c:pt>
                <c:pt idx="137">
                  <c:v>38.590000000000003</c:v>
                </c:pt>
                <c:pt idx="138">
                  <c:v>38.46</c:v>
                </c:pt>
                <c:pt idx="139">
                  <c:v>38.4299999999999</c:v>
                </c:pt>
                <c:pt idx="140">
                  <c:v>38.619999999999898</c:v>
                </c:pt>
                <c:pt idx="141">
                  <c:v>38.270000000000003</c:v>
                </c:pt>
                <c:pt idx="142">
                  <c:v>38.200000000000003</c:v>
                </c:pt>
                <c:pt idx="143">
                  <c:v>38.0399999999999</c:v>
                </c:pt>
                <c:pt idx="144">
                  <c:v>38.14</c:v>
                </c:pt>
                <c:pt idx="145">
                  <c:v>38.079999999999899</c:v>
                </c:pt>
                <c:pt idx="146">
                  <c:v>37.85</c:v>
                </c:pt>
                <c:pt idx="147">
                  <c:v>37.659999999999897</c:v>
                </c:pt>
                <c:pt idx="148">
                  <c:v>37.75</c:v>
                </c:pt>
                <c:pt idx="149">
                  <c:v>37.719999999999899</c:v>
                </c:pt>
                <c:pt idx="150">
                  <c:v>37.369999999999898</c:v>
                </c:pt>
                <c:pt idx="151">
                  <c:v>37.299999999999898</c:v>
                </c:pt>
                <c:pt idx="152">
                  <c:v>37.21</c:v>
                </c:pt>
                <c:pt idx="153">
                  <c:v>37.0399999999999</c:v>
                </c:pt>
                <c:pt idx="154">
                  <c:v>36.7899999999999</c:v>
                </c:pt>
                <c:pt idx="155">
                  <c:v>36.630000000000003</c:v>
                </c:pt>
                <c:pt idx="156">
                  <c:v>36.630000000000003</c:v>
                </c:pt>
                <c:pt idx="157">
                  <c:v>36.56</c:v>
                </c:pt>
                <c:pt idx="158">
                  <c:v>36.369999999999898</c:v>
                </c:pt>
                <c:pt idx="159">
                  <c:v>36.270000000000003</c:v>
                </c:pt>
                <c:pt idx="160">
                  <c:v>36.17</c:v>
                </c:pt>
                <c:pt idx="161">
                  <c:v>36.1099999999999</c:v>
                </c:pt>
                <c:pt idx="162">
                  <c:v>36.0399999999999</c:v>
                </c:pt>
                <c:pt idx="163">
                  <c:v>35.7899999999999</c:v>
                </c:pt>
                <c:pt idx="164">
                  <c:v>35.82</c:v>
                </c:pt>
                <c:pt idx="165">
                  <c:v>35.630000000000003</c:v>
                </c:pt>
                <c:pt idx="166">
                  <c:v>35.53</c:v>
                </c:pt>
                <c:pt idx="167">
                  <c:v>35.4299999999999</c:v>
                </c:pt>
                <c:pt idx="168">
                  <c:v>35.340000000000003</c:v>
                </c:pt>
                <c:pt idx="169">
                  <c:v>35.24</c:v>
                </c:pt>
                <c:pt idx="170">
                  <c:v>35.1099999999999</c:v>
                </c:pt>
                <c:pt idx="171">
                  <c:v>35.009999999999899</c:v>
                </c:pt>
                <c:pt idx="172">
                  <c:v>34.85</c:v>
                </c:pt>
                <c:pt idx="173">
                  <c:v>34.53</c:v>
                </c:pt>
                <c:pt idx="174">
                  <c:v>34.5</c:v>
                </c:pt>
                <c:pt idx="175">
                  <c:v>34.399999999999899</c:v>
                </c:pt>
                <c:pt idx="176">
                  <c:v>34.369999999999898</c:v>
                </c:pt>
                <c:pt idx="177">
                  <c:v>34.299999999999898</c:v>
                </c:pt>
                <c:pt idx="178">
                  <c:v>34.14</c:v>
                </c:pt>
                <c:pt idx="179">
                  <c:v>34.009999999999899</c:v>
                </c:pt>
                <c:pt idx="180">
                  <c:v>33.92</c:v>
                </c:pt>
                <c:pt idx="181">
                  <c:v>33.759999999999899</c:v>
                </c:pt>
                <c:pt idx="182">
                  <c:v>33.630000000000003</c:v>
                </c:pt>
                <c:pt idx="183">
                  <c:v>33.56</c:v>
                </c:pt>
                <c:pt idx="184">
                  <c:v>33.340000000000003</c:v>
                </c:pt>
                <c:pt idx="185">
                  <c:v>33.369999999999898</c:v>
                </c:pt>
                <c:pt idx="186">
                  <c:v>33.14</c:v>
                </c:pt>
                <c:pt idx="187">
                  <c:v>33.079999999999899</c:v>
                </c:pt>
                <c:pt idx="188">
                  <c:v>32.950000000000003</c:v>
                </c:pt>
                <c:pt idx="189">
                  <c:v>32.729999999999897</c:v>
                </c:pt>
                <c:pt idx="190">
                  <c:v>32.759999999999899</c:v>
                </c:pt>
                <c:pt idx="191">
                  <c:v>32.689999999999898</c:v>
                </c:pt>
                <c:pt idx="192">
                  <c:v>32.53</c:v>
                </c:pt>
                <c:pt idx="193">
                  <c:v>32.439999999999898</c:v>
                </c:pt>
                <c:pt idx="194">
                  <c:v>32.439999999999898</c:v>
                </c:pt>
                <c:pt idx="195">
                  <c:v>32.369999999999898</c:v>
                </c:pt>
                <c:pt idx="196">
                  <c:v>32.21</c:v>
                </c:pt>
                <c:pt idx="197">
                  <c:v>32.149999999999899</c:v>
                </c:pt>
                <c:pt idx="198">
                  <c:v>32.020000000000003</c:v>
                </c:pt>
                <c:pt idx="199">
                  <c:v>31.98</c:v>
                </c:pt>
                <c:pt idx="200">
                  <c:v>31.9499999999999</c:v>
                </c:pt>
              </c:numCache>
            </c:numRef>
          </c:yVal>
          <c:smooth val="1"/>
          <c:extLst>
            <c:ext xmlns:c16="http://schemas.microsoft.com/office/drawing/2014/chart" uri="{C3380CC4-5D6E-409C-BE32-E72D297353CC}">
              <c16:uniqueId val="{00000001-61DF-4555-92DE-CAF135C6E7E0}"/>
            </c:ext>
          </c:extLst>
        </c:ser>
        <c:dLbls>
          <c:showLegendKey val="0"/>
          <c:showVal val="0"/>
          <c:showCatName val="0"/>
          <c:showSerName val="0"/>
          <c:showPercent val="0"/>
          <c:showBubbleSize val="0"/>
        </c:dLbls>
        <c:axId val="390386120"/>
        <c:axId val="390386776"/>
      </c:scatterChart>
      <c:valAx>
        <c:axId val="39038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90386776"/>
        <c:crosses val="autoZero"/>
        <c:crossBetween val="midCat"/>
      </c:valAx>
      <c:valAx>
        <c:axId val="39038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Change in Temperature(s)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8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Heater(s)</a:t>
            </a:r>
            <a:r>
              <a:rPr lang="en-US" baseline="0"/>
              <a:t> Vs Time Graph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HW1_P4!$B$1</c:f>
              <c:strCache>
                <c:ptCount val="1"/>
                <c:pt idx="0">
                  <c:v>Heater 1</c:v>
                </c:pt>
              </c:strCache>
            </c:strRef>
          </c:tx>
          <c:spPr>
            <a:ln w="9525" cap="rnd">
              <a:solidFill>
                <a:schemeClr val="dk1">
                  <a:tint val="88500"/>
                </a:schemeClr>
              </a:solid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HW1_P4!$B$2:$B$202</c:f>
              <c:numCache>
                <c:formatCode>0.00E+00</c:formatCode>
                <c:ptCount val="201"/>
                <c:pt idx="0">
                  <c:v>70.204572511977901</c:v>
                </c:pt>
                <c:pt idx="1">
                  <c:v>70.204572511977901</c:v>
                </c:pt>
                <c:pt idx="2">
                  <c:v>70.204572511977901</c:v>
                </c:pt>
                <c:pt idx="3">
                  <c:v>70.204572511977901</c:v>
                </c:pt>
                <c:pt idx="4">
                  <c:v>70.204572511977901</c:v>
                </c:pt>
                <c:pt idx="5">
                  <c:v>70.204572511977901</c:v>
                </c:pt>
                <c:pt idx="6">
                  <c:v>70.204572511977901</c:v>
                </c:pt>
                <c:pt idx="7">
                  <c:v>70.204572511977901</c:v>
                </c:pt>
                <c:pt idx="8">
                  <c:v>70.204572511977901</c:v>
                </c:pt>
                <c:pt idx="9">
                  <c:v>70.204572511977901</c:v>
                </c:pt>
                <c:pt idx="10">
                  <c:v>70.204572511977901</c:v>
                </c:pt>
                <c:pt idx="11">
                  <c:v>70.204572511977901</c:v>
                </c:pt>
                <c:pt idx="12">
                  <c:v>70.204572511977901</c:v>
                </c:pt>
                <c:pt idx="13">
                  <c:v>70.204572511977901</c:v>
                </c:pt>
                <c:pt idx="14">
                  <c:v>70.204572511977901</c:v>
                </c:pt>
                <c:pt idx="15">
                  <c:v>70.204572511977901</c:v>
                </c:pt>
                <c:pt idx="16">
                  <c:v>70.204572511977901</c:v>
                </c:pt>
                <c:pt idx="17">
                  <c:v>70.204572511977901</c:v>
                </c:pt>
                <c:pt idx="18">
                  <c:v>70.204572511977901</c:v>
                </c:pt>
                <c:pt idx="19">
                  <c:v>70.204572511977901</c:v>
                </c:pt>
                <c:pt idx="20">
                  <c:v>96.827184630018195</c:v>
                </c:pt>
                <c:pt idx="21">
                  <c:v>96.827184630018195</c:v>
                </c:pt>
                <c:pt idx="22">
                  <c:v>96.827184630018195</c:v>
                </c:pt>
                <c:pt idx="23">
                  <c:v>96.827184630018195</c:v>
                </c:pt>
                <c:pt idx="24">
                  <c:v>96.827184630018195</c:v>
                </c:pt>
                <c:pt idx="25">
                  <c:v>96.827184630018195</c:v>
                </c:pt>
                <c:pt idx="26">
                  <c:v>96.827184630018195</c:v>
                </c:pt>
                <c:pt idx="27">
                  <c:v>96.827184630018195</c:v>
                </c:pt>
                <c:pt idx="28">
                  <c:v>96.827184630018195</c:v>
                </c:pt>
                <c:pt idx="29">
                  <c:v>96.827184630018195</c:v>
                </c:pt>
                <c:pt idx="30">
                  <c:v>96.827184630018195</c:v>
                </c:pt>
                <c:pt idx="31">
                  <c:v>96.827184630018195</c:v>
                </c:pt>
                <c:pt idx="32">
                  <c:v>96.827184630018195</c:v>
                </c:pt>
                <c:pt idx="33">
                  <c:v>96.827184630018195</c:v>
                </c:pt>
                <c:pt idx="34">
                  <c:v>96.827184630018195</c:v>
                </c:pt>
                <c:pt idx="35">
                  <c:v>96.827184630018195</c:v>
                </c:pt>
                <c:pt idx="36">
                  <c:v>96.827184630018195</c:v>
                </c:pt>
                <c:pt idx="37">
                  <c:v>96.827184630018195</c:v>
                </c:pt>
                <c:pt idx="38">
                  <c:v>96.827184630018195</c:v>
                </c:pt>
                <c:pt idx="39">
                  <c:v>96.827184630018195</c:v>
                </c:pt>
                <c:pt idx="40">
                  <c:v>41.207470125498801</c:v>
                </c:pt>
                <c:pt idx="41">
                  <c:v>41.207470125498801</c:v>
                </c:pt>
                <c:pt idx="42">
                  <c:v>41.207470125498801</c:v>
                </c:pt>
                <c:pt idx="43">
                  <c:v>41.207470125498801</c:v>
                </c:pt>
                <c:pt idx="44">
                  <c:v>41.207470125498801</c:v>
                </c:pt>
                <c:pt idx="45">
                  <c:v>41.207470125498801</c:v>
                </c:pt>
                <c:pt idx="46">
                  <c:v>41.207470125498801</c:v>
                </c:pt>
                <c:pt idx="47">
                  <c:v>41.207470125498801</c:v>
                </c:pt>
                <c:pt idx="48">
                  <c:v>41.207470125498801</c:v>
                </c:pt>
                <c:pt idx="49">
                  <c:v>41.207470125498801</c:v>
                </c:pt>
                <c:pt idx="50">
                  <c:v>41.207470125498801</c:v>
                </c:pt>
                <c:pt idx="51">
                  <c:v>41.207470125498801</c:v>
                </c:pt>
                <c:pt idx="52">
                  <c:v>41.207470125498801</c:v>
                </c:pt>
                <c:pt idx="53">
                  <c:v>41.207470125498801</c:v>
                </c:pt>
                <c:pt idx="54">
                  <c:v>41.207470125498801</c:v>
                </c:pt>
                <c:pt idx="55">
                  <c:v>41.207470125498801</c:v>
                </c:pt>
                <c:pt idx="56">
                  <c:v>41.207470125498801</c:v>
                </c:pt>
                <c:pt idx="57">
                  <c:v>41.207470125498801</c:v>
                </c:pt>
                <c:pt idx="58">
                  <c:v>41.207470125498801</c:v>
                </c:pt>
                <c:pt idx="59">
                  <c:v>41.207470125498801</c:v>
                </c:pt>
                <c:pt idx="60">
                  <c:v>92.045246557088703</c:v>
                </c:pt>
                <c:pt idx="61">
                  <c:v>92.045246557088703</c:v>
                </c:pt>
                <c:pt idx="62">
                  <c:v>92.045246557088703</c:v>
                </c:pt>
                <c:pt idx="63">
                  <c:v>92.045246557088703</c:v>
                </c:pt>
                <c:pt idx="64">
                  <c:v>92.045246557088703</c:v>
                </c:pt>
                <c:pt idx="65">
                  <c:v>92.045246557088703</c:v>
                </c:pt>
                <c:pt idx="66">
                  <c:v>92.045246557088703</c:v>
                </c:pt>
                <c:pt idx="67">
                  <c:v>92.045246557088703</c:v>
                </c:pt>
                <c:pt idx="68">
                  <c:v>92.045246557088703</c:v>
                </c:pt>
                <c:pt idx="69">
                  <c:v>92.045246557088703</c:v>
                </c:pt>
                <c:pt idx="70">
                  <c:v>92.045246557088703</c:v>
                </c:pt>
                <c:pt idx="71">
                  <c:v>92.045246557088703</c:v>
                </c:pt>
                <c:pt idx="72">
                  <c:v>92.045246557088703</c:v>
                </c:pt>
                <c:pt idx="73">
                  <c:v>92.045246557088703</c:v>
                </c:pt>
                <c:pt idx="74">
                  <c:v>92.045246557088703</c:v>
                </c:pt>
                <c:pt idx="75">
                  <c:v>92.045246557088703</c:v>
                </c:pt>
                <c:pt idx="76">
                  <c:v>92.045246557088703</c:v>
                </c:pt>
                <c:pt idx="77">
                  <c:v>92.045246557088703</c:v>
                </c:pt>
                <c:pt idx="78">
                  <c:v>92.045246557088703</c:v>
                </c:pt>
                <c:pt idx="79">
                  <c:v>92.045246557088703</c:v>
                </c:pt>
                <c:pt idx="80">
                  <c:v>29.646147484181501</c:v>
                </c:pt>
                <c:pt idx="81">
                  <c:v>29.646147484181501</c:v>
                </c:pt>
                <c:pt idx="82">
                  <c:v>29.646147484181501</c:v>
                </c:pt>
                <c:pt idx="83">
                  <c:v>29.646147484181501</c:v>
                </c:pt>
                <c:pt idx="84">
                  <c:v>29.646147484181501</c:v>
                </c:pt>
                <c:pt idx="85">
                  <c:v>29.646147484181501</c:v>
                </c:pt>
                <c:pt idx="86">
                  <c:v>29.646147484181501</c:v>
                </c:pt>
                <c:pt idx="87">
                  <c:v>29.646147484181501</c:v>
                </c:pt>
                <c:pt idx="88">
                  <c:v>29.646147484181501</c:v>
                </c:pt>
                <c:pt idx="89">
                  <c:v>29.646147484181501</c:v>
                </c:pt>
                <c:pt idx="90">
                  <c:v>29.646147484181501</c:v>
                </c:pt>
                <c:pt idx="91">
                  <c:v>29.646147484181501</c:v>
                </c:pt>
                <c:pt idx="92">
                  <c:v>29.646147484181501</c:v>
                </c:pt>
                <c:pt idx="93">
                  <c:v>29.646147484181501</c:v>
                </c:pt>
                <c:pt idx="94">
                  <c:v>29.646147484181501</c:v>
                </c:pt>
                <c:pt idx="95">
                  <c:v>29.646147484181501</c:v>
                </c:pt>
                <c:pt idx="96">
                  <c:v>29.646147484181501</c:v>
                </c:pt>
                <c:pt idx="97">
                  <c:v>29.646147484181501</c:v>
                </c:pt>
                <c:pt idx="98">
                  <c:v>29.646147484181501</c:v>
                </c:pt>
                <c:pt idx="99">
                  <c:v>29.646147484181501</c:v>
                </c:pt>
                <c:pt idx="100">
                  <c:v>96.422517288635404</c:v>
                </c:pt>
                <c:pt idx="101">
                  <c:v>96.422517288635404</c:v>
                </c:pt>
                <c:pt idx="102">
                  <c:v>96.422517288635404</c:v>
                </c:pt>
                <c:pt idx="103">
                  <c:v>96.422517288635404</c:v>
                </c:pt>
                <c:pt idx="104">
                  <c:v>96.422517288635404</c:v>
                </c:pt>
                <c:pt idx="105">
                  <c:v>96.422517288635404</c:v>
                </c:pt>
                <c:pt idx="106">
                  <c:v>96.422517288635404</c:v>
                </c:pt>
                <c:pt idx="107">
                  <c:v>96.422517288635404</c:v>
                </c:pt>
                <c:pt idx="108">
                  <c:v>96.422517288635404</c:v>
                </c:pt>
                <c:pt idx="109">
                  <c:v>96.422517288635404</c:v>
                </c:pt>
                <c:pt idx="110">
                  <c:v>96.422517288635404</c:v>
                </c:pt>
                <c:pt idx="111">
                  <c:v>96.422517288635404</c:v>
                </c:pt>
                <c:pt idx="112">
                  <c:v>96.422517288635404</c:v>
                </c:pt>
                <c:pt idx="113">
                  <c:v>96.422517288635404</c:v>
                </c:pt>
                <c:pt idx="114">
                  <c:v>96.422517288635404</c:v>
                </c:pt>
                <c:pt idx="115">
                  <c:v>96.422517288635404</c:v>
                </c:pt>
                <c:pt idx="116">
                  <c:v>96.422517288635404</c:v>
                </c:pt>
                <c:pt idx="117">
                  <c:v>96.422517288635404</c:v>
                </c:pt>
                <c:pt idx="118">
                  <c:v>96.422517288635404</c:v>
                </c:pt>
                <c:pt idx="119">
                  <c:v>96.422517288635404</c:v>
                </c:pt>
                <c:pt idx="120">
                  <c:v>0.91242113782200496</c:v>
                </c:pt>
                <c:pt idx="121">
                  <c:v>0.91242113782200496</c:v>
                </c:pt>
                <c:pt idx="122">
                  <c:v>0.91242113782200496</c:v>
                </c:pt>
                <c:pt idx="123">
                  <c:v>0.91242113782200496</c:v>
                </c:pt>
                <c:pt idx="124">
                  <c:v>0.91242113782200496</c:v>
                </c:pt>
                <c:pt idx="125">
                  <c:v>0.91242113782200496</c:v>
                </c:pt>
                <c:pt idx="126">
                  <c:v>0.91242113782200496</c:v>
                </c:pt>
                <c:pt idx="127">
                  <c:v>0.91242113782200496</c:v>
                </c:pt>
                <c:pt idx="128">
                  <c:v>0.91242113782200496</c:v>
                </c:pt>
                <c:pt idx="129">
                  <c:v>0.91242113782200496</c:v>
                </c:pt>
                <c:pt idx="130">
                  <c:v>0.91242113782200496</c:v>
                </c:pt>
                <c:pt idx="131">
                  <c:v>0.91242113782200496</c:v>
                </c:pt>
                <c:pt idx="132">
                  <c:v>0.91242113782200496</c:v>
                </c:pt>
                <c:pt idx="133">
                  <c:v>0.91242113782200496</c:v>
                </c:pt>
                <c:pt idx="134">
                  <c:v>0.91242113782200496</c:v>
                </c:pt>
                <c:pt idx="135">
                  <c:v>0.91242113782200496</c:v>
                </c:pt>
                <c:pt idx="136">
                  <c:v>0.91242113782200496</c:v>
                </c:pt>
                <c:pt idx="137">
                  <c:v>0.91242113782200496</c:v>
                </c:pt>
                <c:pt idx="138">
                  <c:v>0.91242113782200496</c:v>
                </c:pt>
                <c:pt idx="139">
                  <c:v>0.91242113782200496</c:v>
                </c:pt>
                <c:pt idx="140">
                  <c:v>96.130496879090998</c:v>
                </c:pt>
                <c:pt idx="141">
                  <c:v>96.130496879090998</c:v>
                </c:pt>
                <c:pt idx="142">
                  <c:v>96.130496879090998</c:v>
                </c:pt>
                <c:pt idx="143">
                  <c:v>96.130496879090998</c:v>
                </c:pt>
                <c:pt idx="144">
                  <c:v>96.130496879090998</c:v>
                </c:pt>
                <c:pt idx="145">
                  <c:v>96.130496879090998</c:v>
                </c:pt>
                <c:pt idx="146">
                  <c:v>96.130496879090998</c:v>
                </c:pt>
                <c:pt idx="147">
                  <c:v>96.130496879090998</c:v>
                </c:pt>
                <c:pt idx="148">
                  <c:v>96.130496879090998</c:v>
                </c:pt>
                <c:pt idx="149">
                  <c:v>96.130496879090998</c:v>
                </c:pt>
                <c:pt idx="150">
                  <c:v>96.130496879090998</c:v>
                </c:pt>
                <c:pt idx="151">
                  <c:v>96.130496879090998</c:v>
                </c:pt>
                <c:pt idx="152">
                  <c:v>96.130496879090998</c:v>
                </c:pt>
                <c:pt idx="153">
                  <c:v>96.130496879090998</c:v>
                </c:pt>
                <c:pt idx="154">
                  <c:v>96.130496879090998</c:v>
                </c:pt>
                <c:pt idx="155">
                  <c:v>96.130496879090998</c:v>
                </c:pt>
                <c:pt idx="156">
                  <c:v>96.130496879090998</c:v>
                </c:pt>
                <c:pt idx="157">
                  <c:v>96.130496879090998</c:v>
                </c:pt>
                <c:pt idx="158">
                  <c:v>96.130496879090998</c:v>
                </c:pt>
                <c:pt idx="159">
                  <c:v>96.130496879090998</c:v>
                </c:pt>
                <c:pt idx="160">
                  <c:v>1.4562785593418901</c:v>
                </c:pt>
                <c:pt idx="161">
                  <c:v>1.4562785593418901</c:v>
                </c:pt>
                <c:pt idx="162">
                  <c:v>1.4562785593418901</c:v>
                </c:pt>
                <c:pt idx="163">
                  <c:v>1.4562785593418901</c:v>
                </c:pt>
                <c:pt idx="164">
                  <c:v>1.4562785593418901</c:v>
                </c:pt>
                <c:pt idx="165">
                  <c:v>1.4562785593418901</c:v>
                </c:pt>
                <c:pt idx="166">
                  <c:v>1.4562785593418901</c:v>
                </c:pt>
                <c:pt idx="167">
                  <c:v>1.4562785593418901</c:v>
                </c:pt>
                <c:pt idx="168">
                  <c:v>1.4562785593418901</c:v>
                </c:pt>
                <c:pt idx="169">
                  <c:v>1.4562785593418901</c:v>
                </c:pt>
                <c:pt idx="170">
                  <c:v>1.4562785593418901</c:v>
                </c:pt>
                <c:pt idx="171">
                  <c:v>1.4562785593418901</c:v>
                </c:pt>
                <c:pt idx="172">
                  <c:v>1.4562785593418901</c:v>
                </c:pt>
                <c:pt idx="173">
                  <c:v>1.4562785593418901</c:v>
                </c:pt>
                <c:pt idx="174">
                  <c:v>1.4562785593418901</c:v>
                </c:pt>
                <c:pt idx="175">
                  <c:v>1.4562785593418901</c:v>
                </c:pt>
                <c:pt idx="176">
                  <c:v>1.4562785593418901</c:v>
                </c:pt>
                <c:pt idx="177">
                  <c:v>1.4562785593418901</c:v>
                </c:pt>
                <c:pt idx="178">
                  <c:v>1.4562785593418901</c:v>
                </c:pt>
                <c:pt idx="179">
                  <c:v>1.4562785593418901</c:v>
                </c:pt>
                <c:pt idx="180">
                  <c:v>71.736705629173699</c:v>
                </c:pt>
                <c:pt idx="181">
                  <c:v>71.736705629173699</c:v>
                </c:pt>
                <c:pt idx="182">
                  <c:v>71.736705629173699</c:v>
                </c:pt>
                <c:pt idx="183">
                  <c:v>71.736705629173699</c:v>
                </c:pt>
                <c:pt idx="184">
                  <c:v>71.736705629173699</c:v>
                </c:pt>
                <c:pt idx="185">
                  <c:v>71.736705629173699</c:v>
                </c:pt>
                <c:pt idx="186">
                  <c:v>71.736705629173699</c:v>
                </c:pt>
                <c:pt idx="187">
                  <c:v>71.736705629173699</c:v>
                </c:pt>
                <c:pt idx="188">
                  <c:v>71.736705629173699</c:v>
                </c:pt>
                <c:pt idx="189">
                  <c:v>71.736705629173699</c:v>
                </c:pt>
                <c:pt idx="190">
                  <c:v>71.736705629173699</c:v>
                </c:pt>
                <c:pt idx="191">
                  <c:v>71.736705629173699</c:v>
                </c:pt>
                <c:pt idx="192">
                  <c:v>71.736705629173699</c:v>
                </c:pt>
                <c:pt idx="193">
                  <c:v>71.736705629173699</c:v>
                </c:pt>
                <c:pt idx="194">
                  <c:v>71.736705629173699</c:v>
                </c:pt>
                <c:pt idx="195">
                  <c:v>71.736705629173699</c:v>
                </c:pt>
                <c:pt idx="196">
                  <c:v>71.736705629173699</c:v>
                </c:pt>
                <c:pt idx="197">
                  <c:v>71.736705629173699</c:v>
                </c:pt>
                <c:pt idx="198">
                  <c:v>71.736705629173699</c:v>
                </c:pt>
                <c:pt idx="199">
                  <c:v>71.736705629173699</c:v>
                </c:pt>
                <c:pt idx="200">
                  <c:v>85.100034079664397</c:v>
                </c:pt>
              </c:numCache>
            </c:numRef>
          </c:yVal>
          <c:smooth val="1"/>
          <c:extLst>
            <c:ext xmlns:c16="http://schemas.microsoft.com/office/drawing/2014/chart" uri="{C3380CC4-5D6E-409C-BE32-E72D297353CC}">
              <c16:uniqueId val="{00000000-9969-4E5E-8D27-AEB48F7482E5}"/>
            </c:ext>
          </c:extLst>
        </c:ser>
        <c:ser>
          <c:idx val="1"/>
          <c:order val="1"/>
          <c:tx>
            <c:strRef>
              <c:f>HW1_P4!$C$1</c:f>
              <c:strCache>
                <c:ptCount val="1"/>
                <c:pt idx="0">
                  <c:v>Heater 2</c:v>
                </c:pt>
              </c:strCache>
            </c:strRef>
          </c:tx>
          <c:spPr>
            <a:ln w="9525" cap="rnd">
              <a:solidFill>
                <a:schemeClr val="dk1">
                  <a:tint val="55000"/>
                </a:schemeClr>
              </a:solidFill>
              <a:round/>
            </a:ln>
            <a:effectLst/>
          </c:spPr>
          <c:marker>
            <c:symbol val="circle"/>
            <c:size val="5"/>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HW1_P4!$C$2:$C$202</c:f>
              <c:numCache>
                <c:formatCode>0.00E+00</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75.750123756706103</c:v>
                </c:pt>
                <c:pt idx="51">
                  <c:v>75.750123756706103</c:v>
                </c:pt>
                <c:pt idx="52">
                  <c:v>75.750123756706103</c:v>
                </c:pt>
                <c:pt idx="53">
                  <c:v>75.750123756706103</c:v>
                </c:pt>
                <c:pt idx="54">
                  <c:v>75.750123756706103</c:v>
                </c:pt>
                <c:pt idx="55">
                  <c:v>75.750123756706103</c:v>
                </c:pt>
                <c:pt idx="56">
                  <c:v>75.750123756706103</c:v>
                </c:pt>
                <c:pt idx="57">
                  <c:v>75.750123756706103</c:v>
                </c:pt>
                <c:pt idx="58">
                  <c:v>75.750123756706103</c:v>
                </c:pt>
                <c:pt idx="59">
                  <c:v>75.750123756706103</c:v>
                </c:pt>
                <c:pt idx="60">
                  <c:v>75.750123756706103</c:v>
                </c:pt>
                <c:pt idx="61">
                  <c:v>75.750123756706103</c:v>
                </c:pt>
                <c:pt idx="62">
                  <c:v>75.750123756706103</c:v>
                </c:pt>
                <c:pt idx="63">
                  <c:v>75.750123756706103</c:v>
                </c:pt>
                <c:pt idx="64">
                  <c:v>75.750123756706103</c:v>
                </c:pt>
                <c:pt idx="65">
                  <c:v>75.750123756706103</c:v>
                </c:pt>
                <c:pt idx="66">
                  <c:v>75.750123756706103</c:v>
                </c:pt>
                <c:pt idx="67">
                  <c:v>75.750123756706103</c:v>
                </c:pt>
                <c:pt idx="68">
                  <c:v>75.750123756706103</c:v>
                </c:pt>
                <c:pt idx="69">
                  <c:v>75.750123756706103</c:v>
                </c:pt>
                <c:pt idx="70">
                  <c:v>48.840347575990101</c:v>
                </c:pt>
                <c:pt idx="71">
                  <c:v>48.840347575990101</c:v>
                </c:pt>
                <c:pt idx="72">
                  <c:v>48.840347575990101</c:v>
                </c:pt>
                <c:pt idx="73">
                  <c:v>48.840347575990101</c:v>
                </c:pt>
                <c:pt idx="74">
                  <c:v>48.840347575990101</c:v>
                </c:pt>
                <c:pt idx="75">
                  <c:v>48.840347575990101</c:v>
                </c:pt>
                <c:pt idx="76">
                  <c:v>48.840347575990101</c:v>
                </c:pt>
                <c:pt idx="77">
                  <c:v>48.840347575990101</c:v>
                </c:pt>
                <c:pt idx="78">
                  <c:v>48.840347575990101</c:v>
                </c:pt>
                <c:pt idx="79">
                  <c:v>48.840347575990101</c:v>
                </c:pt>
                <c:pt idx="80">
                  <c:v>48.840347575990101</c:v>
                </c:pt>
                <c:pt idx="81">
                  <c:v>48.840347575990101</c:v>
                </c:pt>
                <c:pt idx="82">
                  <c:v>48.840347575990101</c:v>
                </c:pt>
                <c:pt idx="83">
                  <c:v>48.840347575990101</c:v>
                </c:pt>
                <c:pt idx="84">
                  <c:v>48.840347575990101</c:v>
                </c:pt>
                <c:pt idx="85">
                  <c:v>48.840347575990101</c:v>
                </c:pt>
                <c:pt idx="86">
                  <c:v>48.840347575990101</c:v>
                </c:pt>
                <c:pt idx="87">
                  <c:v>48.840347575990101</c:v>
                </c:pt>
                <c:pt idx="88">
                  <c:v>48.840347575990101</c:v>
                </c:pt>
                <c:pt idx="89">
                  <c:v>48.840347575990101</c:v>
                </c:pt>
                <c:pt idx="90">
                  <c:v>76.807626469902402</c:v>
                </c:pt>
                <c:pt idx="91">
                  <c:v>76.807626469902402</c:v>
                </c:pt>
                <c:pt idx="92">
                  <c:v>76.807626469902402</c:v>
                </c:pt>
                <c:pt idx="93">
                  <c:v>76.807626469902402</c:v>
                </c:pt>
                <c:pt idx="94">
                  <c:v>76.807626469902402</c:v>
                </c:pt>
                <c:pt idx="95">
                  <c:v>76.807626469902402</c:v>
                </c:pt>
                <c:pt idx="96">
                  <c:v>76.807626469902402</c:v>
                </c:pt>
                <c:pt idx="97">
                  <c:v>76.807626469902402</c:v>
                </c:pt>
                <c:pt idx="98">
                  <c:v>76.807626469902402</c:v>
                </c:pt>
                <c:pt idx="99">
                  <c:v>76.807626469902402</c:v>
                </c:pt>
                <c:pt idx="100">
                  <c:v>76.807626469902402</c:v>
                </c:pt>
                <c:pt idx="101">
                  <c:v>76.807626469902402</c:v>
                </c:pt>
                <c:pt idx="102">
                  <c:v>76.807626469902402</c:v>
                </c:pt>
                <c:pt idx="103">
                  <c:v>76.807626469902402</c:v>
                </c:pt>
                <c:pt idx="104">
                  <c:v>76.807626469902402</c:v>
                </c:pt>
                <c:pt idx="105">
                  <c:v>76.807626469902402</c:v>
                </c:pt>
                <c:pt idx="106">
                  <c:v>76.807626469902402</c:v>
                </c:pt>
                <c:pt idx="107">
                  <c:v>76.807626469902402</c:v>
                </c:pt>
                <c:pt idx="108">
                  <c:v>76.807626469902402</c:v>
                </c:pt>
                <c:pt idx="109">
                  <c:v>76.807626469902402</c:v>
                </c:pt>
                <c:pt idx="110">
                  <c:v>52.622060539459603</c:v>
                </c:pt>
                <c:pt idx="111">
                  <c:v>52.622060539459603</c:v>
                </c:pt>
                <c:pt idx="112">
                  <c:v>52.622060539459603</c:v>
                </c:pt>
                <c:pt idx="113">
                  <c:v>52.622060539459603</c:v>
                </c:pt>
                <c:pt idx="114">
                  <c:v>52.622060539459603</c:v>
                </c:pt>
                <c:pt idx="115">
                  <c:v>52.622060539459603</c:v>
                </c:pt>
                <c:pt idx="116">
                  <c:v>52.622060539459603</c:v>
                </c:pt>
                <c:pt idx="117">
                  <c:v>52.622060539459603</c:v>
                </c:pt>
                <c:pt idx="118">
                  <c:v>52.622060539459603</c:v>
                </c:pt>
                <c:pt idx="119">
                  <c:v>52.622060539459603</c:v>
                </c:pt>
                <c:pt idx="120">
                  <c:v>52.622060539459603</c:v>
                </c:pt>
                <c:pt idx="121">
                  <c:v>52.622060539459603</c:v>
                </c:pt>
                <c:pt idx="122">
                  <c:v>52.622060539459603</c:v>
                </c:pt>
                <c:pt idx="123">
                  <c:v>52.622060539459603</c:v>
                </c:pt>
                <c:pt idx="124">
                  <c:v>52.622060539459603</c:v>
                </c:pt>
                <c:pt idx="125">
                  <c:v>52.622060539459603</c:v>
                </c:pt>
                <c:pt idx="126">
                  <c:v>52.622060539459603</c:v>
                </c:pt>
                <c:pt idx="127">
                  <c:v>52.622060539459603</c:v>
                </c:pt>
                <c:pt idx="128">
                  <c:v>52.622060539459603</c:v>
                </c:pt>
                <c:pt idx="129">
                  <c:v>52.622060539459603</c:v>
                </c:pt>
                <c:pt idx="130">
                  <c:v>14.628026515038201</c:v>
                </c:pt>
                <c:pt idx="131">
                  <c:v>14.628026515038201</c:v>
                </c:pt>
                <c:pt idx="132">
                  <c:v>14.628026515038201</c:v>
                </c:pt>
                <c:pt idx="133">
                  <c:v>14.628026515038201</c:v>
                </c:pt>
                <c:pt idx="134">
                  <c:v>14.628026515038201</c:v>
                </c:pt>
                <c:pt idx="135">
                  <c:v>14.628026515038201</c:v>
                </c:pt>
                <c:pt idx="136">
                  <c:v>14.628026515038201</c:v>
                </c:pt>
                <c:pt idx="137">
                  <c:v>14.628026515038201</c:v>
                </c:pt>
                <c:pt idx="138">
                  <c:v>14.628026515038201</c:v>
                </c:pt>
                <c:pt idx="139">
                  <c:v>14.628026515038201</c:v>
                </c:pt>
                <c:pt idx="140">
                  <c:v>14.628026515038201</c:v>
                </c:pt>
                <c:pt idx="141">
                  <c:v>14.628026515038201</c:v>
                </c:pt>
                <c:pt idx="142">
                  <c:v>14.628026515038201</c:v>
                </c:pt>
                <c:pt idx="143">
                  <c:v>14.628026515038201</c:v>
                </c:pt>
                <c:pt idx="144">
                  <c:v>14.628026515038201</c:v>
                </c:pt>
                <c:pt idx="145">
                  <c:v>14.628026515038201</c:v>
                </c:pt>
                <c:pt idx="146">
                  <c:v>14.628026515038201</c:v>
                </c:pt>
                <c:pt idx="147">
                  <c:v>14.628026515038201</c:v>
                </c:pt>
                <c:pt idx="148">
                  <c:v>14.628026515038201</c:v>
                </c:pt>
                <c:pt idx="149">
                  <c:v>14.628026515038201</c:v>
                </c:pt>
                <c:pt idx="150">
                  <c:v>10.463869174811199</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54.919994293643299</c:v>
                </c:pt>
              </c:numCache>
            </c:numRef>
          </c:yVal>
          <c:smooth val="1"/>
          <c:extLst>
            <c:ext xmlns:c16="http://schemas.microsoft.com/office/drawing/2014/chart" uri="{C3380CC4-5D6E-409C-BE32-E72D297353CC}">
              <c16:uniqueId val="{00000001-9969-4E5E-8D27-AEB48F7482E5}"/>
            </c:ext>
          </c:extLst>
        </c:ser>
        <c:dLbls>
          <c:showLegendKey val="0"/>
          <c:showVal val="0"/>
          <c:showCatName val="0"/>
          <c:showSerName val="0"/>
          <c:showPercent val="0"/>
          <c:showBubbleSize val="0"/>
        </c:dLbls>
        <c:axId val="604135064"/>
        <c:axId val="604138016"/>
      </c:scatterChart>
      <c:valAx>
        <c:axId val="6041350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8016"/>
        <c:crosses val="autoZero"/>
        <c:crossBetween val="midCat"/>
      </c:valAx>
      <c:valAx>
        <c:axId val="604138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Change</a:t>
                </a:r>
                <a:r>
                  <a:rPr lang="en-US" baseline="0"/>
                  <a:t> In Heater(s)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5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266700</xdr:colOff>
      <xdr:row>9</xdr:row>
      <xdr:rowOff>137160</xdr:rowOff>
    </xdr:from>
    <xdr:ext cx="4495800" cy="1642373"/>
    <xdr:sp macro="" textlink="">
      <xdr:nvSpPr>
        <xdr:cNvPr id="2" name="TextBox 1">
          <a:extLst>
            <a:ext uri="{FF2B5EF4-FFF2-40B4-BE49-F238E27FC236}">
              <a16:creationId xmlns:a16="http://schemas.microsoft.com/office/drawing/2014/main" id="{864174F4-D10C-46BB-A8FB-3008722A4A37}"/>
            </a:ext>
          </a:extLst>
        </xdr:cNvPr>
        <xdr:cNvSpPr txBox="1"/>
      </xdr:nvSpPr>
      <xdr:spPr>
        <a:xfrm>
          <a:off x="266700" y="1826812"/>
          <a:ext cx="449580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 used the knowledge</a:t>
          </a:r>
          <a:r>
            <a:rPr lang="en-US" sz="1100" baseline="0"/>
            <a:t> of giving the quantities names, to easily solve this problem, knowing about that trick made it very easy and convenient to answer this question, without refering to different boxes that were just values now I can type in the symbols and achieve the correct answer.</a:t>
          </a:r>
        </a:p>
        <a:p>
          <a:r>
            <a:rPr lang="en-US" sz="1100" baseline="0"/>
            <a:t>Yes the skills are very useful I will now be using the ability to define a value as a work or letter from now on.  And coloring to help highlight what was given and what was calculated.Videos 1,2, and 3 were all applicable, and very useful for doing things quick and efficiently. </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554182</xdr:colOff>
      <xdr:row>32</xdr:row>
      <xdr:rowOff>115453</xdr:rowOff>
    </xdr:from>
    <xdr:ext cx="7273636" cy="1125693"/>
    <xdr:sp macro="" textlink="">
      <xdr:nvSpPr>
        <xdr:cNvPr id="9" name="TextBox 8">
          <a:extLst>
            <a:ext uri="{FF2B5EF4-FFF2-40B4-BE49-F238E27FC236}">
              <a16:creationId xmlns:a16="http://schemas.microsoft.com/office/drawing/2014/main" id="{1B448EF2-BDEF-418F-BE63-29480DB0BABA}"/>
            </a:ext>
          </a:extLst>
        </xdr:cNvPr>
        <xdr:cNvSpPr txBox="1"/>
      </xdr:nvSpPr>
      <xdr:spPr>
        <a:xfrm>
          <a:off x="554182" y="6026726"/>
          <a:ext cx="7273636"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 used the different coloring and gradient style</a:t>
          </a:r>
          <a:r>
            <a:rPr lang="en-US" sz="1100" baseline="0"/>
            <a:t> options to display the values that would be acceptable, and the use of the dollar sign was very helpful in the setting up of this problem made it go much faster, The coloring was very helpful for easily seeing visually which acceptable pressures there were given certain volumes/temperatures. The use of being able to name all of the important elements was nice again for convenience, and setting up the answers to this question. And the ability to click lower than and great than a certain value and highlight those answers was very nice for showing which of the values were acceptable without having to go through and click them all.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33114</xdr:colOff>
      <xdr:row>1</xdr:row>
      <xdr:rowOff>170839</xdr:rowOff>
    </xdr:from>
    <xdr:to>
      <xdr:col>26</xdr:col>
      <xdr:colOff>512891</xdr:colOff>
      <xdr:row>33</xdr:row>
      <xdr:rowOff>6774</xdr:rowOff>
    </xdr:to>
    <xdr:graphicFrame macro="">
      <xdr:nvGraphicFramePr>
        <xdr:cNvPr id="2" name="Chart 1">
          <a:extLst>
            <a:ext uri="{FF2B5EF4-FFF2-40B4-BE49-F238E27FC236}">
              <a16:creationId xmlns:a16="http://schemas.microsoft.com/office/drawing/2014/main" id="{509A644E-3EC9-4179-818A-C317D202E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4704</xdr:colOff>
      <xdr:row>35</xdr:row>
      <xdr:rowOff>164630</xdr:rowOff>
    </xdr:from>
    <xdr:to>
      <xdr:col>27</xdr:col>
      <xdr:colOff>178741</xdr:colOff>
      <xdr:row>68</xdr:row>
      <xdr:rowOff>94075</xdr:rowOff>
    </xdr:to>
    <xdr:graphicFrame macro="">
      <xdr:nvGraphicFramePr>
        <xdr:cNvPr id="3" name="Chart 2">
          <a:extLst>
            <a:ext uri="{FF2B5EF4-FFF2-40B4-BE49-F238E27FC236}">
              <a16:creationId xmlns:a16="http://schemas.microsoft.com/office/drawing/2014/main" id="{0AE0BF92-B55C-48FC-A2D8-FA7DC2F89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11207</xdr:colOff>
      <xdr:row>36</xdr:row>
      <xdr:rowOff>1</xdr:rowOff>
    </xdr:from>
    <xdr:to>
      <xdr:col>27</xdr:col>
      <xdr:colOff>473676</xdr:colOff>
      <xdr:row>110</xdr:row>
      <xdr:rowOff>8718</xdr:rowOff>
    </xdr:to>
    <xdr:graphicFrame macro="">
      <xdr:nvGraphicFramePr>
        <xdr:cNvPr id="5" name="Chart 4">
          <a:extLst>
            <a:ext uri="{FF2B5EF4-FFF2-40B4-BE49-F238E27FC236}">
              <a16:creationId xmlns:a16="http://schemas.microsoft.com/office/drawing/2014/main" id="{7F4DF07C-C4B9-43E3-9E9D-35FB7E767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91440</xdr:colOff>
      <xdr:row>0</xdr:row>
      <xdr:rowOff>30480</xdr:rowOff>
    </xdr:from>
    <xdr:to>
      <xdr:col>30</xdr:col>
      <xdr:colOff>225381</xdr:colOff>
      <xdr:row>32</xdr:row>
      <xdr:rowOff>125660</xdr:rowOff>
    </xdr:to>
    <xdr:graphicFrame macro="">
      <xdr:nvGraphicFramePr>
        <xdr:cNvPr id="2" name="Chart 1">
          <a:extLst>
            <a:ext uri="{FF2B5EF4-FFF2-40B4-BE49-F238E27FC236}">
              <a16:creationId xmlns:a16="http://schemas.microsoft.com/office/drawing/2014/main" id="{11D8A90E-0A56-4CF9-94F1-9214D87E7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0</xdr:rowOff>
    </xdr:from>
    <xdr:to>
      <xdr:col>29</xdr:col>
      <xdr:colOff>513698</xdr:colOff>
      <xdr:row>75</xdr:row>
      <xdr:rowOff>163908</xdr:rowOff>
    </xdr:to>
    <xdr:graphicFrame macro="">
      <xdr:nvGraphicFramePr>
        <xdr:cNvPr id="3" name="Chart 2">
          <a:extLst>
            <a:ext uri="{FF2B5EF4-FFF2-40B4-BE49-F238E27FC236}">
              <a16:creationId xmlns:a16="http://schemas.microsoft.com/office/drawing/2014/main" id="{D642B60B-EBB1-4A33-9087-C2B8F2FF1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30</xdr:col>
      <xdr:colOff>318654</xdr:colOff>
      <xdr:row>2</xdr:row>
      <xdr:rowOff>180108</xdr:rowOff>
    </xdr:from>
    <xdr:ext cx="9947564" cy="6262256"/>
    <xdr:sp macro="" textlink="">
      <xdr:nvSpPr>
        <xdr:cNvPr id="4" name="TextBox 3">
          <a:extLst>
            <a:ext uri="{FF2B5EF4-FFF2-40B4-BE49-F238E27FC236}">
              <a16:creationId xmlns:a16="http://schemas.microsoft.com/office/drawing/2014/main" id="{2F46CD56-7CF6-434F-95E6-540F635E1A90}"/>
            </a:ext>
          </a:extLst>
        </xdr:cNvPr>
        <xdr:cNvSpPr txBox="1"/>
      </xdr:nvSpPr>
      <xdr:spPr>
        <a:xfrm>
          <a:off x="18606654" y="748144"/>
          <a:ext cx="9947564" cy="62622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a:t>Personally i like to take PDF of the Excel tables</a:t>
          </a:r>
          <a:r>
            <a:rPr lang="en-US" sz="1800" baseline="0"/>
            <a:t> ,and graphs so that they can easily be used for a wide</a:t>
          </a:r>
        </a:p>
        <a:p>
          <a:r>
            <a:rPr lang="en-US" sz="1800" baseline="0"/>
            <a:t>variety of presentation tools. So I would take PDF's of all the tables, and graphs, that were used in the </a:t>
          </a:r>
        </a:p>
        <a:p>
          <a:r>
            <a:rPr lang="en-US" sz="1800" baseline="0"/>
            <a:t>excel file(s) and then use them in a power point presentation so that they could be easily placed into a</a:t>
          </a:r>
        </a:p>
        <a:p>
          <a:r>
            <a:rPr lang="en-US" sz="1800" baseline="0"/>
            <a:t>PowerPoint presentation. By making them PDF you can also very easily and conveniently place them in </a:t>
          </a:r>
        </a:p>
        <a:p>
          <a:r>
            <a:rPr lang="en-US" sz="1800" baseline="0"/>
            <a:t>document as well depending on wether you were making a PoiwerPoint or a Document the use of a </a:t>
          </a:r>
        </a:p>
        <a:p>
          <a:r>
            <a:rPr lang="en-US" sz="1800" baseline="0"/>
            <a:t>PDF is wide, and very easy to deal with in almost every presentation or document software. Sometimes </a:t>
          </a:r>
        </a:p>
        <a:p>
          <a:r>
            <a:rPr lang="en-US" sz="1800" baseline="0"/>
            <a:t>things can get messy or not work as intended if you try to export the Excel document as a XLS instead </a:t>
          </a:r>
        </a:p>
        <a:p>
          <a:r>
            <a:rPr lang="en-US" sz="1800" baseline="0"/>
            <a:t>of a PDF, although still is doable. </a:t>
          </a:r>
          <a:endParaRPr lang="en-US" sz="18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62204</xdr:colOff>
      <xdr:row>1</xdr:row>
      <xdr:rowOff>93306</xdr:rowOff>
    </xdr:from>
    <xdr:to>
      <xdr:col>37</xdr:col>
      <xdr:colOff>513183</xdr:colOff>
      <xdr:row>30</xdr:row>
      <xdr:rowOff>0</xdr:rowOff>
    </xdr:to>
    <xdr:graphicFrame macro="">
      <xdr:nvGraphicFramePr>
        <xdr:cNvPr id="2" name="Chart 1">
          <a:extLst>
            <a:ext uri="{FF2B5EF4-FFF2-40B4-BE49-F238E27FC236}">
              <a16:creationId xmlns:a16="http://schemas.microsoft.com/office/drawing/2014/main" id="{7DCE4C54-1448-4532-A944-4A2DCA04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149956</xdr:colOff>
      <xdr:row>1</xdr:row>
      <xdr:rowOff>89986</xdr:rowOff>
    </xdr:from>
    <xdr:to>
      <xdr:col>20</xdr:col>
      <xdr:colOff>77754</xdr:colOff>
      <xdr:row>30</xdr:row>
      <xdr:rowOff>139960</xdr:rowOff>
    </xdr:to>
    <xdr:graphicFrame macro="">
      <xdr:nvGraphicFramePr>
        <xdr:cNvPr id="3" name="Chart 2">
          <a:extLst>
            <a:ext uri="{FF2B5EF4-FFF2-40B4-BE49-F238E27FC236}">
              <a16:creationId xmlns:a16="http://schemas.microsoft.com/office/drawing/2014/main" id="{8D9F4675-78B6-4CCC-8820-19008A5DD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606489</xdr:colOff>
      <xdr:row>42</xdr:row>
      <xdr:rowOff>0</xdr:rowOff>
    </xdr:from>
    <xdr:to>
      <xdr:col>26</xdr:col>
      <xdr:colOff>435427</xdr:colOff>
      <xdr:row>71</xdr:row>
      <xdr:rowOff>49974</xdr:rowOff>
    </xdr:to>
    <xdr:graphicFrame macro="">
      <xdr:nvGraphicFramePr>
        <xdr:cNvPr id="4" name="Chart 3">
          <a:extLst>
            <a:ext uri="{FF2B5EF4-FFF2-40B4-BE49-F238E27FC236}">
              <a16:creationId xmlns:a16="http://schemas.microsoft.com/office/drawing/2014/main" id="{9FD54506-0C56-43AA-A4B6-17D2E4C76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590939</xdr:colOff>
      <xdr:row>71</xdr:row>
      <xdr:rowOff>15551</xdr:rowOff>
    </xdr:from>
    <xdr:to>
      <xdr:col>26</xdr:col>
      <xdr:colOff>217714</xdr:colOff>
      <xdr:row>100</xdr:row>
      <xdr:rowOff>93307</xdr:rowOff>
    </xdr:to>
    <xdr:graphicFrame macro="">
      <xdr:nvGraphicFramePr>
        <xdr:cNvPr id="5" name="Chart 4">
          <a:extLst>
            <a:ext uri="{FF2B5EF4-FFF2-40B4-BE49-F238E27FC236}">
              <a16:creationId xmlns:a16="http://schemas.microsoft.com/office/drawing/2014/main" id="{F0843F4E-C662-4C84-B709-47E01C74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clab" connectionId="1" xr16:uid="{0A11EF64-7511-45B3-99A6-FB708E5EA49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B4C6E7"/>
      </a:accent1>
      <a:accent2>
        <a:srgbClr val="8EAADB"/>
      </a:accent2>
      <a:accent3>
        <a:srgbClr val="2F5496"/>
      </a:accent3>
      <a:accent4>
        <a:srgbClr val="C5E0B3"/>
      </a:accent4>
      <a:accent5>
        <a:srgbClr val="A8D08D"/>
      </a:accent5>
      <a:accent6>
        <a:srgbClr val="53813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8BC9-F839-44CC-8DED-6DDEEB8961E8}">
  <dimension ref="B1:G9"/>
  <sheetViews>
    <sheetView zoomScale="69" workbookViewId="0">
      <selection activeCell="J7" sqref="J7"/>
    </sheetView>
  </sheetViews>
  <sheetFormatPr defaultRowHeight="14.4" x14ac:dyDescent="0.3"/>
  <cols>
    <col min="2" max="2" width="21.109375" customWidth="1"/>
    <col min="3" max="3" width="11.33203125" customWidth="1"/>
    <col min="5" max="5" width="17.21875" customWidth="1"/>
    <col min="6" max="6" width="21.33203125" customWidth="1"/>
    <col min="7" max="7" width="10.77734375" customWidth="1"/>
  </cols>
  <sheetData>
    <row r="1" spans="2:7" x14ac:dyDescent="0.3">
      <c r="B1" s="44" t="s">
        <v>92</v>
      </c>
      <c r="C1" s="38"/>
      <c r="E1" s="43" t="s">
        <v>93</v>
      </c>
      <c r="F1" s="39"/>
    </row>
    <row r="2" spans="2:7" x14ac:dyDescent="0.3">
      <c r="B2" s="45" t="s">
        <v>1</v>
      </c>
      <c r="C2" s="38">
        <f>9.79*10^-4</f>
        <v>9.7900000000000005E-4</v>
      </c>
      <c r="D2" t="s">
        <v>94</v>
      </c>
      <c r="E2" s="42" t="s">
        <v>8</v>
      </c>
      <c r="F2" s="41">
        <f>mu*cp/k</f>
        <v>6.8090183028286191</v>
      </c>
    </row>
    <row r="3" spans="2:7" x14ac:dyDescent="0.3">
      <c r="B3" s="45" t="s">
        <v>2</v>
      </c>
      <c r="C3" s="38">
        <f>998</f>
        <v>998</v>
      </c>
      <c r="D3" t="s">
        <v>95</v>
      </c>
      <c r="E3" s="42" t="s">
        <v>9</v>
      </c>
      <c r="F3" s="41">
        <f>(rho*L*v)/mu</f>
        <v>2956281.9203268639</v>
      </c>
    </row>
    <row r="4" spans="2:7" x14ac:dyDescent="0.3">
      <c r="B4" s="45" t="s">
        <v>0</v>
      </c>
      <c r="C4" s="38">
        <f>0.601</f>
        <v>0.60099999999999998</v>
      </c>
      <c r="D4" t="s">
        <v>96</v>
      </c>
      <c r="E4" s="42" t="s">
        <v>10</v>
      </c>
      <c r="F4" s="41">
        <f>0.332*((Pr^1/3))*(Re^1/2)</f>
        <v>1113825.5662784248</v>
      </c>
    </row>
    <row r="5" spans="2:7" x14ac:dyDescent="0.3">
      <c r="B5" s="45" t="s">
        <v>3</v>
      </c>
      <c r="C5" s="38">
        <f>4.18*10^3</f>
        <v>4180</v>
      </c>
      <c r="D5" t="s">
        <v>97</v>
      </c>
      <c r="E5" s="42"/>
      <c r="F5" s="41"/>
    </row>
    <row r="6" spans="2:7" x14ac:dyDescent="0.3">
      <c r="B6" s="45" t="s">
        <v>4</v>
      </c>
      <c r="C6" s="38">
        <f>2</f>
        <v>2</v>
      </c>
      <c r="D6" t="s">
        <v>98</v>
      </c>
      <c r="E6" s="42" t="s">
        <v>11</v>
      </c>
      <c r="F6" s="41">
        <f>(Nu*k)/L</f>
        <v>334704.58266666665</v>
      </c>
      <c r="G6" s="39" t="s">
        <v>101</v>
      </c>
    </row>
    <row r="7" spans="2:7" x14ac:dyDescent="0.3">
      <c r="B7" s="45" t="s">
        <v>6</v>
      </c>
      <c r="C7" s="38">
        <f xml:space="preserve"> 343</f>
        <v>343</v>
      </c>
      <c r="D7" t="s">
        <v>99</v>
      </c>
      <c r="E7" s="42" t="s">
        <v>13</v>
      </c>
      <c r="F7" s="41">
        <f>T_1-T_2</f>
        <v>49</v>
      </c>
      <c r="G7" s="39" t="s">
        <v>99</v>
      </c>
    </row>
    <row r="8" spans="2:7" x14ac:dyDescent="0.3">
      <c r="B8" s="45" t="s">
        <v>7</v>
      </c>
      <c r="C8" s="38">
        <f>294</f>
        <v>294</v>
      </c>
      <c r="D8" t="s">
        <v>99</v>
      </c>
      <c r="E8" s="42" t="s">
        <v>12</v>
      </c>
      <c r="F8" s="41">
        <f>Delta_T*h</f>
        <v>16400524.550666666</v>
      </c>
      <c r="G8" s="39" t="s">
        <v>102</v>
      </c>
    </row>
    <row r="9" spans="2:7" x14ac:dyDescent="0.3">
      <c r="B9" s="45" t="s">
        <v>5</v>
      </c>
      <c r="C9" s="38">
        <f>1.45</f>
        <v>1.45</v>
      </c>
      <c r="D9" t="s">
        <v>100</v>
      </c>
      <c r="E9" s="39"/>
      <c r="F9" s="3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8783-BE3B-4621-80A5-CAFE19EF61F4}">
  <dimension ref="A1:V32"/>
  <sheetViews>
    <sheetView zoomScale="66" zoomScaleNormal="74" workbookViewId="0">
      <selection activeCell="H5" sqref="H5"/>
    </sheetView>
  </sheetViews>
  <sheetFormatPr defaultRowHeight="14.4" x14ac:dyDescent="0.3"/>
  <cols>
    <col min="1" max="1" width="19.109375" customWidth="1"/>
    <col min="2" max="2" width="40.88671875" customWidth="1"/>
    <col min="3" max="3" width="17.5546875" customWidth="1"/>
    <col min="5" max="5" width="10.88671875" customWidth="1"/>
    <col min="6" max="6" width="11.77734375" bestFit="1" customWidth="1"/>
    <col min="7" max="7" width="11.77734375" customWidth="1"/>
  </cols>
  <sheetData>
    <row r="1" spans="1:22" x14ac:dyDescent="0.3">
      <c r="A1" s="49" t="s">
        <v>15</v>
      </c>
    </row>
    <row r="2" spans="1:22" x14ac:dyDescent="0.3">
      <c r="B2" s="46" t="s">
        <v>17</v>
      </c>
      <c r="C2" s="48">
        <f>298.15</f>
        <v>298.14999999999998</v>
      </c>
      <c r="D2" s="47" t="s">
        <v>99</v>
      </c>
    </row>
    <row r="3" spans="1:22" x14ac:dyDescent="0.3">
      <c r="B3" s="46" t="s">
        <v>18</v>
      </c>
      <c r="C3" s="48">
        <f>1.25</f>
        <v>1.25</v>
      </c>
      <c r="D3" s="47" t="s">
        <v>103</v>
      </c>
    </row>
    <row r="4" spans="1:22" x14ac:dyDescent="0.3">
      <c r="B4" s="46" t="s">
        <v>19</v>
      </c>
      <c r="C4" s="48">
        <f>4000</f>
        <v>4000</v>
      </c>
      <c r="D4" s="47" t="s">
        <v>104</v>
      </c>
    </row>
    <row r="5" spans="1:22" x14ac:dyDescent="0.3">
      <c r="B5" s="46" t="s">
        <v>20</v>
      </c>
      <c r="C5" s="48">
        <f>0.0821</f>
        <v>8.2100000000000006E-2</v>
      </c>
      <c r="D5" s="47"/>
    </row>
    <row r="6" spans="1:22" x14ac:dyDescent="0.3">
      <c r="B6" s="46" t="s">
        <v>16</v>
      </c>
      <c r="C6" s="48">
        <f>P1_N2*V1_N2/(R_N2*T1_N2)</f>
        <v>204.26409468212728</v>
      </c>
      <c r="D6" s="47" t="s">
        <v>105</v>
      </c>
    </row>
    <row r="7" spans="1:22" x14ac:dyDescent="0.3">
      <c r="B7" s="47"/>
      <c r="C7" s="48"/>
      <c r="D7" s="47"/>
      <c r="E7" s="5" t="s">
        <v>14</v>
      </c>
      <c r="F7" s="5" t="s">
        <v>25</v>
      </c>
      <c r="G7" s="5" t="s">
        <v>26</v>
      </c>
    </row>
    <row r="8" spans="1:22" x14ac:dyDescent="0.3">
      <c r="B8" s="46" t="s">
        <v>21</v>
      </c>
      <c r="C8" s="48">
        <f>0.25*C6</f>
        <v>51.06602367053182</v>
      </c>
      <c r="D8" s="47" t="s">
        <v>106</v>
      </c>
      <c r="E8" s="40" t="s">
        <v>14</v>
      </c>
      <c r="F8" s="40" t="s">
        <v>27</v>
      </c>
      <c r="G8" s="40" t="s">
        <v>28</v>
      </c>
    </row>
    <row r="9" spans="1:22" x14ac:dyDescent="0.3">
      <c r="E9" s="2" t="s">
        <v>14</v>
      </c>
      <c r="F9" s="2" t="s">
        <v>25</v>
      </c>
      <c r="G9" s="2" t="s">
        <v>29</v>
      </c>
    </row>
    <row r="10" spans="1:22" x14ac:dyDescent="0.3">
      <c r="A10" s="9" t="s">
        <v>24</v>
      </c>
      <c r="B10" s="7" t="s">
        <v>23</v>
      </c>
    </row>
    <row r="11" spans="1:22" x14ac:dyDescent="0.3">
      <c r="A11" s="8" t="s">
        <v>22</v>
      </c>
      <c r="B11" s="4">
        <f>500</f>
        <v>500</v>
      </c>
      <c r="C11" s="4">
        <f>B11+25</f>
        <v>525</v>
      </c>
      <c r="D11" s="4">
        <f t="shared" ref="D11:V11" si="0">C11+25</f>
        <v>550</v>
      </c>
      <c r="E11" s="4">
        <f t="shared" si="0"/>
        <v>575</v>
      </c>
      <c r="F11" s="4">
        <f t="shared" si="0"/>
        <v>600</v>
      </c>
      <c r="G11" s="4">
        <f t="shared" si="0"/>
        <v>625</v>
      </c>
      <c r="H11" s="4">
        <f t="shared" si="0"/>
        <v>650</v>
      </c>
      <c r="I11" s="4">
        <f t="shared" si="0"/>
        <v>675</v>
      </c>
      <c r="J11" s="4">
        <f t="shared" si="0"/>
        <v>700</v>
      </c>
      <c r="K11" s="4">
        <f t="shared" si="0"/>
        <v>725</v>
      </c>
      <c r="L11" s="4">
        <f t="shared" si="0"/>
        <v>750</v>
      </c>
      <c r="M11" s="4">
        <f t="shared" si="0"/>
        <v>775</v>
      </c>
      <c r="N11" s="4">
        <f t="shared" si="0"/>
        <v>800</v>
      </c>
      <c r="O11" s="4">
        <f t="shared" si="0"/>
        <v>825</v>
      </c>
      <c r="P11" s="4">
        <f t="shared" si="0"/>
        <v>850</v>
      </c>
      <c r="Q11" s="4">
        <f t="shared" si="0"/>
        <v>875</v>
      </c>
      <c r="R11" s="4">
        <f t="shared" si="0"/>
        <v>900</v>
      </c>
      <c r="S11" s="4">
        <f t="shared" si="0"/>
        <v>925</v>
      </c>
      <c r="T11" s="4">
        <f t="shared" si="0"/>
        <v>950</v>
      </c>
      <c r="U11" s="4">
        <f>T11+25</f>
        <v>975</v>
      </c>
      <c r="V11" s="4">
        <f t="shared" si="0"/>
        <v>1000</v>
      </c>
    </row>
    <row r="12" spans="1:22" x14ac:dyDescent="0.3">
      <c r="A12" s="3">
        <f>100</f>
        <v>100</v>
      </c>
      <c r="B12">
        <f>n1_N2*R_N2*A12N2/B11_N2</f>
        <v>0.83850410867013259</v>
      </c>
      <c r="C12">
        <f>n1_N2*R_N2*A12/C11</f>
        <v>0.79857534159060251</v>
      </c>
      <c r="D12">
        <f t="shared" ref="D12:D32" si="1">n1_N2*R_N2*A12/D11N2</f>
        <v>0.76227646242739333</v>
      </c>
      <c r="E12">
        <f t="shared" ref="E12:E32" si="2">n1_N2*R_N2*A12/E11N2</f>
        <v>0.72913400753924573</v>
      </c>
      <c r="F12">
        <f t="shared" ref="F12:F32" si="3">n1_N2*R_N2*A12/F11N2</f>
        <v>0.69875342389177719</v>
      </c>
      <c r="G12">
        <f t="shared" ref="G12:G32" si="4">n1_N2*R_N2*A12/G11N2</f>
        <v>0.67080328693610614</v>
      </c>
      <c r="H12">
        <f t="shared" ref="H12:H32" si="5">n1_N2*R_N2*A12/H11N2</f>
        <v>0.64500316051548667</v>
      </c>
      <c r="I12">
        <f t="shared" ref="I12:I32" si="6">n1_N2*R_N2*A12/I11N2</f>
        <v>0.62111415457046859</v>
      </c>
      <c r="J12">
        <f t="shared" ref="J12:J32" si="7">n1_N2*R_N2*A12/J11N2</f>
        <v>0.59893150619295188</v>
      </c>
      <c r="K12">
        <f t="shared" ref="K12:K32" si="8">n1_N2*R_N2*A12/K11N2</f>
        <v>0.57827869563457424</v>
      </c>
      <c r="L12">
        <f t="shared" ref="L12:L32" si="9">n1_N2*R_N2*A12/L11N2</f>
        <v>0.55900273911342169</v>
      </c>
      <c r="M12">
        <f t="shared" ref="M12:M32" si="10">n1_N2*R_N2*A12/M11N2</f>
        <v>0.54097039269040814</v>
      </c>
      <c r="N12">
        <f t="shared" ref="N12:N32" si="11">n1_N2*R_N2*A12/N11N2</f>
        <v>0.52406506791883289</v>
      </c>
      <c r="O12">
        <f t="shared" ref="O12:O32" si="12">n1_N2*R_N2*A12/O11N2</f>
        <v>0.50818430828492889</v>
      </c>
      <c r="P12">
        <f t="shared" ref="P12:P32" si="13">n1_N2*R_N2*A12/P11N2</f>
        <v>0.49323771098243097</v>
      </c>
      <c r="Q12">
        <f t="shared" ref="Q12:Q32" si="14">n1_N2*R_N2*A12/Q11N2</f>
        <v>0.47914520495436147</v>
      </c>
      <c r="R12">
        <f t="shared" ref="R12:R32" si="15">n1_N2*R_N2*A12/ABC</f>
        <v>0.46583561592785144</v>
      </c>
      <c r="S12">
        <f t="shared" ref="S12:S32" si="16">n1_N2*R_N2*A12/S11N2</f>
        <v>0.45324546414601763</v>
      </c>
      <c r="T12">
        <f t="shared" ref="T12:T32" si="17">n1_N2*R_N2*A12/T11N2</f>
        <v>0.44131795193164874</v>
      </c>
      <c r="U12">
        <f t="shared" ref="U12:U32" si="18">n1_N2*R_N2*A12/U11N2</f>
        <v>0.43000210701032443</v>
      </c>
      <c r="V12">
        <f t="shared" ref="V12:V32" si="19">n1_N2*R_N2*A12/V11N2</f>
        <v>0.41925205433506629</v>
      </c>
    </row>
    <row r="13" spans="1:22" x14ac:dyDescent="0.3">
      <c r="A13" s="3">
        <f>A12+25</f>
        <v>125</v>
      </c>
      <c r="B13" s="1">
        <f>n1_N2*R_N2*A13/B11</f>
        <v>1.0481301358376658</v>
      </c>
      <c r="C13">
        <f>n1_N2*R_N2*A13/C11</f>
        <v>0.99821917698825324</v>
      </c>
      <c r="D13">
        <f t="shared" si="1"/>
        <v>0.95284557803424175</v>
      </c>
      <c r="E13">
        <f t="shared" si="2"/>
        <v>0.9114175094240573</v>
      </c>
      <c r="F13">
        <f t="shared" si="3"/>
        <v>0.8734417798647216</v>
      </c>
      <c r="G13">
        <f t="shared" si="4"/>
        <v>0.8385041086701327</v>
      </c>
      <c r="H13">
        <f t="shared" si="5"/>
        <v>0.80625395064435834</v>
      </c>
      <c r="I13">
        <f t="shared" si="6"/>
        <v>0.77639269321308579</v>
      </c>
      <c r="J13">
        <f t="shared" si="7"/>
        <v>0.74866438274118996</v>
      </c>
      <c r="K13">
        <f t="shared" si="8"/>
        <v>0.72284836954321785</v>
      </c>
      <c r="L13">
        <f t="shared" si="9"/>
        <v>0.6987534238917773</v>
      </c>
      <c r="M13">
        <f t="shared" si="10"/>
        <v>0.67621299086301023</v>
      </c>
      <c r="N13">
        <f t="shared" si="11"/>
        <v>0.65508133489854115</v>
      </c>
      <c r="O13">
        <f t="shared" si="12"/>
        <v>0.63523038535616116</v>
      </c>
      <c r="P13">
        <f t="shared" si="13"/>
        <v>0.61654713872803879</v>
      </c>
      <c r="Q13">
        <f t="shared" si="14"/>
        <v>0.59893150619295188</v>
      </c>
      <c r="R13">
        <f t="shared" si="15"/>
        <v>0.5822945199098144</v>
      </c>
      <c r="S13">
        <f t="shared" si="16"/>
        <v>0.56655683018252212</v>
      </c>
      <c r="T13">
        <f t="shared" si="17"/>
        <v>0.551647439914561</v>
      </c>
      <c r="U13">
        <f t="shared" si="18"/>
        <v>0.53750263376290552</v>
      </c>
      <c r="V13">
        <f t="shared" si="19"/>
        <v>0.52406506791883289</v>
      </c>
    </row>
    <row r="14" spans="1:22" x14ac:dyDescent="0.3">
      <c r="A14" s="3">
        <f t="shared" ref="A14:A32" si="20">A13+25</f>
        <v>150</v>
      </c>
      <c r="B14" s="1">
        <f t="shared" ref="B14:B32" si="21">n1_N2*R_N2*A14/B11_N2</f>
        <v>1.257756163005199</v>
      </c>
      <c r="C14" s="1">
        <f>n1_N2*R_N2*A14/C11</f>
        <v>1.1978630123859038</v>
      </c>
      <c r="D14" s="1">
        <f t="shared" si="1"/>
        <v>1.1434146936410898</v>
      </c>
      <c r="E14" s="1">
        <f t="shared" si="2"/>
        <v>1.0937010113088685</v>
      </c>
      <c r="F14" s="1">
        <f t="shared" si="3"/>
        <v>1.0481301358376658</v>
      </c>
      <c r="G14" s="1">
        <f t="shared" si="4"/>
        <v>1.0062049304041591</v>
      </c>
      <c r="H14">
        <f t="shared" si="5"/>
        <v>0.9675047407732299</v>
      </c>
      <c r="I14">
        <f t="shared" si="6"/>
        <v>0.93167123185570289</v>
      </c>
      <c r="J14">
        <f t="shared" si="7"/>
        <v>0.89839725928942782</v>
      </c>
      <c r="K14">
        <f t="shared" si="8"/>
        <v>0.86741804345186135</v>
      </c>
      <c r="L14">
        <f t="shared" si="9"/>
        <v>0.83850410867013259</v>
      </c>
      <c r="M14">
        <f t="shared" si="10"/>
        <v>0.81145558903561221</v>
      </c>
      <c r="N14">
        <f t="shared" si="11"/>
        <v>0.78609760187824929</v>
      </c>
      <c r="O14">
        <f t="shared" si="12"/>
        <v>0.76227646242739333</v>
      </c>
      <c r="P14">
        <f t="shared" si="13"/>
        <v>0.73985656647364639</v>
      </c>
      <c r="Q14">
        <f t="shared" si="14"/>
        <v>0.71871780743154223</v>
      </c>
      <c r="R14">
        <f t="shared" si="15"/>
        <v>0.69875342389177719</v>
      </c>
      <c r="S14">
        <f t="shared" si="16"/>
        <v>0.67986819621902639</v>
      </c>
      <c r="T14">
        <f t="shared" si="17"/>
        <v>0.66197692789747309</v>
      </c>
      <c r="U14">
        <f t="shared" si="18"/>
        <v>0.64500316051548667</v>
      </c>
      <c r="V14">
        <f t="shared" si="19"/>
        <v>0.6288780815025995</v>
      </c>
    </row>
    <row r="15" spans="1:22" x14ac:dyDescent="0.3">
      <c r="A15" s="3">
        <f t="shared" si="20"/>
        <v>175</v>
      </c>
      <c r="B15" s="1">
        <f t="shared" si="21"/>
        <v>1.4673821901727322</v>
      </c>
      <c r="C15" s="1">
        <f>n1_N2*R_N2*A15/C11</f>
        <v>1.3975068477835544</v>
      </c>
      <c r="D15" s="1">
        <f t="shared" si="1"/>
        <v>1.3339838092479384</v>
      </c>
      <c r="E15" s="10">
        <f t="shared" si="2"/>
        <v>1.2759845131936802</v>
      </c>
      <c r="F15" s="10">
        <f t="shared" si="3"/>
        <v>1.2228184918106102</v>
      </c>
      <c r="G15" s="10">
        <f t="shared" si="4"/>
        <v>1.1739057521381857</v>
      </c>
      <c r="H15" s="1">
        <f t="shared" si="5"/>
        <v>1.1287555309021016</v>
      </c>
      <c r="I15" s="1">
        <f t="shared" si="6"/>
        <v>1.0869497704983202</v>
      </c>
      <c r="J15" s="1">
        <f t="shared" si="7"/>
        <v>1.0481301358376658</v>
      </c>
      <c r="K15" s="1">
        <f t="shared" si="8"/>
        <v>1.011987717360505</v>
      </c>
      <c r="L15">
        <f t="shared" si="9"/>
        <v>0.97825479344848809</v>
      </c>
      <c r="M15">
        <f t="shared" si="10"/>
        <v>0.9466981872082143</v>
      </c>
      <c r="N15">
        <f t="shared" si="11"/>
        <v>0.91711386885795765</v>
      </c>
      <c r="O15">
        <f t="shared" si="12"/>
        <v>0.88932253949862561</v>
      </c>
      <c r="P15">
        <f t="shared" si="13"/>
        <v>0.86316599421925422</v>
      </c>
      <c r="Q15">
        <f t="shared" si="14"/>
        <v>0.8385041086701327</v>
      </c>
      <c r="R15">
        <f t="shared" si="15"/>
        <v>0.81521232787374009</v>
      </c>
      <c r="S15">
        <f t="shared" si="16"/>
        <v>0.79317956225553088</v>
      </c>
      <c r="T15">
        <f t="shared" si="17"/>
        <v>0.7723064158803854</v>
      </c>
      <c r="U15">
        <f t="shared" si="18"/>
        <v>0.75250368726806782</v>
      </c>
      <c r="V15">
        <f t="shared" si="19"/>
        <v>0.7336910950863661</v>
      </c>
    </row>
    <row r="16" spans="1:22" x14ac:dyDescent="0.3">
      <c r="A16" s="3">
        <f t="shared" si="20"/>
        <v>200</v>
      </c>
      <c r="B16" s="1">
        <f t="shared" si="21"/>
        <v>1.6770082173402652</v>
      </c>
      <c r="C16" s="1">
        <f>n1_N2*R_N2*A16/C11</f>
        <v>1.597150683181205</v>
      </c>
      <c r="D16" s="1">
        <f t="shared" si="1"/>
        <v>1.5245529248547867</v>
      </c>
      <c r="E16" s="1">
        <f t="shared" si="2"/>
        <v>1.4582680150784915</v>
      </c>
      <c r="F16" s="1">
        <f t="shared" si="3"/>
        <v>1.3975068477835544</v>
      </c>
      <c r="G16" s="1">
        <f t="shared" si="4"/>
        <v>1.3416065738722123</v>
      </c>
      <c r="H16" s="1">
        <f t="shared" si="5"/>
        <v>1.2900063210309733</v>
      </c>
      <c r="I16" s="1">
        <f t="shared" si="6"/>
        <v>1.2422283091409372</v>
      </c>
      <c r="J16" s="1">
        <f t="shared" si="7"/>
        <v>1.1978630123859038</v>
      </c>
      <c r="K16" s="1">
        <f t="shared" si="8"/>
        <v>1.1565573912691485</v>
      </c>
      <c r="L16" s="1">
        <f t="shared" si="9"/>
        <v>1.1180054782268434</v>
      </c>
      <c r="M16" s="1">
        <f t="shared" si="10"/>
        <v>1.0819407853808163</v>
      </c>
      <c r="N16" s="1">
        <f t="shared" si="11"/>
        <v>1.0481301358376658</v>
      </c>
      <c r="O16" s="1">
        <f t="shared" si="12"/>
        <v>1.0163686165698578</v>
      </c>
      <c r="P16">
        <f t="shared" si="13"/>
        <v>0.98647542196486193</v>
      </c>
      <c r="Q16">
        <f t="shared" si="14"/>
        <v>0.95829040990872294</v>
      </c>
      <c r="R16">
        <f t="shared" si="15"/>
        <v>0.93167123185570289</v>
      </c>
      <c r="S16">
        <f t="shared" si="16"/>
        <v>0.90649092829203526</v>
      </c>
      <c r="T16">
        <f t="shared" si="17"/>
        <v>0.88263590386329749</v>
      </c>
      <c r="U16">
        <f t="shared" si="18"/>
        <v>0.86000421402064886</v>
      </c>
      <c r="V16">
        <f t="shared" si="19"/>
        <v>0.83850410867013259</v>
      </c>
    </row>
    <row r="17" spans="1:22" x14ac:dyDescent="0.3">
      <c r="A17" s="3">
        <f t="shared" si="20"/>
        <v>225</v>
      </c>
      <c r="B17" s="1">
        <f t="shared" si="21"/>
        <v>1.8866342445077984</v>
      </c>
      <c r="C17" s="1">
        <f>n1_N2*R_N2*A17/C11</f>
        <v>1.7967945185788556</v>
      </c>
      <c r="D17" s="1">
        <f t="shared" si="1"/>
        <v>1.715122040461635</v>
      </c>
      <c r="E17" s="1">
        <f t="shared" si="2"/>
        <v>1.6405515169633029</v>
      </c>
      <c r="F17" s="1">
        <f t="shared" si="3"/>
        <v>1.5721952037564988</v>
      </c>
      <c r="G17" s="1">
        <f t="shared" si="4"/>
        <v>1.5093073956062388</v>
      </c>
      <c r="H17" s="1">
        <f t="shared" si="5"/>
        <v>1.4512571111598449</v>
      </c>
      <c r="I17" s="1">
        <f t="shared" si="6"/>
        <v>1.3975068477835544</v>
      </c>
      <c r="J17" s="1">
        <f t="shared" si="7"/>
        <v>1.3475958889341417</v>
      </c>
      <c r="K17" s="1">
        <f t="shared" si="8"/>
        <v>1.301127065177792</v>
      </c>
      <c r="L17" s="1">
        <f t="shared" si="9"/>
        <v>1.257756163005199</v>
      </c>
      <c r="M17" s="1">
        <f t="shared" si="10"/>
        <v>1.2171833835534185</v>
      </c>
      <c r="N17" s="1">
        <f t="shared" si="11"/>
        <v>1.1791464028173742</v>
      </c>
      <c r="O17" s="1">
        <f t="shared" si="12"/>
        <v>1.1434146936410901</v>
      </c>
      <c r="P17" s="1">
        <f t="shared" si="13"/>
        <v>1.1097848497104696</v>
      </c>
      <c r="Q17" s="1">
        <f t="shared" si="14"/>
        <v>1.0780767111473135</v>
      </c>
      <c r="R17" s="1">
        <f t="shared" si="15"/>
        <v>1.0481301358376658</v>
      </c>
      <c r="S17" s="1">
        <f t="shared" si="16"/>
        <v>1.0198022943285396</v>
      </c>
      <c r="T17">
        <f t="shared" si="17"/>
        <v>0.99296539184620969</v>
      </c>
      <c r="U17">
        <f t="shared" si="18"/>
        <v>0.96750474077323001</v>
      </c>
      <c r="V17">
        <f t="shared" si="19"/>
        <v>0.94331712225389919</v>
      </c>
    </row>
    <row r="18" spans="1:22" x14ac:dyDescent="0.3">
      <c r="A18" s="3">
        <f t="shared" si="20"/>
        <v>250</v>
      </c>
      <c r="B18" s="1">
        <f t="shared" si="21"/>
        <v>2.0962602716753316</v>
      </c>
      <c r="C18" s="1">
        <f>n1_N2*R_N2*A18/C11</f>
        <v>1.9964383539765065</v>
      </c>
      <c r="D18" s="1">
        <f t="shared" si="1"/>
        <v>1.9056911560684835</v>
      </c>
      <c r="E18" s="1">
        <f t="shared" si="2"/>
        <v>1.8228350188481146</v>
      </c>
      <c r="F18" s="1">
        <f t="shared" si="3"/>
        <v>1.7468835597294432</v>
      </c>
      <c r="G18" s="1">
        <f t="shared" si="4"/>
        <v>1.6770082173402654</v>
      </c>
      <c r="H18" s="1">
        <f t="shared" si="5"/>
        <v>1.6125079012887167</v>
      </c>
      <c r="I18" s="1">
        <f t="shared" si="6"/>
        <v>1.5527853864261716</v>
      </c>
      <c r="J18" s="1">
        <f t="shared" si="7"/>
        <v>1.4973287654823799</v>
      </c>
      <c r="K18" s="1">
        <f t="shared" si="8"/>
        <v>1.4456967390864357</v>
      </c>
      <c r="L18" s="1">
        <f t="shared" si="9"/>
        <v>1.3975068477835546</v>
      </c>
      <c r="M18" s="1">
        <f t="shared" si="10"/>
        <v>1.3524259817260205</v>
      </c>
      <c r="N18" s="1">
        <f t="shared" si="11"/>
        <v>1.3101626697970823</v>
      </c>
      <c r="O18" s="1">
        <f t="shared" si="12"/>
        <v>1.2704607707123223</v>
      </c>
      <c r="P18" s="1">
        <f t="shared" si="13"/>
        <v>1.2330942774560776</v>
      </c>
      <c r="Q18" s="1">
        <f t="shared" si="14"/>
        <v>1.1978630123859038</v>
      </c>
      <c r="R18" s="1">
        <f t="shared" si="15"/>
        <v>1.1645890398196288</v>
      </c>
      <c r="S18" s="1">
        <f t="shared" si="16"/>
        <v>1.1331136603650442</v>
      </c>
      <c r="T18" s="1">
        <f t="shared" si="17"/>
        <v>1.103294879829122</v>
      </c>
      <c r="U18" s="1">
        <f t="shared" si="18"/>
        <v>1.075005267525811</v>
      </c>
      <c r="V18" s="1">
        <f t="shared" si="19"/>
        <v>1.0481301358376658</v>
      </c>
    </row>
    <row r="19" spans="1:22" x14ac:dyDescent="0.3">
      <c r="A19" s="3">
        <f t="shared" si="20"/>
        <v>275</v>
      </c>
      <c r="B19" s="1">
        <f t="shared" si="21"/>
        <v>2.3058862988428648</v>
      </c>
      <c r="C19" s="1">
        <f>n1_N2*R_N2*A19/C11</f>
        <v>2.1960821893741569</v>
      </c>
      <c r="D19" s="1">
        <f t="shared" si="1"/>
        <v>2.0962602716753316</v>
      </c>
      <c r="E19" s="1">
        <f t="shared" si="2"/>
        <v>2.0051185207329256</v>
      </c>
      <c r="F19" s="1">
        <f t="shared" si="3"/>
        <v>1.9215719157023872</v>
      </c>
      <c r="G19" s="1">
        <f t="shared" si="4"/>
        <v>1.8447090390742917</v>
      </c>
      <c r="H19" s="1">
        <f t="shared" si="5"/>
        <v>1.773758691417588</v>
      </c>
      <c r="I19" s="1">
        <f t="shared" si="6"/>
        <v>1.7080639250687886</v>
      </c>
      <c r="J19" s="1">
        <f t="shared" si="7"/>
        <v>1.6470616420306174</v>
      </c>
      <c r="K19" s="1">
        <f t="shared" si="8"/>
        <v>1.590266412995079</v>
      </c>
      <c r="L19" s="1">
        <f t="shared" si="9"/>
        <v>1.5372575325619098</v>
      </c>
      <c r="M19" s="1">
        <f t="shared" si="10"/>
        <v>1.4876685798986222</v>
      </c>
      <c r="N19" s="1">
        <f t="shared" si="11"/>
        <v>1.4411789367767904</v>
      </c>
      <c r="O19" s="1">
        <f t="shared" si="12"/>
        <v>1.3975068477835544</v>
      </c>
      <c r="P19" s="1">
        <f t="shared" si="13"/>
        <v>1.3564037052016851</v>
      </c>
      <c r="Q19" s="1">
        <f t="shared" si="14"/>
        <v>1.317649313624494</v>
      </c>
      <c r="R19" s="1">
        <f t="shared" si="15"/>
        <v>1.2810479438015914</v>
      </c>
      <c r="S19" s="1">
        <f t="shared" si="16"/>
        <v>1.2464250264015484</v>
      </c>
      <c r="T19" s="1">
        <f t="shared" si="17"/>
        <v>1.213624367812034</v>
      </c>
      <c r="U19">
        <f t="shared" si="18"/>
        <v>1.1825057942783921</v>
      </c>
      <c r="V19">
        <f t="shared" si="19"/>
        <v>1.1529431494214324</v>
      </c>
    </row>
    <row r="20" spans="1:22" x14ac:dyDescent="0.3">
      <c r="A20" s="3">
        <f t="shared" si="20"/>
        <v>300</v>
      </c>
      <c r="B20">
        <f t="shared" si="21"/>
        <v>2.515512326010398</v>
      </c>
      <c r="C20" s="1">
        <f>n1_N2*R_N2*A20/C11</f>
        <v>2.3957260247718075</v>
      </c>
      <c r="D20" s="1">
        <f t="shared" si="1"/>
        <v>2.2868293872821797</v>
      </c>
      <c r="E20" s="1">
        <f t="shared" si="2"/>
        <v>2.1874020226177371</v>
      </c>
      <c r="F20" s="1">
        <f t="shared" si="3"/>
        <v>2.0962602716753316</v>
      </c>
      <c r="G20" s="1">
        <f t="shared" si="4"/>
        <v>2.0124098608083183</v>
      </c>
      <c r="H20" s="1">
        <f t="shared" si="5"/>
        <v>1.9350094815464598</v>
      </c>
      <c r="I20" s="1">
        <f t="shared" si="6"/>
        <v>1.8633424637114058</v>
      </c>
      <c r="J20" s="1">
        <f t="shared" si="7"/>
        <v>1.7967945185788556</v>
      </c>
      <c r="K20" s="1">
        <f t="shared" si="8"/>
        <v>1.7348360869037227</v>
      </c>
      <c r="L20" s="1">
        <f t="shared" si="9"/>
        <v>1.6770082173402652</v>
      </c>
      <c r="M20" s="1">
        <f t="shared" si="10"/>
        <v>1.6229111780712244</v>
      </c>
      <c r="N20" s="1">
        <f t="shared" si="11"/>
        <v>1.5721952037564986</v>
      </c>
      <c r="O20" s="1">
        <f t="shared" si="12"/>
        <v>1.5245529248547867</v>
      </c>
      <c r="P20" s="1">
        <f t="shared" si="13"/>
        <v>1.4797131329472928</v>
      </c>
      <c r="Q20" s="1">
        <f t="shared" si="14"/>
        <v>1.4374356148630845</v>
      </c>
      <c r="R20" s="1">
        <f t="shared" si="15"/>
        <v>1.3975068477835544</v>
      </c>
      <c r="S20" s="1">
        <f t="shared" si="16"/>
        <v>1.3597363924380528</v>
      </c>
      <c r="T20" s="1">
        <f t="shared" si="17"/>
        <v>1.3239538557949462</v>
      </c>
      <c r="U20" s="1">
        <f t="shared" si="18"/>
        <v>1.2900063210309733</v>
      </c>
      <c r="V20" s="1">
        <f t="shared" si="19"/>
        <v>1.257756163005199</v>
      </c>
    </row>
    <row r="21" spans="1:22" x14ac:dyDescent="0.3">
      <c r="A21" s="3">
        <f t="shared" si="20"/>
        <v>325</v>
      </c>
      <c r="B21">
        <f t="shared" si="21"/>
        <v>2.7251383531779312</v>
      </c>
      <c r="C21">
        <f>n1_N2*R_N2*A21/C11</f>
        <v>2.5953698601694581</v>
      </c>
      <c r="D21" s="1">
        <f t="shared" si="1"/>
        <v>2.4773985028890282</v>
      </c>
      <c r="E21" s="1">
        <f t="shared" si="2"/>
        <v>2.369685524502549</v>
      </c>
      <c r="F21" s="1">
        <f t="shared" si="3"/>
        <v>2.2709486276482758</v>
      </c>
      <c r="G21" s="1">
        <f t="shared" si="4"/>
        <v>2.1801106825423449</v>
      </c>
      <c r="H21" s="1">
        <f t="shared" si="5"/>
        <v>2.0962602716753316</v>
      </c>
      <c r="I21" s="1">
        <f t="shared" si="6"/>
        <v>2.0186210023540232</v>
      </c>
      <c r="J21" s="1">
        <f t="shared" si="7"/>
        <v>1.9465273951270936</v>
      </c>
      <c r="K21" s="1">
        <f t="shared" si="8"/>
        <v>1.8794057608123662</v>
      </c>
      <c r="L21" s="1">
        <f t="shared" si="9"/>
        <v>1.8167589021186208</v>
      </c>
      <c r="M21" s="1">
        <f t="shared" si="10"/>
        <v>1.7581537762438264</v>
      </c>
      <c r="N21" s="1">
        <f t="shared" si="11"/>
        <v>1.7032114707362069</v>
      </c>
      <c r="O21" s="1">
        <f t="shared" si="12"/>
        <v>1.6515990019260189</v>
      </c>
      <c r="P21" s="1">
        <f t="shared" si="13"/>
        <v>1.6030225606929007</v>
      </c>
      <c r="Q21" s="1">
        <f t="shared" si="14"/>
        <v>1.5572219161016749</v>
      </c>
      <c r="R21" s="1">
        <f t="shared" si="15"/>
        <v>1.5139657517655172</v>
      </c>
      <c r="S21" s="1">
        <f t="shared" si="16"/>
        <v>1.4730477584745574</v>
      </c>
      <c r="T21" s="1">
        <f t="shared" si="17"/>
        <v>1.4342833437778584</v>
      </c>
      <c r="U21" s="1">
        <f t="shared" si="18"/>
        <v>1.3975068477835544</v>
      </c>
      <c r="V21" s="1">
        <f t="shared" si="19"/>
        <v>1.3625691765889656</v>
      </c>
    </row>
    <row r="22" spans="1:22" x14ac:dyDescent="0.3">
      <c r="A22" s="3">
        <f t="shared" si="20"/>
        <v>350</v>
      </c>
      <c r="B22">
        <f t="shared" si="21"/>
        <v>2.9347643803454644</v>
      </c>
      <c r="C22">
        <f>n1_N2*R_N2*A22/C11</f>
        <v>2.7950136955671088</v>
      </c>
      <c r="D22">
        <f t="shared" si="1"/>
        <v>2.6679676184958767</v>
      </c>
      <c r="E22">
        <f t="shared" si="2"/>
        <v>2.5519690263873605</v>
      </c>
      <c r="F22" s="1">
        <f t="shared" si="3"/>
        <v>2.4456369836212204</v>
      </c>
      <c r="G22" s="1">
        <f t="shared" si="4"/>
        <v>2.3478115042763714</v>
      </c>
      <c r="H22" s="1">
        <f t="shared" si="5"/>
        <v>2.2575110618042031</v>
      </c>
      <c r="I22" s="1">
        <f t="shared" si="6"/>
        <v>2.1738995409966404</v>
      </c>
      <c r="J22" s="1">
        <f t="shared" si="7"/>
        <v>2.0962602716753316</v>
      </c>
      <c r="K22" s="1">
        <f t="shared" si="8"/>
        <v>2.0239754347210099</v>
      </c>
      <c r="L22" s="1">
        <f t="shared" si="9"/>
        <v>1.9565095868969762</v>
      </c>
      <c r="M22" s="1">
        <f t="shared" si="10"/>
        <v>1.8933963744164286</v>
      </c>
      <c r="N22" s="1">
        <f t="shared" si="11"/>
        <v>1.8342277377159153</v>
      </c>
      <c r="O22" s="1">
        <f t="shared" si="12"/>
        <v>1.7786450789972512</v>
      </c>
      <c r="P22" s="1">
        <f t="shared" si="13"/>
        <v>1.7263319884385084</v>
      </c>
      <c r="Q22" s="1">
        <f t="shared" si="14"/>
        <v>1.6770082173402654</v>
      </c>
      <c r="R22" s="1">
        <f t="shared" si="15"/>
        <v>1.6304246557474802</v>
      </c>
      <c r="S22" s="1">
        <f t="shared" si="16"/>
        <v>1.5863591245110618</v>
      </c>
      <c r="T22" s="1">
        <f t="shared" si="17"/>
        <v>1.5446128317607708</v>
      </c>
      <c r="U22" s="1">
        <f t="shared" si="18"/>
        <v>1.5050073745361356</v>
      </c>
      <c r="V22" s="1">
        <f t="shared" si="19"/>
        <v>1.4673821901727322</v>
      </c>
    </row>
    <row r="23" spans="1:22" x14ac:dyDescent="0.3">
      <c r="A23" s="3">
        <f t="shared" si="20"/>
        <v>375</v>
      </c>
      <c r="B23">
        <f t="shared" si="21"/>
        <v>3.1443904075129971</v>
      </c>
      <c r="C23">
        <f>n1_N2*R_N2*A23/C11</f>
        <v>2.9946575309647594</v>
      </c>
      <c r="D23">
        <f t="shared" si="1"/>
        <v>2.8585367341027248</v>
      </c>
      <c r="E23">
        <f t="shared" si="2"/>
        <v>2.7342525282721715</v>
      </c>
      <c r="F23">
        <f t="shared" si="3"/>
        <v>2.6203253395941641</v>
      </c>
      <c r="G23">
        <f t="shared" si="4"/>
        <v>2.5155123260103975</v>
      </c>
      <c r="H23" s="1">
        <f t="shared" si="5"/>
        <v>2.4187618519330747</v>
      </c>
      <c r="I23" s="1">
        <f t="shared" si="6"/>
        <v>2.3291780796392572</v>
      </c>
      <c r="J23" s="1">
        <f t="shared" si="7"/>
        <v>2.2459931482235693</v>
      </c>
      <c r="K23" s="1">
        <f t="shared" si="8"/>
        <v>2.1685451086296532</v>
      </c>
      <c r="L23" s="1">
        <f t="shared" si="9"/>
        <v>2.0962602716753316</v>
      </c>
      <c r="M23" s="1">
        <f t="shared" si="10"/>
        <v>2.0286389725890306</v>
      </c>
      <c r="N23" s="1">
        <f t="shared" si="11"/>
        <v>1.9652440046956232</v>
      </c>
      <c r="O23" s="1">
        <f t="shared" si="12"/>
        <v>1.905691156068483</v>
      </c>
      <c r="P23" s="1">
        <f t="shared" si="13"/>
        <v>1.8496414161841159</v>
      </c>
      <c r="Q23" s="1">
        <f t="shared" si="14"/>
        <v>1.7967945185788556</v>
      </c>
      <c r="R23" s="1">
        <f t="shared" si="15"/>
        <v>1.746883559729443</v>
      </c>
      <c r="S23" s="1">
        <f t="shared" si="16"/>
        <v>1.6996704905475661</v>
      </c>
      <c r="T23" s="1">
        <f t="shared" si="17"/>
        <v>1.6549423197436828</v>
      </c>
      <c r="U23" s="1">
        <f t="shared" si="18"/>
        <v>1.6125079012887165</v>
      </c>
      <c r="V23" s="1">
        <f t="shared" si="19"/>
        <v>1.5721952037564986</v>
      </c>
    </row>
    <row r="24" spans="1:22" x14ac:dyDescent="0.3">
      <c r="A24" s="3">
        <f t="shared" si="20"/>
        <v>400</v>
      </c>
      <c r="B24">
        <f t="shared" si="21"/>
        <v>3.3540164346805303</v>
      </c>
      <c r="C24">
        <f>n1_N2*R_N2*A24/C11</f>
        <v>3.19430136636241</v>
      </c>
      <c r="D24">
        <f t="shared" si="1"/>
        <v>3.0491058497095733</v>
      </c>
      <c r="E24">
        <f t="shared" si="2"/>
        <v>2.9165360301569829</v>
      </c>
      <c r="F24">
        <f t="shared" si="3"/>
        <v>2.7950136955671088</v>
      </c>
      <c r="G24">
        <f t="shared" si="4"/>
        <v>2.6832131477444245</v>
      </c>
      <c r="H24">
        <f t="shared" si="5"/>
        <v>2.5800126420619467</v>
      </c>
      <c r="I24" s="1">
        <f t="shared" si="6"/>
        <v>2.4844566182818744</v>
      </c>
      <c r="J24" s="1">
        <f t="shared" si="7"/>
        <v>2.3957260247718075</v>
      </c>
      <c r="K24" s="1">
        <f t="shared" si="8"/>
        <v>2.3131147825382969</v>
      </c>
      <c r="L24" s="1">
        <f t="shared" si="9"/>
        <v>2.2360109564536867</v>
      </c>
      <c r="M24" s="1">
        <f t="shared" si="10"/>
        <v>2.1638815707616326</v>
      </c>
      <c r="N24" s="1">
        <f t="shared" si="11"/>
        <v>2.0962602716753316</v>
      </c>
      <c r="O24" s="1">
        <f t="shared" si="12"/>
        <v>2.0327372331397155</v>
      </c>
      <c r="P24" s="1">
        <f t="shared" si="13"/>
        <v>1.9729508439297239</v>
      </c>
      <c r="Q24" s="1">
        <f t="shared" si="14"/>
        <v>1.9165808198174459</v>
      </c>
      <c r="R24" s="1">
        <f t="shared" si="15"/>
        <v>1.8633424637114058</v>
      </c>
      <c r="S24" s="1">
        <f t="shared" si="16"/>
        <v>1.8129818565840705</v>
      </c>
      <c r="T24" s="1">
        <f t="shared" si="17"/>
        <v>1.765271807726595</v>
      </c>
      <c r="U24" s="1">
        <f t="shared" si="18"/>
        <v>1.7200084280412977</v>
      </c>
      <c r="V24" s="1">
        <f t="shared" si="19"/>
        <v>1.6770082173402652</v>
      </c>
    </row>
    <row r="25" spans="1:22" x14ac:dyDescent="0.3">
      <c r="A25" s="3">
        <f t="shared" si="20"/>
        <v>425</v>
      </c>
      <c r="B25">
        <f t="shared" si="21"/>
        <v>3.5636424618480635</v>
      </c>
      <c r="C25">
        <f>n1_N2*R_N2*A25/C11</f>
        <v>3.3939452017600606</v>
      </c>
      <c r="D25">
        <f t="shared" si="1"/>
        <v>3.2396749653164214</v>
      </c>
      <c r="E25">
        <f t="shared" si="2"/>
        <v>3.0988195320417944</v>
      </c>
      <c r="F25">
        <f t="shared" si="3"/>
        <v>2.969702051540053</v>
      </c>
      <c r="G25">
        <f t="shared" si="4"/>
        <v>2.8509139694784511</v>
      </c>
      <c r="H25">
        <f t="shared" si="5"/>
        <v>2.7412634321908182</v>
      </c>
      <c r="I25">
        <f t="shared" si="6"/>
        <v>2.6397351569244916</v>
      </c>
      <c r="J25">
        <f t="shared" si="7"/>
        <v>2.5454589013200457</v>
      </c>
      <c r="K25" s="1">
        <f t="shared" si="8"/>
        <v>2.4576844564469407</v>
      </c>
      <c r="L25" s="1">
        <f t="shared" si="9"/>
        <v>2.3757616412320424</v>
      </c>
      <c r="M25" s="1">
        <f t="shared" si="10"/>
        <v>2.2991241689342345</v>
      </c>
      <c r="N25" s="1">
        <f t="shared" si="11"/>
        <v>2.2272765386550399</v>
      </c>
      <c r="O25" s="1">
        <f t="shared" si="12"/>
        <v>2.1597833102109476</v>
      </c>
      <c r="P25" s="1">
        <f t="shared" si="13"/>
        <v>2.0962602716753316</v>
      </c>
      <c r="Q25" s="1">
        <f t="shared" si="14"/>
        <v>2.0363671210560366</v>
      </c>
      <c r="R25" s="1">
        <f t="shared" si="15"/>
        <v>1.9798013676933688</v>
      </c>
      <c r="S25" s="1">
        <f t="shared" si="16"/>
        <v>1.9262932226205749</v>
      </c>
      <c r="T25" s="1">
        <f t="shared" si="17"/>
        <v>1.8756012957095072</v>
      </c>
      <c r="U25" s="1">
        <f t="shared" si="18"/>
        <v>1.8275089547938788</v>
      </c>
      <c r="V25" s="1">
        <f t="shared" si="19"/>
        <v>1.7818212309240318</v>
      </c>
    </row>
    <row r="26" spans="1:22" x14ac:dyDescent="0.3">
      <c r="A26" s="3">
        <f t="shared" si="20"/>
        <v>450</v>
      </c>
      <c r="B26">
        <f t="shared" si="21"/>
        <v>3.7732684890155967</v>
      </c>
      <c r="C26">
        <f>n1_N2*R_N2*A26/C11</f>
        <v>3.5935890371577113</v>
      </c>
      <c r="D26">
        <f t="shared" si="1"/>
        <v>3.4302440809232699</v>
      </c>
      <c r="E26">
        <f t="shared" si="2"/>
        <v>3.2811030339266058</v>
      </c>
      <c r="F26">
        <f t="shared" si="3"/>
        <v>3.1443904075129976</v>
      </c>
      <c r="G26">
        <f t="shared" si="4"/>
        <v>3.0186147912124777</v>
      </c>
      <c r="H26">
        <f t="shared" si="5"/>
        <v>2.9025142223196898</v>
      </c>
      <c r="I26">
        <f t="shared" si="6"/>
        <v>2.7950136955671088</v>
      </c>
      <c r="J26">
        <f t="shared" si="7"/>
        <v>2.6951917778682835</v>
      </c>
      <c r="K26">
        <f t="shared" si="8"/>
        <v>2.6022541303555839</v>
      </c>
      <c r="L26">
        <f t="shared" si="9"/>
        <v>2.515512326010398</v>
      </c>
      <c r="M26" s="1">
        <f t="shared" si="10"/>
        <v>2.434366767106837</v>
      </c>
      <c r="N26" s="1">
        <f t="shared" si="11"/>
        <v>2.3582928056347483</v>
      </c>
      <c r="O26" s="1">
        <f t="shared" si="12"/>
        <v>2.2868293872821801</v>
      </c>
      <c r="P26" s="1">
        <f t="shared" si="13"/>
        <v>2.2195696994209393</v>
      </c>
      <c r="Q26" s="1">
        <f t="shared" si="14"/>
        <v>2.156153422294627</v>
      </c>
      <c r="R26" s="1">
        <f t="shared" si="15"/>
        <v>2.0962602716753316</v>
      </c>
      <c r="S26" s="1">
        <f t="shared" si="16"/>
        <v>2.0396045886570793</v>
      </c>
      <c r="T26" s="1">
        <f t="shared" si="17"/>
        <v>1.9859307836924194</v>
      </c>
      <c r="U26" s="1">
        <f t="shared" si="18"/>
        <v>1.93500948154646</v>
      </c>
      <c r="V26" s="1">
        <f t="shared" si="19"/>
        <v>1.8866342445077984</v>
      </c>
    </row>
    <row r="27" spans="1:22" x14ac:dyDescent="0.3">
      <c r="A27" s="3">
        <f t="shared" si="20"/>
        <v>475</v>
      </c>
      <c r="B27">
        <f t="shared" si="21"/>
        <v>3.98289451618313</v>
      </c>
      <c r="C27">
        <f>n1_N2*R_N2*A27/C11</f>
        <v>3.7932328725553619</v>
      </c>
      <c r="D27">
        <f t="shared" si="1"/>
        <v>3.620813196530118</v>
      </c>
      <c r="E27">
        <f t="shared" si="2"/>
        <v>3.4633865358114173</v>
      </c>
      <c r="F27">
        <f t="shared" si="3"/>
        <v>3.3190787634859413</v>
      </c>
      <c r="G27">
        <f t="shared" si="4"/>
        <v>3.1863156129465038</v>
      </c>
      <c r="H27">
        <f t="shared" si="5"/>
        <v>3.0637650124485614</v>
      </c>
      <c r="I27">
        <f t="shared" si="6"/>
        <v>2.950292234209726</v>
      </c>
      <c r="J27">
        <f t="shared" si="7"/>
        <v>2.8449246544165212</v>
      </c>
      <c r="K27">
        <f t="shared" si="8"/>
        <v>2.7468238042642272</v>
      </c>
      <c r="L27">
        <f t="shared" si="9"/>
        <v>2.6552630107887532</v>
      </c>
      <c r="M27">
        <f t="shared" si="10"/>
        <v>2.5696093652794385</v>
      </c>
      <c r="N27" s="1">
        <f t="shared" si="11"/>
        <v>2.4893090726144562</v>
      </c>
      <c r="O27" s="1">
        <f t="shared" si="12"/>
        <v>2.4138754643534122</v>
      </c>
      <c r="P27" s="1">
        <f t="shared" si="13"/>
        <v>2.342879127166547</v>
      </c>
      <c r="Q27" s="1">
        <f t="shared" si="14"/>
        <v>2.2759397235332171</v>
      </c>
      <c r="R27" s="1">
        <f t="shared" si="15"/>
        <v>2.2127191756572944</v>
      </c>
      <c r="S27" s="1">
        <f t="shared" si="16"/>
        <v>2.1529159546935839</v>
      </c>
      <c r="T27" s="1">
        <f t="shared" si="17"/>
        <v>2.0962602716753316</v>
      </c>
      <c r="U27" s="1">
        <f t="shared" si="18"/>
        <v>2.0425100082990411</v>
      </c>
      <c r="V27" s="1">
        <f t="shared" si="19"/>
        <v>1.991447258091565</v>
      </c>
    </row>
    <row r="28" spans="1:22" x14ac:dyDescent="0.3">
      <c r="A28" s="3">
        <f t="shared" si="20"/>
        <v>500</v>
      </c>
      <c r="B28">
        <f t="shared" si="21"/>
        <v>4.1925205433506632</v>
      </c>
      <c r="C28">
        <f>n1_N2*R_N2*A28/C11</f>
        <v>3.992876707953013</v>
      </c>
      <c r="D28">
        <f t="shared" si="1"/>
        <v>3.811382312136967</v>
      </c>
      <c r="E28">
        <f t="shared" si="2"/>
        <v>3.6456700376962292</v>
      </c>
      <c r="F28">
        <f t="shared" si="3"/>
        <v>3.4937671194588864</v>
      </c>
      <c r="G28">
        <f t="shared" si="4"/>
        <v>3.3540164346805308</v>
      </c>
      <c r="H28">
        <f t="shared" si="5"/>
        <v>3.2250158025774334</v>
      </c>
      <c r="I28">
        <f t="shared" si="6"/>
        <v>3.1055707728523432</v>
      </c>
      <c r="J28">
        <f t="shared" si="7"/>
        <v>2.9946575309647598</v>
      </c>
      <c r="K28">
        <f t="shared" si="8"/>
        <v>2.8913934781728714</v>
      </c>
      <c r="L28">
        <f t="shared" si="9"/>
        <v>2.7950136955671092</v>
      </c>
      <c r="M28">
        <f t="shared" si="10"/>
        <v>2.7048519634520409</v>
      </c>
      <c r="N28">
        <f t="shared" si="11"/>
        <v>2.6203253395941646</v>
      </c>
      <c r="O28">
        <f t="shared" si="12"/>
        <v>2.5409215414246447</v>
      </c>
      <c r="P28" s="1">
        <f t="shared" si="13"/>
        <v>2.4661885549121552</v>
      </c>
      <c r="Q28" s="1">
        <f t="shared" si="14"/>
        <v>2.3957260247718075</v>
      </c>
      <c r="R28" s="1">
        <f t="shared" si="15"/>
        <v>2.3291780796392576</v>
      </c>
      <c r="S28" s="1">
        <f t="shared" si="16"/>
        <v>2.2662273207300885</v>
      </c>
      <c r="T28" s="1">
        <f t="shared" si="17"/>
        <v>2.206589759658244</v>
      </c>
      <c r="U28" s="1">
        <f t="shared" si="18"/>
        <v>2.1500105350516221</v>
      </c>
      <c r="V28" s="1">
        <f t="shared" si="19"/>
        <v>2.0962602716753316</v>
      </c>
    </row>
    <row r="29" spans="1:22" x14ac:dyDescent="0.3">
      <c r="A29" s="3">
        <f t="shared" si="20"/>
        <v>525</v>
      </c>
      <c r="B29">
        <f t="shared" si="21"/>
        <v>4.4021465705181964</v>
      </c>
      <c r="C29">
        <f>n1_N2*R_N2*A29/C11</f>
        <v>4.1925205433506632</v>
      </c>
      <c r="D29">
        <f t="shared" si="1"/>
        <v>4.0019514277438146</v>
      </c>
      <c r="E29">
        <f t="shared" si="2"/>
        <v>3.8279535395810402</v>
      </c>
      <c r="F29">
        <f t="shared" si="3"/>
        <v>3.6684554754318301</v>
      </c>
      <c r="G29">
        <f t="shared" si="4"/>
        <v>3.5217172564145569</v>
      </c>
      <c r="H29">
        <f t="shared" si="5"/>
        <v>3.3862665927063049</v>
      </c>
      <c r="I29">
        <f t="shared" si="6"/>
        <v>3.2608493114949604</v>
      </c>
      <c r="J29">
        <f t="shared" si="7"/>
        <v>3.1443904075129976</v>
      </c>
      <c r="K29">
        <f t="shared" si="8"/>
        <v>3.0359631520815147</v>
      </c>
      <c r="L29">
        <f t="shared" si="9"/>
        <v>2.9347643803454644</v>
      </c>
      <c r="M29">
        <f t="shared" si="10"/>
        <v>2.8400945616246429</v>
      </c>
      <c r="N29">
        <f t="shared" si="11"/>
        <v>2.7513416065738725</v>
      </c>
      <c r="O29">
        <f t="shared" si="12"/>
        <v>2.6679676184958767</v>
      </c>
      <c r="P29">
        <f t="shared" si="13"/>
        <v>2.5894979826577624</v>
      </c>
      <c r="Q29">
        <f t="shared" si="14"/>
        <v>2.515512326010398</v>
      </c>
      <c r="R29" s="1">
        <f t="shared" si="15"/>
        <v>2.4456369836212204</v>
      </c>
      <c r="S29" s="1">
        <f t="shared" si="16"/>
        <v>2.3795386867665926</v>
      </c>
      <c r="T29" s="1">
        <f t="shared" si="17"/>
        <v>2.316919247641156</v>
      </c>
      <c r="U29" s="1">
        <f t="shared" si="18"/>
        <v>2.2575110618042031</v>
      </c>
      <c r="V29" s="1">
        <f t="shared" si="19"/>
        <v>2.2010732852590982</v>
      </c>
    </row>
    <row r="30" spans="1:22" x14ac:dyDescent="0.3">
      <c r="A30" s="3">
        <f t="shared" si="20"/>
        <v>550</v>
      </c>
      <c r="B30">
        <f t="shared" si="21"/>
        <v>4.6117725976857296</v>
      </c>
      <c r="C30">
        <f>n1_N2*R_N2*A30/C11</f>
        <v>4.3921643787483138</v>
      </c>
      <c r="D30">
        <f t="shared" si="1"/>
        <v>4.1925205433506632</v>
      </c>
      <c r="E30">
        <f t="shared" si="2"/>
        <v>4.0102370414658512</v>
      </c>
      <c r="F30">
        <f t="shared" si="3"/>
        <v>3.8431438314047743</v>
      </c>
      <c r="G30">
        <f t="shared" si="4"/>
        <v>3.6894180781485835</v>
      </c>
      <c r="H30">
        <f t="shared" si="5"/>
        <v>3.547517382835176</v>
      </c>
      <c r="I30">
        <f t="shared" si="6"/>
        <v>3.4161278501375771</v>
      </c>
      <c r="J30">
        <f t="shared" si="7"/>
        <v>3.2941232840612349</v>
      </c>
      <c r="K30">
        <f t="shared" si="8"/>
        <v>3.180532825990158</v>
      </c>
      <c r="L30">
        <f t="shared" si="9"/>
        <v>3.0745150651238196</v>
      </c>
      <c r="M30">
        <f t="shared" si="10"/>
        <v>2.9753371597972444</v>
      </c>
      <c r="N30">
        <f t="shared" si="11"/>
        <v>2.8823578735535809</v>
      </c>
      <c r="O30">
        <f t="shared" si="12"/>
        <v>2.7950136955671088</v>
      </c>
      <c r="P30">
        <f t="shared" si="13"/>
        <v>2.7128074104033701</v>
      </c>
      <c r="Q30">
        <f t="shared" si="14"/>
        <v>2.635298627248988</v>
      </c>
      <c r="R30">
        <f t="shared" si="15"/>
        <v>2.5620958876031827</v>
      </c>
      <c r="S30" s="1">
        <f t="shared" si="16"/>
        <v>2.4928500528030968</v>
      </c>
      <c r="T30" s="1">
        <f t="shared" si="17"/>
        <v>2.427248735624068</v>
      </c>
      <c r="U30" s="1">
        <f t="shared" si="18"/>
        <v>2.3650115885567842</v>
      </c>
      <c r="V30" s="1">
        <f t="shared" si="19"/>
        <v>2.3058862988428648</v>
      </c>
    </row>
    <row r="31" spans="1:22" x14ac:dyDescent="0.3">
      <c r="A31" s="3">
        <f t="shared" si="20"/>
        <v>575</v>
      </c>
      <c r="B31">
        <f t="shared" si="21"/>
        <v>4.8213986248532628</v>
      </c>
      <c r="C31">
        <f>n1_N2*R_N2*A31/C11</f>
        <v>4.5918082141459644</v>
      </c>
      <c r="D31">
        <f t="shared" si="1"/>
        <v>4.3830896589575117</v>
      </c>
      <c r="E31">
        <f t="shared" si="2"/>
        <v>4.1925205433506632</v>
      </c>
      <c r="F31">
        <f t="shared" si="3"/>
        <v>4.017832187377719</v>
      </c>
      <c r="G31">
        <f t="shared" si="4"/>
        <v>3.8571188998826105</v>
      </c>
      <c r="H31">
        <f t="shared" si="5"/>
        <v>3.7087681729640485</v>
      </c>
      <c r="I31">
        <f t="shared" si="6"/>
        <v>3.5714063887801948</v>
      </c>
      <c r="J31">
        <f t="shared" si="7"/>
        <v>3.4438561606094735</v>
      </c>
      <c r="K31">
        <f t="shared" si="8"/>
        <v>3.3251024998988021</v>
      </c>
      <c r="L31">
        <f t="shared" si="9"/>
        <v>3.2142657499021752</v>
      </c>
      <c r="M31">
        <f t="shared" si="10"/>
        <v>3.1105797579698469</v>
      </c>
      <c r="N31">
        <f t="shared" si="11"/>
        <v>3.0133741405332892</v>
      </c>
      <c r="O31">
        <f t="shared" si="12"/>
        <v>2.9220597726383413</v>
      </c>
      <c r="P31">
        <f t="shared" si="13"/>
        <v>2.8361168381489783</v>
      </c>
      <c r="Q31">
        <f t="shared" si="14"/>
        <v>2.7550849284875789</v>
      </c>
      <c r="R31">
        <f t="shared" si="15"/>
        <v>2.678554791585146</v>
      </c>
      <c r="S31">
        <f t="shared" si="16"/>
        <v>2.6061614188396014</v>
      </c>
      <c r="T31">
        <f t="shared" si="17"/>
        <v>2.5375782236069804</v>
      </c>
      <c r="U31" s="1">
        <f t="shared" si="18"/>
        <v>2.4725121153093657</v>
      </c>
      <c r="V31" s="1">
        <f t="shared" si="19"/>
        <v>2.4106993124266314</v>
      </c>
    </row>
    <row r="32" spans="1:22" x14ac:dyDescent="0.3">
      <c r="A32" s="3">
        <f t="shared" si="20"/>
        <v>600</v>
      </c>
      <c r="B32">
        <f t="shared" si="21"/>
        <v>5.031024652020796</v>
      </c>
      <c r="C32">
        <f>n1_N2*R_N2*A32/C11</f>
        <v>4.791452049543615</v>
      </c>
      <c r="D32">
        <f t="shared" si="1"/>
        <v>4.5736587745643593</v>
      </c>
      <c r="E32">
        <f t="shared" si="2"/>
        <v>4.3748040452354742</v>
      </c>
      <c r="F32">
        <f t="shared" si="3"/>
        <v>4.1925205433506632</v>
      </c>
      <c r="G32">
        <f t="shared" si="4"/>
        <v>4.0248197216166366</v>
      </c>
      <c r="H32">
        <f t="shared" si="5"/>
        <v>3.8700189630929196</v>
      </c>
      <c r="I32">
        <f t="shared" si="6"/>
        <v>3.7266849274228115</v>
      </c>
      <c r="J32">
        <f t="shared" si="7"/>
        <v>3.5935890371577113</v>
      </c>
      <c r="K32">
        <f t="shared" si="8"/>
        <v>3.4696721738074454</v>
      </c>
      <c r="L32">
        <f t="shared" si="9"/>
        <v>3.3540164346805303</v>
      </c>
      <c r="M32">
        <f t="shared" si="10"/>
        <v>3.2458223561424489</v>
      </c>
      <c r="N32">
        <f t="shared" si="11"/>
        <v>3.1443904075129971</v>
      </c>
      <c r="O32">
        <f t="shared" si="12"/>
        <v>3.0491058497095733</v>
      </c>
      <c r="P32">
        <f t="shared" si="13"/>
        <v>2.9594262658945856</v>
      </c>
      <c r="Q32">
        <f t="shared" si="14"/>
        <v>2.8748712297261689</v>
      </c>
      <c r="R32">
        <f t="shared" si="15"/>
        <v>2.7950136955671088</v>
      </c>
      <c r="S32">
        <f t="shared" si="16"/>
        <v>2.7194727848761056</v>
      </c>
      <c r="T32">
        <f t="shared" si="17"/>
        <v>2.6479077115898924</v>
      </c>
      <c r="U32">
        <f t="shared" si="18"/>
        <v>2.5800126420619467</v>
      </c>
      <c r="V32">
        <f t="shared" si="19"/>
        <v>2.515512326010398</v>
      </c>
    </row>
  </sheetData>
  <conditionalFormatting sqref="B12:V32">
    <cfRule type="cellIs" dxfId="1" priority="1" operator="between">
      <formula>1</formula>
      <formula>2.5</formula>
    </cfRule>
    <cfRule type="colorScale" priority="3">
      <colorScale>
        <cfvo type="min"/>
        <cfvo type="percentile" val="50"/>
        <cfvo type="max"/>
        <color rgb="FFF8696B"/>
        <color rgb="FFFCFCFF"/>
        <color rgb="FF63BE7B"/>
      </colorScale>
    </cfRule>
  </conditionalFormatting>
  <conditionalFormatting sqref="D8">
    <cfRule type="cellIs" dxfId="0" priority="2" operator="between">
      <formula>1</formula>
      <formula>2.5</formula>
    </cfRule>
  </conditionalFormatting>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9DEE-0E37-4D8A-B84D-02339E95CCB3}">
  <dimension ref="B3:T101"/>
  <sheetViews>
    <sheetView topLeftCell="A2" zoomScale="25" zoomScaleNormal="40" workbookViewId="0">
      <selection activeCell="AO72" sqref="AO72"/>
    </sheetView>
  </sheetViews>
  <sheetFormatPr defaultRowHeight="14.4" x14ac:dyDescent="0.3"/>
  <cols>
    <col min="2" max="2" width="16.5546875" customWidth="1"/>
    <col min="3" max="3" width="10.88671875" customWidth="1"/>
    <col min="5" max="5" width="15.5546875" customWidth="1"/>
    <col min="6" max="6" width="14.44140625" customWidth="1"/>
    <col min="7" max="7" width="16.33203125" customWidth="1"/>
    <col min="8" max="9" width="11.5546875" bestFit="1" customWidth="1"/>
    <col min="10" max="10" width="13" customWidth="1"/>
    <col min="19" max="20" width="11.5546875" bestFit="1" customWidth="1"/>
  </cols>
  <sheetData>
    <row r="3" spans="2:10" ht="29.4" thickBot="1" x14ac:dyDescent="0.35">
      <c r="B3" s="17" t="s">
        <v>60</v>
      </c>
      <c r="C3" s="18" t="s">
        <v>62</v>
      </c>
      <c r="D3" s="19" t="s">
        <v>29</v>
      </c>
      <c r="E3" s="19" t="s">
        <v>26</v>
      </c>
      <c r="F3" s="19" t="s">
        <v>63</v>
      </c>
      <c r="G3" s="25" t="s">
        <v>64</v>
      </c>
      <c r="H3" s="26" t="s">
        <v>65</v>
      </c>
      <c r="I3" s="26" t="s">
        <v>66</v>
      </c>
      <c r="J3" s="11" t="s">
        <v>73</v>
      </c>
    </row>
    <row r="4" spans="2:10" ht="15" thickBot="1" x14ac:dyDescent="0.35">
      <c r="B4" s="6" t="s">
        <v>30</v>
      </c>
      <c r="C4" s="29">
        <v>43843</v>
      </c>
      <c r="D4" s="30">
        <f>340.85</f>
        <v>340.85</v>
      </c>
      <c r="E4" s="30">
        <f>331.51</f>
        <v>331.51</v>
      </c>
      <c r="F4" s="30">
        <f>338.92</f>
        <v>338.92</v>
      </c>
      <c r="G4" s="27">
        <f>D4/339.26</f>
        <v>1.0046866709898015</v>
      </c>
      <c r="H4" s="28">
        <f>E4/339.26</f>
        <v>0.97715616341449041</v>
      </c>
      <c r="I4" s="28">
        <f>F4/339.26</f>
        <v>0.99899781878205518</v>
      </c>
      <c r="J4">
        <f>(F4-319.5506667)^2</f>
        <v>375.17107248648864</v>
      </c>
    </row>
    <row r="5" spans="2:10" ht="15" thickBot="1" x14ac:dyDescent="0.35">
      <c r="B5" s="6" t="s">
        <v>31</v>
      </c>
      <c r="C5" s="29">
        <v>43840</v>
      </c>
      <c r="D5" s="30">
        <f>338.5</f>
        <v>338.5</v>
      </c>
      <c r="E5" s="30">
        <f>327.27</f>
        <v>327.27</v>
      </c>
      <c r="F5" s="30">
        <f>329.05</f>
        <v>329.05</v>
      </c>
      <c r="G5" s="25">
        <f t="shared" ref="G5:G33" si="0">D5/339.26</f>
        <v>0.99775983021871129</v>
      </c>
      <c r="H5" s="28">
        <f t="shared" ref="H5:H33" si="1">E5/339.26</f>
        <v>0.96465837410835342</v>
      </c>
      <c r="I5" s="28">
        <f t="shared" ref="I5:I33" si="2">F5/339.26</f>
        <v>0.96990508754347704</v>
      </c>
      <c r="J5">
        <f t="shared" ref="J5:J33" si="3">(F5-319.5506667)^2</f>
        <v>90.237333144488687</v>
      </c>
    </row>
    <row r="6" spans="2:10" ht="15" thickBot="1" x14ac:dyDescent="0.35">
      <c r="B6" s="6" t="s">
        <v>32</v>
      </c>
      <c r="C6" s="29">
        <v>43839</v>
      </c>
      <c r="D6" s="30">
        <f>338.5</f>
        <v>338.5</v>
      </c>
      <c r="E6" s="30">
        <f>334.61</f>
        <v>334.61</v>
      </c>
      <c r="F6" s="30">
        <f>335.66</f>
        <v>335.66</v>
      </c>
      <c r="G6" s="25">
        <f t="shared" si="0"/>
        <v>0.99775983021871129</v>
      </c>
      <c r="H6" s="28">
        <f t="shared" si="1"/>
        <v>0.98629369804869427</v>
      </c>
      <c r="I6" s="28">
        <f t="shared" si="2"/>
        <v>0.98938866945705373</v>
      </c>
      <c r="J6">
        <f t="shared" si="3"/>
        <v>259.510619370489</v>
      </c>
    </row>
    <row r="7" spans="2:10" ht="15" thickBot="1" x14ac:dyDescent="0.35">
      <c r="B7" s="6" t="s">
        <v>33</v>
      </c>
      <c r="C7" s="29">
        <v>43838</v>
      </c>
      <c r="D7" s="30">
        <f>338.5</f>
        <v>338.5</v>
      </c>
      <c r="E7" s="30">
        <f>331.05</f>
        <v>331.05</v>
      </c>
      <c r="F7" s="34">
        <f>339.26</f>
        <v>339.26</v>
      </c>
      <c r="G7" s="25">
        <f t="shared" si="0"/>
        <v>0.99775983021871129</v>
      </c>
      <c r="H7" s="28">
        <f t="shared" si="1"/>
        <v>0.97580027117844725</v>
      </c>
      <c r="I7" s="28">
        <f t="shared" si="2"/>
        <v>1</v>
      </c>
      <c r="J7">
        <f t="shared" si="3"/>
        <v>388.45781913048768</v>
      </c>
    </row>
    <row r="8" spans="2:10" ht="15" thickBot="1" x14ac:dyDescent="0.35">
      <c r="B8" s="6" t="s">
        <v>34</v>
      </c>
      <c r="C8" s="29">
        <v>43837</v>
      </c>
      <c r="D8" s="30">
        <f>336.7</f>
        <v>336.7</v>
      </c>
      <c r="E8" s="30">
        <f>330.3</f>
        <v>330.3</v>
      </c>
      <c r="F8" s="30">
        <f>330.75</f>
        <v>330.75</v>
      </c>
      <c r="G8" s="25">
        <f t="shared" si="0"/>
        <v>0.99245416494723815</v>
      </c>
      <c r="H8" s="28">
        <f t="shared" si="1"/>
        <v>0.97358957731533347</v>
      </c>
      <c r="I8" s="28">
        <f t="shared" si="2"/>
        <v>0.97491599363320169</v>
      </c>
      <c r="J8">
        <f t="shared" si="3"/>
        <v>125.4250663644884</v>
      </c>
    </row>
    <row r="9" spans="2:10" ht="15" thickBot="1" x14ac:dyDescent="0.35">
      <c r="B9" s="6" t="s">
        <v>35</v>
      </c>
      <c r="C9" s="29">
        <v>43836</v>
      </c>
      <c r="D9" s="30">
        <f>336.36</f>
        <v>336.36</v>
      </c>
      <c r="E9" s="30">
        <f>321.2</f>
        <v>321.2</v>
      </c>
      <c r="F9" s="30">
        <f>335.83</f>
        <v>335.83</v>
      </c>
      <c r="G9" s="25">
        <f t="shared" si="0"/>
        <v>0.99145198372929322</v>
      </c>
      <c r="H9" s="28">
        <f t="shared" si="1"/>
        <v>0.94676649177621885</v>
      </c>
      <c r="I9" s="28">
        <f t="shared" si="2"/>
        <v>0.98988976006602603</v>
      </c>
      <c r="J9">
        <f t="shared" si="3"/>
        <v>265.01669269248765</v>
      </c>
    </row>
    <row r="10" spans="2:10" ht="15" thickBot="1" x14ac:dyDescent="0.35">
      <c r="B10" s="6" t="s">
        <v>36</v>
      </c>
      <c r="C10" s="29">
        <v>43833</v>
      </c>
      <c r="D10" s="30">
        <f>329.86</f>
        <v>329.86</v>
      </c>
      <c r="E10" s="30">
        <f>325.53</f>
        <v>325.52999999999997</v>
      </c>
      <c r="F10" s="30">
        <f>325.9</f>
        <v>325.89999999999998</v>
      </c>
      <c r="G10" s="25">
        <f t="shared" si="0"/>
        <v>0.97229263691563994</v>
      </c>
      <c r="H10" s="28">
        <f t="shared" si="1"/>
        <v>0.95952956434592929</v>
      </c>
      <c r="I10" s="28">
        <f t="shared" si="2"/>
        <v>0.96062017331839877</v>
      </c>
      <c r="J10">
        <f t="shared" si="3"/>
        <v>40.314033354488323</v>
      </c>
    </row>
    <row r="11" spans="2:10" ht="15" thickBot="1" x14ac:dyDescent="0.35">
      <c r="B11" s="6" t="s">
        <v>37</v>
      </c>
      <c r="C11" s="29">
        <v>43832</v>
      </c>
      <c r="D11" s="30">
        <f>329.98</f>
        <v>329.98</v>
      </c>
      <c r="E11" s="30">
        <f>324.78</f>
        <v>324.77999999999997</v>
      </c>
      <c r="F11" s="30">
        <f>329.81</f>
        <v>329.81</v>
      </c>
      <c r="G11" s="25">
        <f t="shared" si="0"/>
        <v>0.97264634793373816</v>
      </c>
      <c r="H11" s="28">
        <f t="shared" si="1"/>
        <v>0.9573188704828155</v>
      </c>
      <c r="I11" s="28">
        <f t="shared" si="2"/>
        <v>0.97214525732476575</v>
      </c>
      <c r="J11">
        <f t="shared" si="3"/>
        <v>105.25391976048849</v>
      </c>
    </row>
    <row r="12" spans="2:10" ht="15" thickBot="1" x14ac:dyDescent="0.35">
      <c r="B12" s="6" t="s">
        <v>38</v>
      </c>
      <c r="C12" s="29">
        <v>43830</v>
      </c>
      <c r="D12" s="30">
        <f>324.92</f>
        <v>324.92</v>
      </c>
      <c r="E12" s="30">
        <f>321.09</f>
        <v>321.08999999999997</v>
      </c>
      <c r="F12" s="30">
        <f>323.57</f>
        <v>323.57</v>
      </c>
      <c r="G12" s="25">
        <f t="shared" si="0"/>
        <v>0.95773153333726357</v>
      </c>
      <c r="H12" s="28">
        <f t="shared" si="1"/>
        <v>0.94644225667629545</v>
      </c>
      <c r="I12" s="28">
        <f t="shared" si="2"/>
        <v>0.95375228438365856</v>
      </c>
      <c r="J12">
        <f t="shared" si="3"/>
        <v>16.155040176488658</v>
      </c>
    </row>
    <row r="13" spans="2:10" ht="15" thickBot="1" x14ac:dyDescent="0.35">
      <c r="B13" s="6" t="s">
        <v>39</v>
      </c>
      <c r="C13" s="29">
        <v>43829</v>
      </c>
      <c r="D13" s="30">
        <f>329.19</f>
        <v>329.19</v>
      </c>
      <c r="E13" s="30">
        <f>322.86</f>
        <v>322.86</v>
      </c>
      <c r="F13" s="30">
        <f>323.31</f>
        <v>323.31</v>
      </c>
      <c r="G13" s="25">
        <f t="shared" si="0"/>
        <v>0.97031775039792489</v>
      </c>
      <c r="H13" s="28">
        <f t="shared" si="1"/>
        <v>0.95165949419324414</v>
      </c>
      <c r="I13" s="28">
        <f t="shared" si="2"/>
        <v>0.95298591051111248</v>
      </c>
      <c r="J13">
        <f t="shared" si="3"/>
        <v>14.132586860488741</v>
      </c>
    </row>
    <row r="14" spans="2:10" ht="15" thickBot="1" x14ac:dyDescent="0.35">
      <c r="B14" s="6" t="s">
        <v>40</v>
      </c>
      <c r="C14" s="29">
        <v>43826</v>
      </c>
      <c r="D14" s="30">
        <f>333.82</f>
        <v>333.82</v>
      </c>
      <c r="E14" s="30">
        <f>326.01</f>
        <v>326.01</v>
      </c>
      <c r="F14" s="30">
        <f>329.09</f>
        <v>329.09</v>
      </c>
      <c r="G14" s="25">
        <f t="shared" si="0"/>
        <v>0.983965100512881</v>
      </c>
      <c r="H14" s="28">
        <f t="shared" si="1"/>
        <v>0.96094440841832218</v>
      </c>
      <c r="I14" s="28">
        <f t="shared" si="2"/>
        <v>0.9700229912161763</v>
      </c>
      <c r="J14">
        <f t="shared" si="3"/>
        <v>90.998879808487999</v>
      </c>
    </row>
    <row r="15" spans="2:10" ht="15" thickBot="1" x14ac:dyDescent="0.35">
      <c r="B15" s="6" t="s">
        <v>41</v>
      </c>
      <c r="C15" s="29">
        <v>43825</v>
      </c>
      <c r="D15" s="30">
        <f>336.46</f>
        <v>336.46</v>
      </c>
      <c r="E15" s="30">
        <f>332.01</f>
        <v>332.01</v>
      </c>
      <c r="F15" s="30">
        <f>332.63</f>
        <v>332.63</v>
      </c>
      <c r="G15" s="25">
        <f t="shared" si="0"/>
        <v>0.99174674291104159</v>
      </c>
      <c r="H15" s="28">
        <f t="shared" si="1"/>
        <v>0.97862995932323293</v>
      </c>
      <c r="I15" s="28">
        <f t="shared" si="2"/>
        <v>0.98045746625007368</v>
      </c>
      <c r="J15">
        <f t="shared" si="3"/>
        <v>171.06895957248818</v>
      </c>
    </row>
    <row r="16" spans="2:10" ht="15" thickBot="1" x14ac:dyDescent="0.35">
      <c r="B16" s="6" t="s">
        <v>42</v>
      </c>
      <c r="C16" s="29">
        <v>43823</v>
      </c>
      <c r="D16" s="30">
        <f>335.7</f>
        <v>335.7</v>
      </c>
      <c r="E16" s="30">
        <f>331.6</f>
        <v>331.6</v>
      </c>
      <c r="F16" s="30">
        <f>333.2</f>
        <v>333.2</v>
      </c>
      <c r="G16" s="25">
        <f t="shared" si="0"/>
        <v>0.98950657312975299</v>
      </c>
      <c r="H16" s="28">
        <f t="shared" si="1"/>
        <v>0.97742144667806408</v>
      </c>
      <c r="I16" s="28">
        <f t="shared" si="2"/>
        <v>0.98213759358604025</v>
      </c>
      <c r="J16">
        <f t="shared" si="3"/>
        <v>186.30429953448797</v>
      </c>
    </row>
    <row r="17" spans="2:10" ht="15" thickBot="1" x14ac:dyDescent="0.35">
      <c r="B17" s="6" t="s">
        <v>43</v>
      </c>
      <c r="C17" s="29">
        <v>43822</v>
      </c>
      <c r="D17" s="30">
        <f>337.95</f>
        <v>337.95</v>
      </c>
      <c r="E17" s="30">
        <f>331.02</f>
        <v>331.02</v>
      </c>
      <c r="F17" s="30">
        <f>333.1</f>
        <v>333.1</v>
      </c>
      <c r="G17" s="25">
        <f t="shared" si="0"/>
        <v>0.99613865471909446</v>
      </c>
      <c r="H17" s="28">
        <f t="shared" si="1"/>
        <v>0.97571184342392259</v>
      </c>
      <c r="I17" s="28">
        <f t="shared" si="2"/>
        <v>0.98184283440429176</v>
      </c>
      <c r="J17">
        <f t="shared" si="3"/>
        <v>183.5844328744889</v>
      </c>
    </row>
    <row r="18" spans="2:10" ht="15" thickBot="1" x14ac:dyDescent="0.35">
      <c r="B18" s="6" t="s">
        <v>44</v>
      </c>
      <c r="C18" s="29">
        <v>43819</v>
      </c>
      <c r="D18" s="30">
        <f>338</f>
        <v>338</v>
      </c>
      <c r="E18" s="30">
        <f>330.6</f>
        <v>330.6</v>
      </c>
      <c r="F18" s="30">
        <f>336.9</f>
        <v>336.9</v>
      </c>
      <c r="G18" s="25">
        <f t="shared" si="0"/>
        <v>0.99628603430996876</v>
      </c>
      <c r="H18" s="28">
        <f t="shared" si="1"/>
        <v>0.97447385486057903</v>
      </c>
      <c r="I18" s="28">
        <f t="shared" si="2"/>
        <v>0.99304368331073511</v>
      </c>
      <c r="J18">
        <f t="shared" si="3"/>
        <v>300.99936595448736</v>
      </c>
    </row>
    <row r="19" spans="2:10" ht="15" thickBot="1" x14ac:dyDescent="0.35">
      <c r="B19" s="6" t="s">
        <v>45</v>
      </c>
      <c r="C19" s="29">
        <v>43818</v>
      </c>
      <c r="D19" s="30">
        <f>332.83</f>
        <v>332.83</v>
      </c>
      <c r="E19" s="30">
        <f>324.18</f>
        <v>324.18</v>
      </c>
      <c r="F19" s="30">
        <f>332.22</f>
        <v>332.22</v>
      </c>
      <c r="G19" s="25">
        <f t="shared" si="0"/>
        <v>0.98104698461357065</v>
      </c>
      <c r="H19" s="28">
        <f t="shared" si="1"/>
        <v>0.95555031539232449</v>
      </c>
      <c r="I19" s="28">
        <f t="shared" si="2"/>
        <v>0.97924895360490494</v>
      </c>
      <c r="J19">
        <f t="shared" si="3"/>
        <v>160.51200626648901</v>
      </c>
    </row>
    <row r="20" spans="2:10" ht="15" thickBot="1" x14ac:dyDescent="0.35">
      <c r="B20" s="6" t="s">
        <v>46</v>
      </c>
      <c r="C20" s="29">
        <v>43817</v>
      </c>
      <c r="D20" s="30">
        <f>325.36</f>
        <v>325.36</v>
      </c>
      <c r="E20" s="30">
        <f>315.6</f>
        <v>315.60000000000002</v>
      </c>
      <c r="F20" s="30">
        <f>320.8</f>
        <v>320.8</v>
      </c>
      <c r="G20" s="25">
        <f t="shared" si="0"/>
        <v>0.95902847373695699</v>
      </c>
      <c r="H20" s="28">
        <f t="shared" si="1"/>
        <v>0.93025997759830226</v>
      </c>
      <c r="I20" s="28">
        <f t="shared" si="2"/>
        <v>0.94558745504922481</v>
      </c>
      <c r="J20">
        <f t="shared" si="3"/>
        <v>1.5608336944888632</v>
      </c>
    </row>
    <row r="21" spans="2:10" ht="15" thickBot="1" x14ac:dyDescent="0.35">
      <c r="B21" s="6" t="s">
        <v>47</v>
      </c>
      <c r="C21" s="29">
        <v>43816</v>
      </c>
      <c r="D21" s="30">
        <f>316.8</f>
        <v>316.8</v>
      </c>
      <c r="E21" s="30">
        <f>306.6</f>
        <v>306.60000000000002</v>
      </c>
      <c r="F21" s="30">
        <f>315.48</f>
        <v>315.48</v>
      </c>
      <c r="G21" s="25">
        <f t="shared" si="0"/>
        <v>0.93379708777928438</v>
      </c>
      <c r="H21" s="28">
        <f t="shared" si="1"/>
        <v>0.90373165124093624</v>
      </c>
      <c r="I21" s="28">
        <f t="shared" si="2"/>
        <v>0.92990626658020403</v>
      </c>
      <c r="J21">
        <f t="shared" si="3"/>
        <v>16.570327382488923</v>
      </c>
    </row>
    <row r="22" spans="2:10" ht="15" thickBot="1" x14ac:dyDescent="0.35">
      <c r="B22" s="6" t="s">
        <v>48</v>
      </c>
      <c r="C22" s="29">
        <v>43815</v>
      </c>
      <c r="D22" s="30">
        <f>305.71</f>
        <v>305.70999999999998</v>
      </c>
      <c r="E22" s="30">
        <f>298.63</f>
        <v>298.63</v>
      </c>
      <c r="F22" s="30">
        <f>304.21</f>
        <v>304.20999999999998</v>
      </c>
      <c r="G22" s="25">
        <f t="shared" si="0"/>
        <v>0.90110829452337438</v>
      </c>
      <c r="H22" s="28">
        <f t="shared" si="1"/>
        <v>0.88023934445557983</v>
      </c>
      <c r="I22" s="28">
        <f t="shared" si="2"/>
        <v>0.89668690679714669</v>
      </c>
      <c r="J22">
        <f t="shared" si="3"/>
        <v>235.33605480049019</v>
      </c>
    </row>
    <row r="23" spans="2:10" ht="15" thickBot="1" x14ac:dyDescent="0.35">
      <c r="B23" s="6" t="s">
        <v>49</v>
      </c>
      <c r="C23" s="29">
        <v>43812</v>
      </c>
      <c r="D23" s="30">
        <f>301.8</f>
        <v>301.8</v>
      </c>
      <c r="E23" s="30">
        <f>297.25</f>
        <v>297.25</v>
      </c>
      <c r="F23" s="30">
        <f>298.5</f>
        <v>298.5</v>
      </c>
      <c r="G23" s="25">
        <f t="shared" si="0"/>
        <v>0.88958321051700762</v>
      </c>
      <c r="H23" s="28">
        <f t="shared" si="1"/>
        <v>0.87617166774745037</v>
      </c>
      <c r="I23" s="28">
        <f t="shared" si="2"/>
        <v>0.87985615751930679</v>
      </c>
      <c r="J23">
        <f t="shared" si="3"/>
        <v>443.13056851448982</v>
      </c>
    </row>
    <row r="24" spans="2:10" ht="15" thickBot="1" x14ac:dyDescent="0.35">
      <c r="B24" s="6" t="s">
        <v>50</v>
      </c>
      <c r="C24" s="29">
        <v>43811</v>
      </c>
      <c r="D24" s="30">
        <f>299.17</f>
        <v>299.17</v>
      </c>
      <c r="E24" s="30">
        <f>295.06</f>
        <v>295.06</v>
      </c>
      <c r="F24" s="30">
        <f>298.44</f>
        <v>298.44</v>
      </c>
      <c r="G24" s="25">
        <f t="shared" si="0"/>
        <v>0.88183104403702184</v>
      </c>
      <c r="H24" s="28">
        <f t="shared" si="1"/>
        <v>0.869716441667158</v>
      </c>
      <c r="I24" s="28">
        <f t="shared" si="2"/>
        <v>0.87967930201025768</v>
      </c>
      <c r="J24">
        <f t="shared" si="3"/>
        <v>445.66024851848994</v>
      </c>
    </row>
    <row r="25" spans="2:10" ht="15" thickBot="1" x14ac:dyDescent="0.35">
      <c r="B25" s="6" t="s">
        <v>51</v>
      </c>
      <c r="C25" s="29">
        <v>43810</v>
      </c>
      <c r="D25" s="30">
        <f>299.43</f>
        <v>299.43</v>
      </c>
      <c r="E25" s="30">
        <f>294.2</f>
        <v>294.2</v>
      </c>
      <c r="F25" s="30">
        <f>298.93</f>
        <v>298.93</v>
      </c>
      <c r="G25" s="25">
        <f t="shared" si="0"/>
        <v>0.88259741790956792</v>
      </c>
      <c r="H25" s="28">
        <f t="shared" si="1"/>
        <v>0.86718151270412069</v>
      </c>
      <c r="I25" s="28">
        <f t="shared" si="2"/>
        <v>0.88112362200082539</v>
      </c>
      <c r="J25">
        <f t="shared" si="3"/>
        <v>425.21189515248949</v>
      </c>
    </row>
    <row r="26" spans="2:10" ht="15" thickBot="1" x14ac:dyDescent="0.35">
      <c r="B26" s="6" t="s">
        <v>52</v>
      </c>
      <c r="C26" s="29">
        <v>43809</v>
      </c>
      <c r="D26" s="30">
        <f>298.94</f>
        <v>298.94</v>
      </c>
      <c r="E26" s="30">
        <f>292.02</f>
        <v>292.02</v>
      </c>
      <c r="F26" s="30">
        <f>293.12</f>
        <v>293.12</v>
      </c>
      <c r="G26" s="25">
        <f t="shared" si="0"/>
        <v>0.88115309791900021</v>
      </c>
      <c r="H26" s="28">
        <f t="shared" si="1"/>
        <v>0.86075576254200314</v>
      </c>
      <c r="I26" s="28">
        <f t="shared" si="2"/>
        <v>0.8639981135412369</v>
      </c>
      <c r="J26">
        <f t="shared" si="3"/>
        <v>698.58014220648977</v>
      </c>
    </row>
    <row r="27" spans="2:10" ht="15" thickBot="1" x14ac:dyDescent="0.35">
      <c r="B27" s="6" t="s">
        <v>53</v>
      </c>
      <c r="C27" s="29">
        <v>43808</v>
      </c>
      <c r="D27" s="30">
        <f>311.49</f>
        <v>311.49</v>
      </c>
      <c r="E27" s="30">
        <f>302.44</f>
        <v>302.44</v>
      </c>
      <c r="F27" s="30">
        <f>302.5</f>
        <v>302.5</v>
      </c>
      <c r="G27" s="25">
        <f t="shared" si="0"/>
        <v>0.91814537522843842</v>
      </c>
      <c r="H27" s="28">
        <f t="shared" si="1"/>
        <v>0.89146966928019811</v>
      </c>
      <c r="I27" s="28">
        <f t="shared" si="2"/>
        <v>0.89164652478924722</v>
      </c>
      <c r="J27">
        <f t="shared" si="3"/>
        <v>290.72523491448965</v>
      </c>
    </row>
    <row r="28" spans="2:10" ht="15" thickBot="1" x14ac:dyDescent="0.35">
      <c r="B28" s="6" t="s">
        <v>54</v>
      </c>
      <c r="C28" s="29">
        <v>43805</v>
      </c>
      <c r="D28" s="30">
        <f>307.85</f>
        <v>307.85000000000002</v>
      </c>
      <c r="E28" s="30">
        <f>302.6</f>
        <v>302.60000000000002</v>
      </c>
      <c r="F28" s="30">
        <f>307.35</f>
        <v>307.35000000000002</v>
      </c>
      <c r="G28" s="25">
        <f t="shared" si="0"/>
        <v>0.90741614101279267</v>
      </c>
      <c r="H28" s="28">
        <f t="shared" si="1"/>
        <v>0.89194128397099581</v>
      </c>
      <c r="I28" s="28">
        <f t="shared" si="2"/>
        <v>0.90594234510405003</v>
      </c>
      <c r="J28">
        <f t="shared" si="3"/>
        <v>148.85626792448886</v>
      </c>
    </row>
    <row r="29" spans="2:10" ht="15" thickBot="1" x14ac:dyDescent="0.35">
      <c r="B29" s="6" t="s">
        <v>55</v>
      </c>
      <c r="C29" s="29">
        <v>43804</v>
      </c>
      <c r="D29" s="30">
        <f>306.48</f>
        <v>306.48</v>
      </c>
      <c r="E29" s="30">
        <f>298.81</f>
        <v>298.81</v>
      </c>
      <c r="F29" s="30">
        <f>302.86</f>
        <v>302.86</v>
      </c>
      <c r="G29" s="25">
        <f t="shared" si="0"/>
        <v>0.90337794022283802</v>
      </c>
      <c r="H29" s="28">
        <f t="shared" si="1"/>
        <v>0.88076991098272717</v>
      </c>
      <c r="I29" s="28">
        <f t="shared" si="2"/>
        <v>0.89270765784354189</v>
      </c>
      <c r="J29">
        <f t="shared" si="3"/>
        <v>278.57835489048915</v>
      </c>
    </row>
    <row r="30" spans="2:10" ht="15" thickBot="1" x14ac:dyDescent="0.35">
      <c r="B30" s="6" t="s">
        <v>56</v>
      </c>
      <c r="C30" s="29">
        <v>43803</v>
      </c>
      <c r="D30" s="30">
        <f>308.43</f>
        <v>308.43</v>
      </c>
      <c r="E30" s="30">
        <f>303.27</f>
        <v>303.27</v>
      </c>
      <c r="F30" s="30">
        <f>304.32</f>
        <v>304.32</v>
      </c>
      <c r="G30" s="25">
        <f t="shared" si="0"/>
        <v>0.90912574426693393</v>
      </c>
      <c r="H30" s="28">
        <f t="shared" si="1"/>
        <v>0.89391617048871075</v>
      </c>
      <c r="I30" s="28">
        <f t="shared" si="2"/>
        <v>0.8970111418970701</v>
      </c>
      <c r="J30">
        <f t="shared" si="3"/>
        <v>231.97320812648977</v>
      </c>
    </row>
    <row r="31" spans="2:10" ht="15" thickBot="1" x14ac:dyDescent="0.35">
      <c r="B31" s="6" t="s">
        <v>57</v>
      </c>
      <c r="C31" s="29">
        <v>43802</v>
      </c>
      <c r="D31" s="30">
        <f>307.36</f>
        <v>307.36</v>
      </c>
      <c r="E31" s="30">
        <f>301.88</f>
        <v>301.88</v>
      </c>
      <c r="F31" s="30">
        <f>306.16</f>
        <v>306.16000000000003</v>
      </c>
      <c r="G31" s="25">
        <f t="shared" si="0"/>
        <v>0.90597182102222495</v>
      </c>
      <c r="H31" s="28">
        <f t="shared" si="1"/>
        <v>0.88981901786240647</v>
      </c>
      <c r="I31" s="28">
        <f t="shared" si="2"/>
        <v>0.90243471084124283</v>
      </c>
      <c r="J31">
        <f t="shared" si="3"/>
        <v>179.30995467048882</v>
      </c>
    </row>
    <row r="32" spans="2:10" ht="15" thickBot="1" x14ac:dyDescent="0.35">
      <c r="B32" s="6" t="s">
        <v>58</v>
      </c>
      <c r="C32" s="29">
        <v>43801</v>
      </c>
      <c r="D32" s="30">
        <f>314.39</f>
        <v>314.39</v>
      </c>
      <c r="E32" s="30">
        <f>303.75</f>
        <v>303.75</v>
      </c>
      <c r="F32" s="30">
        <f>309.99</f>
        <v>309.99</v>
      </c>
      <c r="G32" s="25">
        <f t="shared" si="0"/>
        <v>0.9266933914991452</v>
      </c>
      <c r="H32" s="28">
        <f t="shared" si="1"/>
        <v>0.89533101456110364</v>
      </c>
      <c r="I32" s="28">
        <f t="shared" si="2"/>
        <v>0.91372398750221073</v>
      </c>
      <c r="J32">
        <f t="shared" si="3"/>
        <v>91.406347748489139</v>
      </c>
    </row>
    <row r="33" spans="2:16" x14ac:dyDescent="0.3">
      <c r="B33" s="6" t="s">
        <v>59</v>
      </c>
      <c r="C33" s="29">
        <v>43798</v>
      </c>
      <c r="D33" s="30">
        <f>316.62</f>
        <v>316.62</v>
      </c>
      <c r="E33" s="30">
        <f>313.34</f>
        <v>313.33999999999997</v>
      </c>
      <c r="F33" s="30">
        <f>314.66</f>
        <v>314.66000000000003</v>
      </c>
      <c r="G33" s="25">
        <f t="shared" si="0"/>
        <v>0.93326652125213705</v>
      </c>
      <c r="H33" s="28">
        <f t="shared" si="1"/>
        <v>0.92359842009078574</v>
      </c>
      <c r="I33" s="28">
        <f t="shared" si="2"/>
        <v>0.92748924128986632</v>
      </c>
      <c r="J33">
        <f t="shared" si="3"/>
        <v>23.918620770488861</v>
      </c>
    </row>
    <row r="34" spans="2:16" x14ac:dyDescent="0.3">
      <c r="B34" s="31" t="s">
        <v>68</v>
      </c>
      <c r="C34" s="11" t="s">
        <v>71</v>
      </c>
      <c r="D34" s="17">
        <f>F7</f>
        <v>339.26</v>
      </c>
      <c r="E34" s="32" t="s">
        <v>69</v>
      </c>
      <c r="F34" s="32">
        <f>SUM(F4:F33)/30</f>
        <v>319.5506666666667</v>
      </c>
      <c r="J34">
        <f>SUM(J4:J33)/30</f>
        <v>209.46533955555552</v>
      </c>
      <c r="P34" s="13"/>
    </row>
    <row r="35" spans="2:16" x14ac:dyDescent="0.3">
      <c r="C35" s="11" t="s">
        <v>72</v>
      </c>
      <c r="D35" s="17">
        <f>F26</f>
        <v>293.12</v>
      </c>
      <c r="E35" s="32" t="s">
        <v>70</v>
      </c>
      <c r="F35" s="32">
        <f>(F21+F20)/2</f>
        <v>318.14</v>
      </c>
      <c r="I35" s="32" t="s">
        <v>67</v>
      </c>
      <c r="J35" s="32">
        <f>(J34)^1/2</f>
        <v>104.73266977777776</v>
      </c>
    </row>
    <row r="37" spans="2:16" ht="29.4" thickBot="1" x14ac:dyDescent="0.35">
      <c r="B37" s="2" t="s">
        <v>61</v>
      </c>
      <c r="C37" s="20" t="s">
        <v>62</v>
      </c>
      <c r="D37" s="21" t="s">
        <v>29</v>
      </c>
      <c r="E37" s="21" t="s">
        <v>26</v>
      </c>
      <c r="F37" s="21" t="s">
        <v>63</v>
      </c>
      <c r="G37" s="15" t="s">
        <v>64</v>
      </c>
      <c r="H37" s="16" t="s">
        <v>65</v>
      </c>
      <c r="I37" s="16" t="s">
        <v>66</v>
      </c>
      <c r="J37" s="11" t="s">
        <v>73</v>
      </c>
    </row>
    <row r="38" spans="2:16" ht="15" thickBot="1" x14ac:dyDescent="0.35">
      <c r="B38" s="12" t="s">
        <v>30</v>
      </c>
      <c r="C38" s="22">
        <v>43843</v>
      </c>
      <c r="D38" s="23">
        <v>91.72</v>
      </c>
      <c r="E38" s="23">
        <v>90.21</v>
      </c>
      <c r="F38" s="33">
        <v>91.08</v>
      </c>
      <c r="G38" s="2">
        <f>D38/91.08</f>
        <v>1.0070267896354852</v>
      </c>
      <c r="H38" s="2">
        <f>E38/91.08</f>
        <v>0.99044795783926209</v>
      </c>
      <c r="I38" s="2">
        <f>F38/91.08</f>
        <v>1</v>
      </c>
      <c r="J38">
        <f>(F38-87.72666667)^2</f>
        <v>11.244844422088876</v>
      </c>
    </row>
    <row r="39" spans="2:16" ht="15" thickBot="1" x14ac:dyDescent="0.35">
      <c r="B39" s="12" t="s">
        <v>31</v>
      </c>
      <c r="C39" s="22">
        <v>43840</v>
      </c>
      <c r="D39" s="23">
        <v>90.89</v>
      </c>
      <c r="E39" s="23">
        <v>89.63</v>
      </c>
      <c r="F39" s="23">
        <v>90.16</v>
      </c>
      <c r="G39" s="2">
        <f t="shared" ref="G39:G67" si="4">D39/91.08</f>
        <v>0.99791392182696537</v>
      </c>
      <c r="H39" s="2">
        <f t="shared" ref="H39:H67" si="5">E39/91.08</f>
        <v>0.98407992973210356</v>
      </c>
      <c r="I39" s="2">
        <f t="shared" ref="I39:I67" si="6">F39/91.08</f>
        <v>0.98989898989898983</v>
      </c>
      <c r="J39">
        <f t="shared" ref="J39:J67" si="7">(F39-87.72666667)^2</f>
        <v>5.9211110948888717</v>
      </c>
    </row>
    <row r="40" spans="2:16" ht="15" thickBot="1" x14ac:dyDescent="0.35">
      <c r="B40" s="12" t="s">
        <v>32</v>
      </c>
      <c r="C40" s="22">
        <v>43839</v>
      </c>
      <c r="D40" s="23">
        <v>91.16</v>
      </c>
      <c r="E40" s="23">
        <v>90.07</v>
      </c>
      <c r="F40" s="23">
        <v>90.53</v>
      </c>
      <c r="G40" s="2">
        <f t="shared" si="4"/>
        <v>1.0008783487044357</v>
      </c>
      <c r="H40" s="2">
        <f t="shared" si="5"/>
        <v>0.98891084760649972</v>
      </c>
      <c r="I40" s="2">
        <f t="shared" si="6"/>
        <v>0.99396135265700492</v>
      </c>
      <c r="J40">
        <f t="shared" si="7"/>
        <v>7.8586777590888941</v>
      </c>
    </row>
    <row r="41" spans="2:16" ht="15" thickBot="1" x14ac:dyDescent="0.35">
      <c r="B41" s="12" t="s">
        <v>33</v>
      </c>
      <c r="C41" s="22">
        <v>43838</v>
      </c>
      <c r="D41" s="23">
        <v>89.35</v>
      </c>
      <c r="E41" s="23">
        <v>87.78</v>
      </c>
      <c r="F41" s="23">
        <v>88.88</v>
      </c>
      <c r="G41" s="2">
        <f t="shared" si="4"/>
        <v>0.98100570926657882</v>
      </c>
      <c r="H41" s="2">
        <f t="shared" si="5"/>
        <v>0.96376811594202905</v>
      </c>
      <c r="I41" s="2">
        <f t="shared" si="6"/>
        <v>0.97584541062801933</v>
      </c>
      <c r="J41">
        <f t="shared" si="7"/>
        <v>1.3301777700888779</v>
      </c>
    </row>
    <row r="42" spans="2:16" ht="15" thickBot="1" x14ac:dyDescent="0.35">
      <c r="B42" s="12" t="s">
        <v>34</v>
      </c>
      <c r="C42" s="22">
        <v>43837</v>
      </c>
      <c r="D42" s="23">
        <v>88.03</v>
      </c>
      <c r="E42" s="23">
        <v>87.13</v>
      </c>
      <c r="F42" s="23">
        <v>87.86</v>
      </c>
      <c r="G42" s="2">
        <f t="shared" si="4"/>
        <v>0.96651295564339046</v>
      </c>
      <c r="H42" s="2">
        <f t="shared" si="5"/>
        <v>0.95663153271848922</v>
      </c>
      <c r="I42" s="2">
        <f t="shared" si="6"/>
        <v>0.96464646464646464</v>
      </c>
      <c r="J42">
        <f t="shared" si="7"/>
        <v>1.7777776888888701E-2</v>
      </c>
    </row>
    <row r="43" spans="2:16" ht="15" thickBot="1" x14ac:dyDescent="0.35">
      <c r="B43" s="12" t="s">
        <v>35</v>
      </c>
      <c r="C43" s="22">
        <v>43836</v>
      </c>
      <c r="D43" s="23">
        <v>88.41</v>
      </c>
      <c r="E43" s="23">
        <v>87.47</v>
      </c>
      <c r="F43" s="23">
        <v>88.13</v>
      </c>
      <c r="G43" s="2">
        <f t="shared" si="4"/>
        <v>0.97068511198945984</v>
      </c>
      <c r="H43" s="2">
        <f t="shared" si="5"/>
        <v>0.96036451471234086</v>
      </c>
      <c r="I43" s="2">
        <f t="shared" si="6"/>
        <v>0.96761089152393498</v>
      </c>
      <c r="J43">
        <f t="shared" si="7"/>
        <v>0.16267777508888509</v>
      </c>
    </row>
    <row r="44" spans="2:16" ht="15" thickBot="1" x14ac:dyDescent="0.35">
      <c r="B44" s="12" t="s">
        <v>36</v>
      </c>
      <c r="C44" s="22">
        <v>43833</v>
      </c>
      <c r="D44" s="23">
        <v>89.1</v>
      </c>
      <c r="E44" s="23">
        <v>88.1</v>
      </c>
      <c r="F44" s="23">
        <v>88.83</v>
      </c>
      <c r="G44" s="2">
        <f t="shared" si="4"/>
        <v>0.97826086956521729</v>
      </c>
      <c r="H44" s="2">
        <f t="shared" si="5"/>
        <v>0.96728151075977153</v>
      </c>
      <c r="I44" s="2">
        <f t="shared" si="6"/>
        <v>0.97529644268774707</v>
      </c>
      <c r="J44">
        <f t="shared" si="7"/>
        <v>1.2173444370888848</v>
      </c>
    </row>
    <row r="45" spans="2:16" ht="15" thickBot="1" x14ac:dyDescent="0.35">
      <c r="B45" s="12" t="s">
        <v>37</v>
      </c>
      <c r="C45" s="22">
        <v>43832</v>
      </c>
      <c r="D45" s="23">
        <v>89.35</v>
      </c>
      <c r="E45" s="23">
        <v>88.05</v>
      </c>
      <c r="F45" s="23">
        <v>89.35</v>
      </c>
      <c r="G45" s="2">
        <f t="shared" si="4"/>
        <v>0.98100570926657882</v>
      </c>
      <c r="H45" s="2">
        <f t="shared" si="5"/>
        <v>0.96673254281949927</v>
      </c>
      <c r="I45" s="2">
        <f t="shared" si="6"/>
        <v>0.98100570926657882</v>
      </c>
      <c r="J45">
        <f t="shared" si="7"/>
        <v>2.6352111002888701</v>
      </c>
    </row>
    <row r="46" spans="2:16" ht="15" thickBot="1" x14ac:dyDescent="0.35">
      <c r="B46" s="12" t="s">
        <v>38</v>
      </c>
      <c r="C46" s="22">
        <v>43830</v>
      </c>
      <c r="D46" s="23">
        <v>87.99</v>
      </c>
      <c r="E46" s="23">
        <v>87.31</v>
      </c>
      <c r="F46" s="23">
        <v>87.92</v>
      </c>
      <c r="G46" s="2">
        <f t="shared" si="4"/>
        <v>0.96607378129117261</v>
      </c>
      <c r="H46" s="2">
        <f t="shared" si="5"/>
        <v>0.95860781730346956</v>
      </c>
      <c r="I46" s="2">
        <f t="shared" si="6"/>
        <v>0.96530522617479142</v>
      </c>
      <c r="J46">
        <f t="shared" si="7"/>
        <v>3.7377776488889493E-2</v>
      </c>
    </row>
    <row r="47" spans="2:16" ht="15" thickBot="1" x14ac:dyDescent="0.35">
      <c r="B47" s="12" t="s">
        <v>39</v>
      </c>
      <c r="C47" s="22">
        <v>43829</v>
      </c>
      <c r="D47" s="23">
        <v>88.2</v>
      </c>
      <c r="E47" s="23">
        <v>87.06</v>
      </c>
      <c r="F47" s="23">
        <v>87.44</v>
      </c>
      <c r="G47" s="2">
        <f t="shared" si="4"/>
        <v>0.96837944664031628</v>
      </c>
      <c r="H47" s="2">
        <f t="shared" si="5"/>
        <v>0.95586297760210803</v>
      </c>
      <c r="I47" s="2">
        <f t="shared" si="6"/>
        <v>0.96003513394817741</v>
      </c>
      <c r="J47">
        <f t="shared" si="7"/>
        <v>8.2177779688890312E-2</v>
      </c>
    </row>
    <row r="48" spans="2:16" ht="15" thickBot="1" x14ac:dyDescent="0.35">
      <c r="B48" s="12" t="s">
        <v>40</v>
      </c>
      <c r="C48" s="22">
        <v>43826</v>
      </c>
      <c r="D48" s="23">
        <v>88.46</v>
      </c>
      <c r="E48" s="23">
        <v>87.69</v>
      </c>
      <c r="F48" s="23">
        <v>88.13</v>
      </c>
      <c r="G48" s="2">
        <f t="shared" si="4"/>
        <v>0.9712340799297321</v>
      </c>
      <c r="H48" s="2">
        <f t="shared" si="5"/>
        <v>0.96277997364953882</v>
      </c>
      <c r="I48" s="2">
        <f t="shared" si="6"/>
        <v>0.96761089152393498</v>
      </c>
      <c r="J48">
        <f t="shared" si="7"/>
        <v>0.16267777508888509</v>
      </c>
    </row>
    <row r="49" spans="2:10" ht="15" thickBot="1" x14ac:dyDescent="0.35">
      <c r="B49" s="12" t="s">
        <v>41</v>
      </c>
      <c r="C49" s="22">
        <v>43825</v>
      </c>
      <c r="D49" s="23">
        <v>88.76</v>
      </c>
      <c r="E49" s="23">
        <v>87.79</v>
      </c>
      <c r="F49" s="23">
        <v>88.08</v>
      </c>
      <c r="G49" s="2">
        <f t="shared" si="4"/>
        <v>0.97452788757136588</v>
      </c>
      <c r="H49" s="2">
        <f t="shared" si="5"/>
        <v>0.96387790953008357</v>
      </c>
      <c r="I49" s="2">
        <f t="shared" si="6"/>
        <v>0.96706192358366272</v>
      </c>
      <c r="J49">
        <f t="shared" si="7"/>
        <v>0.12484444208888756</v>
      </c>
    </row>
    <row r="50" spans="2:10" ht="15" thickBot="1" x14ac:dyDescent="0.35">
      <c r="B50" s="12" t="s">
        <v>42</v>
      </c>
      <c r="C50" s="22">
        <v>43823</v>
      </c>
      <c r="D50" s="23">
        <v>88.6</v>
      </c>
      <c r="E50" s="23">
        <v>88</v>
      </c>
      <c r="F50" s="23">
        <v>88.52</v>
      </c>
      <c r="G50" s="2">
        <f t="shared" si="4"/>
        <v>0.97277119016249447</v>
      </c>
      <c r="H50" s="2">
        <f t="shared" si="5"/>
        <v>0.96618357487922713</v>
      </c>
      <c r="I50" s="2">
        <f t="shared" si="6"/>
        <v>0.97189284145805888</v>
      </c>
      <c r="J50">
        <f t="shared" si="7"/>
        <v>0.62937777248888227</v>
      </c>
    </row>
    <row r="51" spans="2:10" ht="15" thickBot="1" x14ac:dyDescent="0.35">
      <c r="B51" s="12" t="s">
        <v>43</v>
      </c>
      <c r="C51" s="22">
        <v>43822</v>
      </c>
      <c r="D51" s="23">
        <v>88.85</v>
      </c>
      <c r="E51" s="23">
        <v>88.18</v>
      </c>
      <c r="F51" s="23">
        <v>88.23</v>
      </c>
      <c r="G51" s="2">
        <f t="shared" si="4"/>
        <v>0.97551602986385588</v>
      </c>
      <c r="H51" s="2">
        <f t="shared" si="5"/>
        <v>0.96815985946420735</v>
      </c>
      <c r="I51" s="2">
        <f t="shared" si="6"/>
        <v>0.96870882740447961</v>
      </c>
      <c r="J51">
        <f t="shared" si="7"/>
        <v>0.2533444410888927</v>
      </c>
    </row>
    <row r="52" spans="2:10" ht="15" thickBot="1" x14ac:dyDescent="0.35">
      <c r="B52" s="12" t="s">
        <v>44</v>
      </c>
      <c r="C52" s="22">
        <v>43819</v>
      </c>
      <c r="D52" s="23">
        <v>89</v>
      </c>
      <c r="E52" s="23">
        <v>87.89</v>
      </c>
      <c r="F52" s="23">
        <v>88.46</v>
      </c>
      <c r="G52" s="2">
        <f t="shared" si="4"/>
        <v>0.97716293368467289</v>
      </c>
      <c r="H52" s="2">
        <f t="shared" si="5"/>
        <v>0.96497584541062809</v>
      </c>
      <c r="I52" s="2">
        <f t="shared" si="6"/>
        <v>0.9712340799297321</v>
      </c>
      <c r="J52">
        <f t="shared" si="7"/>
        <v>0.53777777288887951</v>
      </c>
    </row>
    <row r="53" spans="2:10" ht="15" thickBot="1" x14ac:dyDescent="0.35">
      <c r="B53" s="12" t="s">
        <v>45</v>
      </c>
      <c r="C53" s="22">
        <v>43818</v>
      </c>
      <c r="D53" s="23">
        <v>88.59</v>
      </c>
      <c r="E53" s="23">
        <v>87.58</v>
      </c>
      <c r="F53" s="23">
        <v>88.52</v>
      </c>
      <c r="G53" s="2">
        <f t="shared" si="4"/>
        <v>0.97266139657444006</v>
      </c>
      <c r="H53" s="2">
        <f t="shared" si="5"/>
        <v>0.96157224418093978</v>
      </c>
      <c r="I53" s="2">
        <f t="shared" si="6"/>
        <v>0.97189284145805888</v>
      </c>
      <c r="J53">
        <f t="shared" si="7"/>
        <v>0.62937777248888227</v>
      </c>
    </row>
    <row r="54" spans="2:10" ht="15" thickBot="1" x14ac:dyDescent="0.35">
      <c r="B54" s="12" t="s">
        <v>46</v>
      </c>
      <c r="C54" s="22">
        <v>43817</v>
      </c>
      <c r="D54" s="23">
        <v>88.85</v>
      </c>
      <c r="E54" s="23">
        <v>87.82</v>
      </c>
      <c r="F54" s="23">
        <v>87.99</v>
      </c>
      <c r="G54" s="2">
        <f t="shared" si="4"/>
        <v>0.97551602986385588</v>
      </c>
      <c r="H54" s="2">
        <f t="shared" si="5"/>
        <v>0.96420729029424679</v>
      </c>
      <c r="I54" s="2">
        <f t="shared" si="6"/>
        <v>0.96607378129117261</v>
      </c>
      <c r="J54">
        <f t="shared" si="7"/>
        <v>6.9344442688886107E-2</v>
      </c>
    </row>
    <row r="55" spans="2:10" ht="15" thickBot="1" x14ac:dyDescent="0.35">
      <c r="B55" s="12" t="s">
        <v>47</v>
      </c>
      <c r="C55" s="22">
        <v>43816</v>
      </c>
      <c r="D55" s="23">
        <v>88.97</v>
      </c>
      <c r="E55" s="23">
        <v>87.47</v>
      </c>
      <c r="F55" s="23">
        <v>88.13</v>
      </c>
      <c r="G55" s="2">
        <f t="shared" si="4"/>
        <v>0.97683355292050944</v>
      </c>
      <c r="H55" s="2">
        <f t="shared" si="5"/>
        <v>0.96036451471234086</v>
      </c>
      <c r="I55" s="2">
        <f t="shared" si="6"/>
        <v>0.96761089152393498</v>
      </c>
      <c r="J55">
        <f t="shared" si="7"/>
        <v>0.16267777508888509</v>
      </c>
    </row>
    <row r="56" spans="2:10" ht="15" thickBot="1" x14ac:dyDescent="0.35">
      <c r="B56" s="12" t="s">
        <v>48</v>
      </c>
      <c r="C56" s="22">
        <v>43815</v>
      </c>
      <c r="D56" s="23">
        <v>89.3</v>
      </c>
      <c r="E56" s="23">
        <v>88.43</v>
      </c>
      <c r="F56" s="23">
        <v>88.78</v>
      </c>
      <c r="G56" s="2">
        <f t="shared" si="4"/>
        <v>0.98045674132630656</v>
      </c>
      <c r="H56" s="2">
        <f t="shared" si="5"/>
        <v>0.97090469916556887</v>
      </c>
      <c r="I56" s="2">
        <f t="shared" si="6"/>
        <v>0.97474747474747481</v>
      </c>
      <c r="J56">
        <f t="shared" si="7"/>
        <v>1.109511104088891</v>
      </c>
    </row>
    <row r="57" spans="2:10" ht="15" thickBot="1" x14ac:dyDescent="0.35">
      <c r="B57" s="12" t="s">
        <v>49</v>
      </c>
      <c r="C57" s="22">
        <v>43812</v>
      </c>
      <c r="D57" s="23">
        <v>88.79</v>
      </c>
      <c r="E57" s="23">
        <v>87.58</v>
      </c>
      <c r="F57" s="23">
        <v>88.67</v>
      </c>
      <c r="G57" s="2">
        <f t="shared" si="4"/>
        <v>0.97485726833552933</v>
      </c>
      <c r="H57" s="2">
        <f t="shared" si="5"/>
        <v>0.96157224418093978</v>
      </c>
      <c r="I57" s="2">
        <f t="shared" si="6"/>
        <v>0.97353974527887577</v>
      </c>
      <c r="J57">
        <f t="shared" si="7"/>
        <v>0.8898777714888918</v>
      </c>
    </row>
    <row r="58" spans="2:10" ht="15" thickBot="1" x14ac:dyDescent="0.35">
      <c r="B58" s="12" t="s">
        <v>50</v>
      </c>
      <c r="C58" s="22">
        <v>43811</v>
      </c>
      <c r="D58" s="23">
        <v>88.89</v>
      </c>
      <c r="E58" s="23">
        <v>87.54</v>
      </c>
      <c r="F58" s="23">
        <v>88.21</v>
      </c>
      <c r="G58" s="2">
        <f t="shared" si="4"/>
        <v>0.97595520421607385</v>
      </c>
      <c r="H58" s="2">
        <f t="shared" si="5"/>
        <v>0.96113306982872204</v>
      </c>
      <c r="I58" s="2">
        <f t="shared" si="6"/>
        <v>0.96848924022837057</v>
      </c>
      <c r="J58">
        <f t="shared" si="7"/>
        <v>0.23361110788888267</v>
      </c>
    </row>
    <row r="59" spans="2:10" ht="15" thickBot="1" x14ac:dyDescent="0.35">
      <c r="B59" s="12" t="s">
        <v>51</v>
      </c>
      <c r="C59" s="22">
        <v>43810</v>
      </c>
      <c r="D59" s="23">
        <v>86.87</v>
      </c>
      <c r="E59" s="23">
        <v>85.85</v>
      </c>
      <c r="F59" s="23">
        <v>86.59</v>
      </c>
      <c r="G59" s="2">
        <f t="shared" si="4"/>
        <v>0.9537768994290734</v>
      </c>
      <c r="H59" s="2">
        <f t="shared" si="5"/>
        <v>0.9425779534475186</v>
      </c>
      <c r="I59" s="2">
        <f t="shared" si="6"/>
        <v>0.95070267896354854</v>
      </c>
      <c r="J59">
        <f t="shared" si="7"/>
        <v>1.2920111186888816</v>
      </c>
    </row>
    <row r="60" spans="2:10" ht="15" thickBot="1" x14ac:dyDescent="0.35">
      <c r="B60" s="12" t="s">
        <v>52</v>
      </c>
      <c r="C60" s="22">
        <v>43809</v>
      </c>
      <c r="D60" s="23">
        <v>87.47</v>
      </c>
      <c r="E60" s="23">
        <v>85.91</v>
      </c>
      <c r="F60" s="23">
        <v>86.04</v>
      </c>
      <c r="G60" s="2">
        <f t="shared" si="4"/>
        <v>0.96036451471234086</v>
      </c>
      <c r="H60" s="2">
        <f t="shared" si="5"/>
        <v>0.94323671497584538</v>
      </c>
      <c r="I60" s="2">
        <f t="shared" si="6"/>
        <v>0.94466403162055346</v>
      </c>
      <c r="J60">
        <f t="shared" si="7"/>
        <v>2.8448444556888686</v>
      </c>
    </row>
    <row r="61" spans="2:10" ht="15" thickBot="1" x14ac:dyDescent="0.35">
      <c r="B61" s="12" t="s">
        <v>53</v>
      </c>
      <c r="C61" s="22">
        <v>43808</v>
      </c>
      <c r="D61" s="23">
        <v>86.63</v>
      </c>
      <c r="E61" s="23">
        <v>85.96</v>
      </c>
      <c r="F61" s="23">
        <v>86.28</v>
      </c>
      <c r="G61" s="2">
        <f t="shared" si="4"/>
        <v>0.95114185331576628</v>
      </c>
      <c r="H61" s="2">
        <f t="shared" si="5"/>
        <v>0.94378568291611764</v>
      </c>
      <c r="I61" s="2">
        <f t="shared" si="6"/>
        <v>0.94729907773386035</v>
      </c>
      <c r="J61">
        <f t="shared" si="7"/>
        <v>2.092844454088886</v>
      </c>
    </row>
    <row r="62" spans="2:10" ht="15" thickBot="1" x14ac:dyDescent="0.35">
      <c r="B62" s="12" t="s">
        <v>54</v>
      </c>
      <c r="C62" s="22">
        <v>43805</v>
      </c>
      <c r="D62" s="23">
        <v>86.53</v>
      </c>
      <c r="E62" s="23">
        <v>85.03</v>
      </c>
      <c r="F62" s="23">
        <v>86.32</v>
      </c>
      <c r="G62" s="2">
        <f t="shared" si="4"/>
        <v>0.95004391743522176</v>
      </c>
      <c r="H62" s="2">
        <f t="shared" si="5"/>
        <v>0.93357487922705318</v>
      </c>
      <c r="I62" s="2">
        <f t="shared" si="6"/>
        <v>0.94773825208607809</v>
      </c>
      <c r="J62">
        <f t="shared" si="7"/>
        <v>1.9787111204889085</v>
      </c>
    </row>
    <row r="63" spans="2:10" ht="15" thickBot="1" x14ac:dyDescent="0.35">
      <c r="B63" s="12" t="s">
        <v>55</v>
      </c>
      <c r="C63" s="22">
        <v>43804</v>
      </c>
      <c r="D63" s="23">
        <v>85.48</v>
      </c>
      <c r="E63" s="23">
        <v>84.32</v>
      </c>
      <c r="F63" s="23">
        <v>84.45</v>
      </c>
      <c r="G63" s="2">
        <f t="shared" si="4"/>
        <v>0.93851559068950374</v>
      </c>
      <c r="H63" s="2">
        <f t="shared" si="5"/>
        <v>0.92577953447518657</v>
      </c>
      <c r="I63" s="2">
        <f t="shared" si="6"/>
        <v>0.92720685111989465</v>
      </c>
      <c r="J63">
        <f t="shared" si="7"/>
        <v>10.736544466288871</v>
      </c>
    </row>
    <row r="64" spans="2:10" ht="15" thickBot="1" x14ac:dyDescent="0.35">
      <c r="B64" s="12" t="s">
        <v>56</v>
      </c>
      <c r="C64" s="22">
        <v>43803</v>
      </c>
      <c r="D64" s="23">
        <v>85.54</v>
      </c>
      <c r="E64" s="23">
        <v>84.7</v>
      </c>
      <c r="F64" s="23">
        <v>85.4</v>
      </c>
      <c r="G64" s="2">
        <f t="shared" si="4"/>
        <v>0.93917435221783052</v>
      </c>
      <c r="H64" s="2">
        <f t="shared" si="5"/>
        <v>0.92995169082125606</v>
      </c>
      <c r="I64" s="2">
        <f t="shared" si="6"/>
        <v>0.93763724198506815</v>
      </c>
      <c r="J64">
        <f t="shared" si="7"/>
        <v>5.4133777932888636</v>
      </c>
    </row>
    <row r="65" spans="2:20" ht="15" thickBot="1" x14ac:dyDescent="0.35">
      <c r="B65" s="12" t="s">
        <v>57</v>
      </c>
      <c r="C65" s="22">
        <v>43802</v>
      </c>
      <c r="D65" s="23">
        <v>85</v>
      </c>
      <c r="E65" s="23">
        <v>83.82</v>
      </c>
      <c r="F65" s="23">
        <v>84.82</v>
      </c>
      <c r="G65" s="2">
        <f t="shared" si="4"/>
        <v>0.93324549846288973</v>
      </c>
      <c r="H65" s="2">
        <f t="shared" si="5"/>
        <v>0.92028985507246375</v>
      </c>
      <c r="I65" s="2">
        <f t="shared" si="6"/>
        <v>0.93126921387790951</v>
      </c>
      <c r="J65">
        <f t="shared" si="7"/>
        <v>8.4487111304889293</v>
      </c>
    </row>
    <row r="66" spans="2:20" ht="15" thickBot="1" x14ac:dyDescent="0.35">
      <c r="B66" s="12" t="s">
        <v>58</v>
      </c>
      <c r="C66" s="22">
        <v>43801</v>
      </c>
      <c r="D66" s="23">
        <v>85.77</v>
      </c>
      <c r="E66" s="23">
        <v>83.82</v>
      </c>
      <c r="F66" s="23">
        <v>84.57</v>
      </c>
      <c r="G66" s="2">
        <f t="shared" si="4"/>
        <v>0.94169960474308301</v>
      </c>
      <c r="H66" s="2">
        <f t="shared" si="5"/>
        <v>0.92028985507246375</v>
      </c>
      <c r="I66" s="2">
        <f t="shared" si="6"/>
        <v>0.92852437417654798</v>
      </c>
      <c r="J66">
        <f t="shared" si="7"/>
        <v>9.9645444654889328</v>
      </c>
    </row>
    <row r="67" spans="2:20" x14ac:dyDescent="0.3">
      <c r="B67" s="12" t="s">
        <v>59</v>
      </c>
      <c r="C67" s="22">
        <v>43798</v>
      </c>
      <c r="D67" s="23">
        <v>86.73</v>
      </c>
      <c r="E67" s="23">
        <v>85.25</v>
      </c>
      <c r="F67" s="23">
        <v>85.43</v>
      </c>
      <c r="G67" s="2">
        <f t="shared" si="4"/>
        <v>0.95223978919631103</v>
      </c>
      <c r="H67" s="2">
        <f t="shared" si="5"/>
        <v>0.93599033816425126</v>
      </c>
      <c r="I67" s="2">
        <f t="shared" si="6"/>
        <v>0.93796662274923148</v>
      </c>
      <c r="J67">
        <f t="shared" si="7"/>
        <v>5.2746777930888582</v>
      </c>
    </row>
    <row r="68" spans="2:20" x14ac:dyDescent="0.3">
      <c r="B68" s="35" t="s">
        <v>74</v>
      </c>
      <c r="C68" s="11" t="s">
        <v>71</v>
      </c>
      <c r="D68" s="17">
        <f>F38</f>
        <v>91.08</v>
      </c>
      <c r="E68" s="32" t="s">
        <v>69</v>
      </c>
      <c r="F68" s="32">
        <f>SUM(F38:F67)/30</f>
        <v>87.726666666666688</v>
      </c>
      <c r="J68">
        <f>SUM(J38:J67)/30</f>
        <v>2.778535555555552</v>
      </c>
    </row>
    <row r="69" spans="2:20" x14ac:dyDescent="0.3">
      <c r="C69" s="11" t="s">
        <v>72</v>
      </c>
      <c r="D69" s="17">
        <f>F63</f>
        <v>84.45</v>
      </c>
      <c r="E69" s="32" t="s">
        <v>70</v>
      </c>
      <c r="F69" s="32">
        <f>(F42+F47)/2</f>
        <v>87.65</v>
      </c>
      <c r="I69" s="32" t="s">
        <v>67</v>
      </c>
      <c r="J69" s="32">
        <f>(J68)^1/2</f>
        <v>1.389267777777776</v>
      </c>
    </row>
    <row r="71" spans="2:20" ht="29.4" thickBot="1" x14ac:dyDescent="0.35">
      <c r="B71" s="17" t="s">
        <v>60</v>
      </c>
      <c r="C71" s="18" t="s">
        <v>62</v>
      </c>
      <c r="D71" s="19" t="s">
        <v>29</v>
      </c>
      <c r="E71" s="19" t="s">
        <v>26</v>
      </c>
      <c r="F71" s="19" t="s">
        <v>63</v>
      </c>
      <c r="G71" s="25" t="s">
        <v>64</v>
      </c>
      <c r="H71" s="26" t="s">
        <v>65</v>
      </c>
      <c r="I71" s="26" t="s">
        <v>66</v>
      </c>
      <c r="J71" s="2" t="s">
        <v>61</v>
      </c>
      <c r="K71" s="20" t="s">
        <v>62</v>
      </c>
      <c r="L71" s="21" t="s">
        <v>29</v>
      </c>
      <c r="M71" s="21" t="s">
        <v>26</v>
      </c>
      <c r="N71" s="21" t="s">
        <v>63</v>
      </c>
      <c r="O71" s="15" t="s">
        <v>64</v>
      </c>
      <c r="P71" s="16" t="s">
        <v>65</v>
      </c>
      <c r="Q71" s="16" t="s">
        <v>66</v>
      </c>
    </row>
    <row r="72" spans="2:20" ht="15" thickBot="1" x14ac:dyDescent="0.35">
      <c r="B72" s="6" t="s">
        <v>30</v>
      </c>
      <c r="C72" s="29">
        <v>43843</v>
      </c>
      <c r="D72" s="30">
        <f>340.85</f>
        <v>340.85</v>
      </c>
      <c r="E72" s="30">
        <f>331.51</f>
        <v>331.51</v>
      </c>
      <c r="F72" s="30">
        <f>338.92</f>
        <v>338.92</v>
      </c>
      <c r="G72" s="27">
        <f>D72/339.26</f>
        <v>1.0046866709898015</v>
      </c>
      <c r="H72" s="28">
        <f>E72/339.26</f>
        <v>0.97715616341449041</v>
      </c>
      <c r="I72" s="28">
        <f>F72/339.26</f>
        <v>0.99899781878205518</v>
      </c>
      <c r="J72" s="12" t="s">
        <v>30</v>
      </c>
      <c r="K72" s="22">
        <v>43843</v>
      </c>
      <c r="L72" s="23">
        <v>91.72</v>
      </c>
      <c r="M72" s="23">
        <v>90.21</v>
      </c>
      <c r="N72" s="24">
        <v>91.08</v>
      </c>
      <c r="O72" s="2">
        <f>L72/91.08</f>
        <v>1.0070267896354852</v>
      </c>
      <c r="P72" s="2">
        <f>M72/91.08</f>
        <v>0.99044795783926209</v>
      </c>
      <c r="Q72" s="2">
        <f>N72/91.08</f>
        <v>1</v>
      </c>
      <c r="R72" s="27">
        <f t="shared" ref="R72:R101" si="8">D72/339.26</f>
        <v>1.0046866709898015</v>
      </c>
      <c r="S72" s="28">
        <f t="shared" ref="S72:S101" si="9">E72/339.26</f>
        <v>0.97715616341449041</v>
      </c>
      <c r="T72" s="28">
        <f t="shared" ref="T72:T101" si="10">F72/339.26</f>
        <v>0.99899781878205518</v>
      </c>
    </row>
    <row r="73" spans="2:20" ht="15" thickBot="1" x14ac:dyDescent="0.35">
      <c r="B73" s="6" t="s">
        <v>31</v>
      </c>
      <c r="C73" s="29">
        <v>43840</v>
      </c>
      <c r="D73" s="30">
        <f>338.5</f>
        <v>338.5</v>
      </c>
      <c r="E73" s="30">
        <f>327.27</f>
        <v>327.27</v>
      </c>
      <c r="F73" s="30">
        <f>329.05</f>
        <v>329.05</v>
      </c>
      <c r="G73" s="25">
        <f t="shared" ref="G73:G101" si="11">D73/339.26</f>
        <v>0.99775983021871129</v>
      </c>
      <c r="H73" s="28">
        <f t="shared" ref="H73:H101" si="12">E73/339.26</f>
        <v>0.96465837410835342</v>
      </c>
      <c r="I73" s="28">
        <f t="shared" ref="I73:I101" si="13">F73/339.26</f>
        <v>0.96990508754347704</v>
      </c>
      <c r="J73" s="12" t="s">
        <v>31</v>
      </c>
      <c r="K73" s="22">
        <v>43840</v>
      </c>
      <c r="L73" s="23">
        <v>90.89</v>
      </c>
      <c r="M73" s="23">
        <v>89.63</v>
      </c>
      <c r="N73" s="23">
        <v>90.16</v>
      </c>
      <c r="O73" s="2">
        <f t="shared" ref="O73:O101" si="14">L73/91.08</f>
        <v>0.99791392182696537</v>
      </c>
      <c r="P73" s="2">
        <f t="shared" ref="P73:P101" si="15">M73/91.08</f>
        <v>0.98407992973210356</v>
      </c>
      <c r="Q73" s="2">
        <f t="shared" ref="Q73:Q101" si="16">N73/91.08</f>
        <v>0.98989898989898983</v>
      </c>
      <c r="R73" s="27">
        <f t="shared" si="8"/>
        <v>0.99775983021871129</v>
      </c>
      <c r="S73" s="28">
        <f t="shared" si="9"/>
        <v>0.96465837410835342</v>
      </c>
      <c r="T73" s="28">
        <f t="shared" si="10"/>
        <v>0.96990508754347704</v>
      </c>
    </row>
    <row r="74" spans="2:20" ht="15" thickBot="1" x14ac:dyDescent="0.35">
      <c r="B74" s="6" t="s">
        <v>32</v>
      </c>
      <c r="C74" s="29">
        <v>43839</v>
      </c>
      <c r="D74" s="30">
        <f>338.5</f>
        <v>338.5</v>
      </c>
      <c r="E74" s="30">
        <f>334.61</f>
        <v>334.61</v>
      </c>
      <c r="F74" s="30">
        <f>335.66</f>
        <v>335.66</v>
      </c>
      <c r="G74" s="25">
        <f t="shared" si="11"/>
        <v>0.99775983021871129</v>
      </c>
      <c r="H74" s="28">
        <f t="shared" si="12"/>
        <v>0.98629369804869427</v>
      </c>
      <c r="I74" s="28">
        <f t="shared" si="13"/>
        <v>0.98938866945705373</v>
      </c>
      <c r="J74" s="12" t="s">
        <v>32</v>
      </c>
      <c r="K74" s="22">
        <v>43839</v>
      </c>
      <c r="L74" s="23">
        <v>91.16</v>
      </c>
      <c r="M74" s="23">
        <v>90.07</v>
      </c>
      <c r="N74" s="23">
        <v>90.53</v>
      </c>
      <c r="O74" s="2">
        <f t="shared" si="14"/>
        <v>1.0008783487044357</v>
      </c>
      <c r="P74" s="2">
        <f t="shared" si="15"/>
        <v>0.98891084760649972</v>
      </c>
      <c r="Q74" s="2">
        <f t="shared" si="16"/>
        <v>0.99396135265700492</v>
      </c>
      <c r="R74" s="27">
        <f t="shared" si="8"/>
        <v>0.99775983021871129</v>
      </c>
      <c r="S74" s="28">
        <f t="shared" si="9"/>
        <v>0.98629369804869427</v>
      </c>
      <c r="T74" s="28">
        <f t="shared" si="10"/>
        <v>0.98938866945705373</v>
      </c>
    </row>
    <row r="75" spans="2:20" ht="15" thickBot="1" x14ac:dyDescent="0.35">
      <c r="B75" s="6" t="s">
        <v>33</v>
      </c>
      <c r="C75" s="29">
        <v>43838</v>
      </c>
      <c r="D75" s="30">
        <f>338.5</f>
        <v>338.5</v>
      </c>
      <c r="E75" s="30">
        <f>331.05</f>
        <v>331.05</v>
      </c>
      <c r="F75" s="14">
        <f>339.26</f>
        <v>339.26</v>
      </c>
      <c r="G75" s="25">
        <f t="shared" si="11"/>
        <v>0.99775983021871129</v>
      </c>
      <c r="H75" s="28">
        <f t="shared" si="12"/>
        <v>0.97580027117844725</v>
      </c>
      <c r="I75" s="28">
        <f t="shared" si="13"/>
        <v>1</v>
      </c>
      <c r="J75" s="12" t="s">
        <v>33</v>
      </c>
      <c r="K75" s="22">
        <v>43838</v>
      </c>
      <c r="L75" s="23">
        <v>89.35</v>
      </c>
      <c r="M75" s="23">
        <v>87.78</v>
      </c>
      <c r="N75" s="23">
        <v>88.88</v>
      </c>
      <c r="O75" s="2">
        <f t="shared" si="14"/>
        <v>0.98100570926657882</v>
      </c>
      <c r="P75" s="2">
        <f t="shared" si="15"/>
        <v>0.96376811594202905</v>
      </c>
      <c r="Q75" s="2">
        <f t="shared" si="16"/>
        <v>0.97584541062801933</v>
      </c>
      <c r="R75" s="27">
        <f t="shared" si="8"/>
        <v>0.99775983021871129</v>
      </c>
      <c r="S75" s="28">
        <f t="shared" si="9"/>
        <v>0.97580027117844725</v>
      </c>
      <c r="T75" s="28">
        <f t="shared" si="10"/>
        <v>1</v>
      </c>
    </row>
    <row r="76" spans="2:20" ht="15" thickBot="1" x14ac:dyDescent="0.35">
      <c r="B76" s="6" t="s">
        <v>34</v>
      </c>
      <c r="C76" s="29">
        <v>43837</v>
      </c>
      <c r="D76" s="30">
        <f>336.7</f>
        <v>336.7</v>
      </c>
      <c r="E76" s="30">
        <f>330.3</f>
        <v>330.3</v>
      </c>
      <c r="F76" s="30">
        <f>330.75</f>
        <v>330.75</v>
      </c>
      <c r="G76" s="25">
        <f t="shared" si="11"/>
        <v>0.99245416494723815</v>
      </c>
      <c r="H76" s="28">
        <f t="shared" si="12"/>
        <v>0.97358957731533347</v>
      </c>
      <c r="I76" s="28">
        <f t="shared" si="13"/>
        <v>0.97491599363320169</v>
      </c>
      <c r="J76" s="12" t="s">
        <v>34</v>
      </c>
      <c r="K76" s="22">
        <v>43837</v>
      </c>
      <c r="L76" s="23">
        <v>88.03</v>
      </c>
      <c r="M76" s="23">
        <v>87.13</v>
      </c>
      <c r="N76" s="23">
        <v>87.86</v>
      </c>
      <c r="O76" s="2">
        <f t="shared" si="14"/>
        <v>0.96651295564339046</v>
      </c>
      <c r="P76" s="2">
        <f t="shared" si="15"/>
        <v>0.95663153271848922</v>
      </c>
      <c r="Q76" s="2">
        <f t="shared" si="16"/>
        <v>0.96464646464646464</v>
      </c>
      <c r="R76" s="27">
        <f t="shared" si="8"/>
        <v>0.99245416494723815</v>
      </c>
      <c r="S76" s="28">
        <f t="shared" si="9"/>
        <v>0.97358957731533347</v>
      </c>
      <c r="T76" s="28">
        <f t="shared" si="10"/>
        <v>0.97491599363320169</v>
      </c>
    </row>
    <row r="77" spans="2:20" ht="15" thickBot="1" x14ac:dyDescent="0.35">
      <c r="B77" s="6" t="s">
        <v>35</v>
      </c>
      <c r="C77" s="29">
        <v>43836</v>
      </c>
      <c r="D77" s="30">
        <f>336.36</f>
        <v>336.36</v>
      </c>
      <c r="E77" s="30">
        <f>321.2</f>
        <v>321.2</v>
      </c>
      <c r="F77" s="30">
        <f>335.83</f>
        <v>335.83</v>
      </c>
      <c r="G77" s="25">
        <f t="shared" si="11"/>
        <v>0.99145198372929322</v>
      </c>
      <c r="H77" s="28">
        <f t="shared" si="12"/>
        <v>0.94676649177621885</v>
      </c>
      <c r="I77" s="28">
        <f t="shared" si="13"/>
        <v>0.98988976006602603</v>
      </c>
      <c r="J77" s="12" t="s">
        <v>35</v>
      </c>
      <c r="K77" s="22">
        <v>43836</v>
      </c>
      <c r="L77" s="23">
        <v>88.41</v>
      </c>
      <c r="M77" s="23">
        <v>87.47</v>
      </c>
      <c r="N77" s="23">
        <v>88.13</v>
      </c>
      <c r="O77" s="2">
        <f t="shared" si="14"/>
        <v>0.97068511198945984</v>
      </c>
      <c r="P77" s="2">
        <f t="shared" si="15"/>
        <v>0.96036451471234086</v>
      </c>
      <c r="Q77" s="2">
        <f t="shared" si="16"/>
        <v>0.96761089152393498</v>
      </c>
      <c r="R77" s="27">
        <f t="shared" si="8"/>
        <v>0.99145198372929322</v>
      </c>
      <c r="S77" s="28">
        <f t="shared" si="9"/>
        <v>0.94676649177621885</v>
      </c>
      <c r="T77" s="28">
        <f t="shared" si="10"/>
        <v>0.98988976006602603</v>
      </c>
    </row>
    <row r="78" spans="2:20" ht="15" thickBot="1" x14ac:dyDescent="0.35">
      <c r="B78" s="6" t="s">
        <v>36</v>
      </c>
      <c r="C78" s="29">
        <v>43833</v>
      </c>
      <c r="D78" s="30">
        <f>329.86</f>
        <v>329.86</v>
      </c>
      <c r="E78" s="30">
        <f>325.53</f>
        <v>325.52999999999997</v>
      </c>
      <c r="F78" s="30">
        <f>325.9</f>
        <v>325.89999999999998</v>
      </c>
      <c r="G78" s="25">
        <f t="shared" si="11"/>
        <v>0.97229263691563994</v>
      </c>
      <c r="H78" s="28">
        <f t="shared" si="12"/>
        <v>0.95952956434592929</v>
      </c>
      <c r="I78" s="28">
        <f t="shared" si="13"/>
        <v>0.96062017331839877</v>
      </c>
      <c r="J78" s="12" t="s">
        <v>36</v>
      </c>
      <c r="K78" s="22">
        <v>43833</v>
      </c>
      <c r="L78" s="23">
        <v>89.1</v>
      </c>
      <c r="M78" s="23">
        <v>88.1</v>
      </c>
      <c r="N78" s="23">
        <v>88.83</v>
      </c>
      <c r="O78" s="2">
        <f t="shared" si="14"/>
        <v>0.97826086956521729</v>
      </c>
      <c r="P78" s="2">
        <f t="shared" si="15"/>
        <v>0.96728151075977153</v>
      </c>
      <c r="Q78" s="2">
        <f t="shared" si="16"/>
        <v>0.97529644268774707</v>
      </c>
      <c r="R78" s="27">
        <f t="shared" si="8"/>
        <v>0.97229263691563994</v>
      </c>
      <c r="S78" s="28">
        <f t="shared" si="9"/>
        <v>0.95952956434592929</v>
      </c>
      <c r="T78" s="28">
        <f t="shared" si="10"/>
        <v>0.96062017331839877</v>
      </c>
    </row>
    <row r="79" spans="2:20" ht="15" thickBot="1" x14ac:dyDescent="0.35">
      <c r="B79" s="6" t="s">
        <v>37</v>
      </c>
      <c r="C79" s="29">
        <v>43832</v>
      </c>
      <c r="D79" s="30">
        <f>329.98</f>
        <v>329.98</v>
      </c>
      <c r="E79" s="30">
        <f>324.78</f>
        <v>324.77999999999997</v>
      </c>
      <c r="F79" s="30">
        <f>329.81</f>
        <v>329.81</v>
      </c>
      <c r="G79" s="25">
        <f t="shared" si="11"/>
        <v>0.97264634793373816</v>
      </c>
      <c r="H79" s="28">
        <f t="shared" si="12"/>
        <v>0.9573188704828155</v>
      </c>
      <c r="I79" s="28">
        <f t="shared" si="13"/>
        <v>0.97214525732476575</v>
      </c>
      <c r="J79" s="12" t="s">
        <v>37</v>
      </c>
      <c r="K79" s="22">
        <v>43832</v>
      </c>
      <c r="L79" s="23">
        <v>89.35</v>
      </c>
      <c r="M79" s="23">
        <v>88.05</v>
      </c>
      <c r="N79" s="23">
        <v>89.35</v>
      </c>
      <c r="O79" s="2">
        <f t="shared" si="14"/>
        <v>0.98100570926657882</v>
      </c>
      <c r="P79" s="2">
        <f t="shared" si="15"/>
        <v>0.96673254281949927</v>
      </c>
      <c r="Q79" s="2">
        <f t="shared" si="16"/>
        <v>0.98100570926657882</v>
      </c>
      <c r="R79" s="27">
        <f t="shared" si="8"/>
        <v>0.97264634793373816</v>
      </c>
      <c r="S79" s="28">
        <f t="shared" si="9"/>
        <v>0.9573188704828155</v>
      </c>
      <c r="T79" s="28">
        <f t="shared" si="10"/>
        <v>0.97214525732476575</v>
      </c>
    </row>
    <row r="80" spans="2:20" ht="15" thickBot="1" x14ac:dyDescent="0.35">
      <c r="B80" s="6" t="s">
        <v>38</v>
      </c>
      <c r="C80" s="29">
        <v>43830</v>
      </c>
      <c r="D80" s="30">
        <f>324.92</f>
        <v>324.92</v>
      </c>
      <c r="E80" s="30">
        <f>321.09</f>
        <v>321.08999999999997</v>
      </c>
      <c r="F80" s="30">
        <f>323.57</f>
        <v>323.57</v>
      </c>
      <c r="G80" s="25">
        <f t="shared" si="11"/>
        <v>0.95773153333726357</v>
      </c>
      <c r="H80" s="28">
        <f t="shared" si="12"/>
        <v>0.94644225667629545</v>
      </c>
      <c r="I80" s="28">
        <f t="shared" si="13"/>
        <v>0.95375228438365856</v>
      </c>
      <c r="J80" s="12" t="s">
        <v>38</v>
      </c>
      <c r="K80" s="22">
        <v>43830</v>
      </c>
      <c r="L80" s="23">
        <v>87.99</v>
      </c>
      <c r="M80" s="23">
        <v>87.31</v>
      </c>
      <c r="N80" s="23">
        <v>87.92</v>
      </c>
      <c r="O80" s="2">
        <f t="shared" si="14"/>
        <v>0.96607378129117261</v>
      </c>
      <c r="P80" s="2">
        <f t="shared" si="15"/>
        <v>0.95860781730346956</v>
      </c>
      <c r="Q80" s="2">
        <f t="shared" si="16"/>
        <v>0.96530522617479142</v>
      </c>
      <c r="R80" s="27">
        <f t="shared" si="8"/>
        <v>0.95773153333726357</v>
      </c>
      <c r="S80" s="28">
        <f t="shared" si="9"/>
        <v>0.94644225667629545</v>
      </c>
      <c r="T80" s="28">
        <f t="shared" si="10"/>
        <v>0.95375228438365856</v>
      </c>
    </row>
    <row r="81" spans="2:20" ht="15" thickBot="1" x14ac:dyDescent="0.35">
      <c r="B81" s="6" t="s">
        <v>39</v>
      </c>
      <c r="C81" s="29">
        <v>43829</v>
      </c>
      <c r="D81" s="30">
        <f>329.19</f>
        <v>329.19</v>
      </c>
      <c r="E81" s="30">
        <f>322.86</f>
        <v>322.86</v>
      </c>
      <c r="F81" s="30">
        <f>323.31</f>
        <v>323.31</v>
      </c>
      <c r="G81" s="25">
        <f t="shared" si="11"/>
        <v>0.97031775039792489</v>
      </c>
      <c r="H81" s="28">
        <f t="shared" si="12"/>
        <v>0.95165949419324414</v>
      </c>
      <c r="I81" s="28">
        <f t="shared" si="13"/>
        <v>0.95298591051111248</v>
      </c>
      <c r="J81" s="12" t="s">
        <v>39</v>
      </c>
      <c r="K81" s="22">
        <v>43829</v>
      </c>
      <c r="L81" s="23">
        <v>88.2</v>
      </c>
      <c r="M81" s="23">
        <v>87.06</v>
      </c>
      <c r="N81" s="23">
        <v>87.44</v>
      </c>
      <c r="O81" s="2">
        <f t="shared" si="14"/>
        <v>0.96837944664031628</v>
      </c>
      <c r="P81" s="2">
        <f t="shared" si="15"/>
        <v>0.95586297760210803</v>
      </c>
      <c r="Q81" s="2">
        <f t="shared" si="16"/>
        <v>0.96003513394817741</v>
      </c>
      <c r="R81" s="27">
        <f t="shared" si="8"/>
        <v>0.97031775039792489</v>
      </c>
      <c r="S81" s="28">
        <f t="shared" si="9"/>
        <v>0.95165949419324414</v>
      </c>
      <c r="T81" s="28">
        <f t="shared" si="10"/>
        <v>0.95298591051111248</v>
      </c>
    </row>
    <row r="82" spans="2:20" ht="15" thickBot="1" x14ac:dyDescent="0.35">
      <c r="B82" s="6" t="s">
        <v>40</v>
      </c>
      <c r="C82" s="29">
        <v>43826</v>
      </c>
      <c r="D82" s="30">
        <f>333.82</f>
        <v>333.82</v>
      </c>
      <c r="E82" s="30">
        <f>326.01</f>
        <v>326.01</v>
      </c>
      <c r="F82" s="30">
        <f>329.09</f>
        <v>329.09</v>
      </c>
      <c r="G82" s="25">
        <f t="shared" si="11"/>
        <v>0.983965100512881</v>
      </c>
      <c r="H82" s="28">
        <f t="shared" si="12"/>
        <v>0.96094440841832218</v>
      </c>
      <c r="I82" s="28">
        <f t="shared" si="13"/>
        <v>0.9700229912161763</v>
      </c>
      <c r="J82" s="12" t="s">
        <v>40</v>
      </c>
      <c r="K82" s="22">
        <v>43826</v>
      </c>
      <c r="L82" s="23">
        <v>88.46</v>
      </c>
      <c r="M82" s="23">
        <v>87.69</v>
      </c>
      <c r="N82" s="23">
        <v>88.13</v>
      </c>
      <c r="O82" s="2">
        <f t="shared" si="14"/>
        <v>0.9712340799297321</v>
      </c>
      <c r="P82" s="2">
        <f t="shared" si="15"/>
        <v>0.96277997364953882</v>
      </c>
      <c r="Q82" s="2">
        <f t="shared" si="16"/>
        <v>0.96761089152393498</v>
      </c>
      <c r="R82" s="27">
        <f t="shared" si="8"/>
        <v>0.983965100512881</v>
      </c>
      <c r="S82" s="28">
        <f t="shared" si="9"/>
        <v>0.96094440841832218</v>
      </c>
      <c r="T82" s="28">
        <f t="shared" si="10"/>
        <v>0.9700229912161763</v>
      </c>
    </row>
    <row r="83" spans="2:20" ht="15" thickBot="1" x14ac:dyDescent="0.35">
      <c r="B83" s="6" t="s">
        <v>41</v>
      </c>
      <c r="C83" s="29">
        <v>43825</v>
      </c>
      <c r="D83" s="30">
        <f>336.46</f>
        <v>336.46</v>
      </c>
      <c r="E83" s="30">
        <f>332.01</f>
        <v>332.01</v>
      </c>
      <c r="F83" s="30">
        <f>332.63</f>
        <v>332.63</v>
      </c>
      <c r="G83" s="25">
        <f t="shared" si="11"/>
        <v>0.99174674291104159</v>
      </c>
      <c r="H83" s="28">
        <f t="shared" si="12"/>
        <v>0.97862995932323293</v>
      </c>
      <c r="I83" s="28">
        <f t="shared" si="13"/>
        <v>0.98045746625007368</v>
      </c>
      <c r="J83" s="12" t="s">
        <v>41</v>
      </c>
      <c r="K83" s="22">
        <v>43825</v>
      </c>
      <c r="L83" s="23">
        <v>88.76</v>
      </c>
      <c r="M83" s="23">
        <v>87.79</v>
      </c>
      <c r="N83" s="23">
        <v>88.08</v>
      </c>
      <c r="O83" s="2">
        <f t="shared" si="14"/>
        <v>0.97452788757136588</v>
      </c>
      <c r="P83" s="2">
        <f t="shared" si="15"/>
        <v>0.96387790953008357</v>
      </c>
      <c r="Q83" s="2">
        <f t="shared" si="16"/>
        <v>0.96706192358366272</v>
      </c>
      <c r="R83" s="27">
        <f t="shared" si="8"/>
        <v>0.99174674291104159</v>
      </c>
      <c r="S83" s="28">
        <f t="shared" si="9"/>
        <v>0.97862995932323293</v>
      </c>
      <c r="T83" s="28">
        <f t="shared" si="10"/>
        <v>0.98045746625007368</v>
      </c>
    </row>
    <row r="84" spans="2:20" ht="15" thickBot="1" x14ac:dyDescent="0.35">
      <c r="B84" s="6" t="s">
        <v>42</v>
      </c>
      <c r="C84" s="29">
        <v>43823</v>
      </c>
      <c r="D84" s="30">
        <f>335.7</f>
        <v>335.7</v>
      </c>
      <c r="E84" s="30">
        <f>331.6</f>
        <v>331.6</v>
      </c>
      <c r="F84" s="30">
        <f>333.2</f>
        <v>333.2</v>
      </c>
      <c r="G84" s="25">
        <f t="shared" si="11"/>
        <v>0.98950657312975299</v>
      </c>
      <c r="H84" s="28">
        <f t="shared" si="12"/>
        <v>0.97742144667806408</v>
      </c>
      <c r="I84" s="28">
        <f t="shared" si="13"/>
        <v>0.98213759358604025</v>
      </c>
      <c r="J84" s="12" t="s">
        <v>42</v>
      </c>
      <c r="K84" s="22">
        <v>43823</v>
      </c>
      <c r="L84" s="23">
        <v>88.6</v>
      </c>
      <c r="M84" s="23">
        <v>88</v>
      </c>
      <c r="N84" s="23">
        <v>88.52</v>
      </c>
      <c r="O84" s="2">
        <f t="shared" si="14"/>
        <v>0.97277119016249447</v>
      </c>
      <c r="P84" s="2">
        <f t="shared" si="15"/>
        <v>0.96618357487922713</v>
      </c>
      <c r="Q84" s="2">
        <f t="shared" si="16"/>
        <v>0.97189284145805888</v>
      </c>
      <c r="R84" s="27">
        <f t="shared" si="8"/>
        <v>0.98950657312975299</v>
      </c>
      <c r="S84" s="28">
        <f t="shared" si="9"/>
        <v>0.97742144667806408</v>
      </c>
      <c r="T84" s="28">
        <f t="shared" si="10"/>
        <v>0.98213759358604025</v>
      </c>
    </row>
    <row r="85" spans="2:20" ht="15" thickBot="1" x14ac:dyDescent="0.35">
      <c r="B85" s="6" t="s">
        <v>43</v>
      </c>
      <c r="C85" s="29">
        <v>43822</v>
      </c>
      <c r="D85" s="30">
        <f>337.95</f>
        <v>337.95</v>
      </c>
      <c r="E85" s="30">
        <f>331.02</f>
        <v>331.02</v>
      </c>
      <c r="F85" s="30">
        <f>333.1</f>
        <v>333.1</v>
      </c>
      <c r="G85" s="25">
        <f t="shared" si="11"/>
        <v>0.99613865471909446</v>
      </c>
      <c r="H85" s="28">
        <f t="shared" si="12"/>
        <v>0.97571184342392259</v>
      </c>
      <c r="I85" s="28">
        <f t="shared" si="13"/>
        <v>0.98184283440429176</v>
      </c>
      <c r="J85" s="12" t="s">
        <v>43</v>
      </c>
      <c r="K85" s="22">
        <v>43822</v>
      </c>
      <c r="L85" s="23">
        <v>88.85</v>
      </c>
      <c r="M85" s="23">
        <v>88.18</v>
      </c>
      <c r="N85" s="23">
        <v>88.23</v>
      </c>
      <c r="O85" s="2">
        <f t="shared" si="14"/>
        <v>0.97551602986385588</v>
      </c>
      <c r="P85" s="2">
        <f t="shared" si="15"/>
        <v>0.96815985946420735</v>
      </c>
      <c r="Q85" s="2">
        <f t="shared" si="16"/>
        <v>0.96870882740447961</v>
      </c>
      <c r="R85" s="27">
        <f t="shared" si="8"/>
        <v>0.99613865471909446</v>
      </c>
      <c r="S85" s="28">
        <f t="shared" si="9"/>
        <v>0.97571184342392259</v>
      </c>
      <c r="T85" s="28">
        <f t="shared" si="10"/>
        <v>0.98184283440429176</v>
      </c>
    </row>
    <row r="86" spans="2:20" ht="15" thickBot="1" x14ac:dyDescent="0.35">
      <c r="B86" s="6" t="s">
        <v>44</v>
      </c>
      <c r="C86" s="29">
        <v>43819</v>
      </c>
      <c r="D86" s="30">
        <f>338</f>
        <v>338</v>
      </c>
      <c r="E86" s="30">
        <f>330.6</f>
        <v>330.6</v>
      </c>
      <c r="F86" s="30">
        <f>336.9</f>
        <v>336.9</v>
      </c>
      <c r="G86" s="25">
        <f t="shared" si="11"/>
        <v>0.99628603430996876</v>
      </c>
      <c r="H86" s="28">
        <f t="shared" si="12"/>
        <v>0.97447385486057903</v>
      </c>
      <c r="I86" s="28">
        <f t="shared" si="13"/>
        <v>0.99304368331073511</v>
      </c>
      <c r="J86" s="12" t="s">
        <v>44</v>
      </c>
      <c r="K86" s="22">
        <v>43819</v>
      </c>
      <c r="L86" s="23">
        <v>89</v>
      </c>
      <c r="M86" s="23">
        <v>87.89</v>
      </c>
      <c r="N86" s="23">
        <v>88.46</v>
      </c>
      <c r="O86" s="2">
        <f t="shared" si="14"/>
        <v>0.97716293368467289</v>
      </c>
      <c r="P86" s="2">
        <f t="shared" si="15"/>
        <v>0.96497584541062809</v>
      </c>
      <c r="Q86" s="2">
        <f t="shared" si="16"/>
        <v>0.9712340799297321</v>
      </c>
      <c r="R86" s="27">
        <f t="shared" si="8"/>
        <v>0.99628603430996876</v>
      </c>
      <c r="S86" s="28">
        <f t="shared" si="9"/>
        <v>0.97447385486057903</v>
      </c>
      <c r="T86" s="28">
        <f t="shared" si="10"/>
        <v>0.99304368331073511</v>
      </c>
    </row>
    <row r="87" spans="2:20" ht="15" thickBot="1" x14ac:dyDescent="0.35">
      <c r="B87" s="6" t="s">
        <v>45</v>
      </c>
      <c r="C87" s="29">
        <v>43818</v>
      </c>
      <c r="D87" s="30">
        <f>332.83</f>
        <v>332.83</v>
      </c>
      <c r="E87" s="30">
        <f>324.18</f>
        <v>324.18</v>
      </c>
      <c r="F87" s="30">
        <f>332.22</f>
        <v>332.22</v>
      </c>
      <c r="G87" s="25">
        <f t="shared" si="11"/>
        <v>0.98104698461357065</v>
      </c>
      <c r="H87" s="28">
        <f t="shared" si="12"/>
        <v>0.95555031539232449</v>
      </c>
      <c r="I87" s="28">
        <f t="shared" si="13"/>
        <v>0.97924895360490494</v>
      </c>
      <c r="J87" s="12" t="s">
        <v>45</v>
      </c>
      <c r="K87" s="22">
        <v>43818</v>
      </c>
      <c r="L87" s="23">
        <v>88.59</v>
      </c>
      <c r="M87" s="23">
        <v>87.58</v>
      </c>
      <c r="N87" s="23">
        <v>88.52</v>
      </c>
      <c r="O87" s="2">
        <f t="shared" si="14"/>
        <v>0.97266139657444006</v>
      </c>
      <c r="P87" s="2">
        <f t="shared" si="15"/>
        <v>0.96157224418093978</v>
      </c>
      <c r="Q87" s="2">
        <f t="shared" si="16"/>
        <v>0.97189284145805888</v>
      </c>
      <c r="R87" s="27">
        <f t="shared" si="8"/>
        <v>0.98104698461357065</v>
      </c>
      <c r="S87" s="28">
        <f t="shared" si="9"/>
        <v>0.95555031539232449</v>
      </c>
      <c r="T87" s="28">
        <f t="shared" si="10"/>
        <v>0.97924895360490494</v>
      </c>
    </row>
    <row r="88" spans="2:20" ht="15" thickBot="1" x14ac:dyDescent="0.35">
      <c r="B88" s="6" t="s">
        <v>46</v>
      </c>
      <c r="C88" s="29">
        <v>43817</v>
      </c>
      <c r="D88" s="30">
        <f>325.36</f>
        <v>325.36</v>
      </c>
      <c r="E88" s="30">
        <f>315.6</f>
        <v>315.60000000000002</v>
      </c>
      <c r="F88" s="30">
        <f>320.8</f>
        <v>320.8</v>
      </c>
      <c r="G88" s="25">
        <f t="shared" si="11"/>
        <v>0.95902847373695699</v>
      </c>
      <c r="H88" s="28">
        <f t="shared" si="12"/>
        <v>0.93025997759830226</v>
      </c>
      <c r="I88" s="28">
        <f t="shared" si="13"/>
        <v>0.94558745504922481</v>
      </c>
      <c r="J88" s="12" t="s">
        <v>46</v>
      </c>
      <c r="K88" s="22">
        <v>43817</v>
      </c>
      <c r="L88" s="23">
        <v>88.85</v>
      </c>
      <c r="M88" s="23">
        <v>87.82</v>
      </c>
      <c r="N88" s="23">
        <v>87.99</v>
      </c>
      <c r="O88" s="2">
        <f t="shared" si="14"/>
        <v>0.97551602986385588</v>
      </c>
      <c r="P88" s="2">
        <f t="shared" si="15"/>
        <v>0.96420729029424679</v>
      </c>
      <c r="Q88" s="2">
        <f t="shared" si="16"/>
        <v>0.96607378129117261</v>
      </c>
      <c r="R88" s="27">
        <f t="shared" si="8"/>
        <v>0.95902847373695699</v>
      </c>
      <c r="S88" s="28">
        <f t="shared" si="9"/>
        <v>0.93025997759830226</v>
      </c>
      <c r="T88" s="28">
        <f t="shared" si="10"/>
        <v>0.94558745504922481</v>
      </c>
    </row>
    <row r="89" spans="2:20" ht="15" thickBot="1" x14ac:dyDescent="0.35">
      <c r="B89" s="6" t="s">
        <v>47</v>
      </c>
      <c r="C89" s="29">
        <v>43816</v>
      </c>
      <c r="D89" s="30">
        <f>316.8</f>
        <v>316.8</v>
      </c>
      <c r="E89" s="30">
        <f>306.6</f>
        <v>306.60000000000002</v>
      </c>
      <c r="F89" s="30">
        <f>315.48</f>
        <v>315.48</v>
      </c>
      <c r="G89" s="25">
        <f t="shared" si="11"/>
        <v>0.93379708777928438</v>
      </c>
      <c r="H89" s="28">
        <f t="shared" si="12"/>
        <v>0.90373165124093624</v>
      </c>
      <c r="I89" s="28">
        <f t="shared" si="13"/>
        <v>0.92990626658020403</v>
      </c>
      <c r="J89" s="12" t="s">
        <v>47</v>
      </c>
      <c r="K89" s="22">
        <v>43816</v>
      </c>
      <c r="L89" s="23">
        <v>88.97</v>
      </c>
      <c r="M89" s="23">
        <v>87.47</v>
      </c>
      <c r="N89" s="23">
        <v>88.13</v>
      </c>
      <c r="O89" s="2">
        <f t="shared" si="14"/>
        <v>0.97683355292050944</v>
      </c>
      <c r="P89" s="2">
        <f t="shared" si="15"/>
        <v>0.96036451471234086</v>
      </c>
      <c r="Q89" s="2">
        <f t="shared" si="16"/>
        <v>0.96761089152393498</v>
      </c>
      <c r="R89" s="27">
        <f t="shared" si="8"/>
        <v>0.93379708777928438</v>
      </c>
      <c r="S89" s="28">
        <f t="shared" si="9"/>
        <v>0.90373165124093624</v>
      </c>
      <c r="T89" s="28">
        <f t="shared" si="10"/>
        <v>0.92990626658020403</v>
      </c>
    </row>
    <row r="90" spans="2:20" ht="15" thickBot="1" x14ac:dyDescent="0.35">
      <c r="B90" s="6" t="s">
        <v>48</v>
      </c>
      <c r="C90" s="29">
        <v>43815</v>
      </c>
      <c r="D90" s="30">
        <f>305.71</f>
        <v>305.70999999999998</v>
      </c>
      <c r="E90" s="30">
        <f>298.63</f>
        <v>298.63</v>
      </c>
      <c r="F90" s="30">
        <f>304.21</f>
        <v>304.20999999999998</v>
      </c>
      <c r="G90" s="25">
        <f t="shared" si="11"/>
        <v>0.90110829452337438</v>
      </c>
      <c r="H90" s="28">
        <f t="shared" si="12"/>
        <v>0.88023934445557983</v>
      </c>
      <c r="I90" s="28">
        <f t="shared" si="13"/>
        <v>0.89668690679714669</v>
      </c>
      <c r="J90" s="12" t="s">
        <v>48</v>
      </c>
      <c r="K90" s="22">
        <v>43815</v>
      </c>
      <c r="L90" s="23">
        <v>89.3</v>
      </c>
      <c r="M90" s="23">
        <v>88.43</v>
      </c>
      <c r="N90" s="23">
        <v>88.78</v>
      </c>
      <c r="O90" s="2">
        <f t="shared" si="14"/>
        <v>0.98045674132630656</v>
      </c>
      <c r="P90" s="2">
        <f t="shared" si="15"/>
        <v>0.97090469916556887</v>
      </c>
      <c r="Q90" s="2">
        <f t="shared" si="16"/>
        <v>0.97474747474747481</v>
      </c>
      <c r="R90" s="27">
        <f t="shared" si="8"/>
        <v>0.90110829452337438</v>
      </c>
      <c r="S90" s="28">
        <f t="shared" si="9"/>
        <v>0.88023934445557983</v>
      </c>
      <c r="T90" s="28">
        <f t="shared" si="10"/>
        <v>0.89668690679714669</v>
      </c>
    </row>
    <row r="91" spans="2:20" ht="15" thickBot="1" x14ac:dyDescent="0.35">
      <c r="B91" s="6" t="s">
        <v>49</v>
      </c>
      <c r="C91" s="29">
        <v>43812</v>
      </c>
      <c r="D91" s="30">
        <f>301.8</f>
        <v>301.8</v>
      </c>
      <c r="E91" s="30">
        <f>297.25</f>
        <v>297.25</v>
      </c>
      <c r="F91" s="30">
        <f>298.5</f>
        <v>298.5</v>
      </c>
      <c r="G91" s="25">
        <f t="shared" si="11"/>
        <v>0.88958321051700762</v>
      </c>
      <c r="H91" s="28">
        <f t="shared" si="12"/>
        <v>0.87617166774745037</v>
      </c>
      <c r="I91" s="28">
        <f t="shared" si="13"/>
        <v>0.87985615751930679</v>
      </c>
      <c r="J91" s="12" t="s">
        <v>49</v>
      </c>
      <c r="K91" s="22">
        <v>43812</v>
      </c>
      <c r="L91" s="23">
        <v>88.79</v>
      </c>
      <c r="M91" s="23">
        <v>87.58</v>
      </c>
      <c r="N91" s="23">
        <v>88.67</v>
      </c>
      <c r="O91" s="2">
        <f t="shared" si="14"/>
        <v>0.97485726833552933</v>
      </c>
      <c r="P91" s="2">
        <f t="shared" si="15"/>
        <v>0.96157224418093978</v>
      </c>
      <c r="Q91" s="2">
        <f t="shared" si="16"/>
        <v>0.97353974527887577</v>
      </c>
      <c r="R91" s="27">
        <f t="shared" si="8"/>
        <v>0.88958321051700762</v>
      </c>
      <c r="S91" s="28">
        <f t="shared" si="9"/>
        <v>0.87617166774745037</v>
      </c>
      <c r="T91" s="28">
        <f t="shared" si="10"/>
        <v>0.87985615751930679</v>
      </c>
    </row>
    <row r="92" spans="2:20" ht="15" thickBot="1" x14ac:dyDescent="0.35">
      <c r="B92" s="6" t="s">
        <v>50</v>
      </c>
      <c r="C92" s="29">
        <v>43811</v>
      </c>
      <c r="D92" s="30">
        <f>299.17</f>
        <v>299.17</v>
      </c>
      <c r="E92" s="30">
        <f>295.06</f>
        <v>295.06</v>
      </c>
      <c r="F92" s="30">
        <f>298.44</f>
        <v>298.44</v>
      </c>
      <c r="G92" s="25">
        <f t="shared" si="11"/>
        <v>0.88183104403702184</v>
      </c>
      <c r="H92" s="28">
        <f t="shared" si="12"/>
        <v>0.869716441667158</v>
      </c>
      <c r="I92" s="28">
        <f t="shared" si="13"/>
        <v>0.87967930201025768</v>
      </c>
      <c r="J92" s="12" t="s">
        <v>50</v>
      </c>
      <c r="K92" s="22">
        <v>43811</v>
      </c>
      <c r="L92" s="23">
        <v>88.89</v>
      </c>
      <c r="M92" s="23">
        <v>87.54</v>
      </c>
      <c r="N92" s="23">
        <v>88.21</v>
      </c>
      <c r="O92" s="2">
        <f t="shared" si="14"/>
        <v>0.97595520421607385</v>
      </c>
      <c r="P92" s="2">
        <f t="shared" si="15"/>
        <v>0.96113306982872204</v>
      </c>
      <c r="Q92" s="2">
        <f t="shared" si="16"/>
        <v>0.96848924022837057</v>
      </c>
      <c r="R92" s="27">
        <f t="shared" si="8"/>
        <v>0.88183104403702184</v>
      </c>
      <c r="S92" s="28">
        <f t="shared" si="9"/>
        <v>0.869716441667158</v>
      </c>
      <c r="T92" s="28">
        <f t="shared" si="10"/>
        <v>0.87967930201025768</v>
      </c>
    </row>
    <row r="93" spans="2:20" ht="15" thickBot="1" x14ac:dyDescent="0.35">
      <c r="B93" s="6" t="s">
        <v>51</v>
      </c>
      <c r="C93" s="29">
        <v>43810</v>
      </c>
      <c r="D93" s="30">
        <f>299.43</f>
        <v>299.43</v>
      </c>
      <c r="E93" s="30">
        <f>294.2</f>
        <v>294.2</v>
      </c>
      <c r="F93" s="30">
        <f>298.93</f>
        <v>298.93</v>
      </c>
      <c r="G93" s="25">
        <f t="shared" si="11"/>
        <v>0.88259741790956792</v>
      </c>
      <c r="H93" s="28">
        <f t="shared" si="12"/>
        <v>0.86718151270412069</v>
      </c>
      <c r="I93" s="28">
        <f t="shared" si="13"/>
        <v>0.88112362200082539</v>
      </c>
      <c r="J93" s="12" t="s">
        <v>51</v>
      </c>
      <c r="K93" s="22">
        <v>43810</v>
      </c>
      <c r="L93" s="23">
        <v>86.87</v>
      </c>
      <c r="M93" s="23">
        <v>85.85</v>
      </c>
      <c r="N93" s="23">
        <v>86.59</v>
      </c>
      <c r="O93" s="2">
        <f t="shared" si="14"/>
        <v>0.9537768994290734</v>
      </c>
      <c r="P93" s="2">
        <f t="shared" si="15"/>
        <v>0.9425779534475186</v>
      </c>
      <c r="Q93" s="2">
        <f t="shared" si="16"/>
        <v>0.95070267896354854</v>
      </c>
      <c r="R93" s="27">
        <f t="shared" si="8"/>
        <v>0.88259741790956792</v>
      </c>
      <c r="S93" s="28">
        <f t="shared" si="9"/>
        <v>0.86718151270412069</v>
      </c>
      <c r="T93" s="28">
        <f t="shared" si="10"/>
        <v>0.88112362200082539</v>
      </c>
    </row>
    <row r="94" spans="2:20" ht="15" thickBot="1" x14ac:dyDescent="0.35">
      <c r="B94" s="6" t="s">
        <v>52</v>
      </c>
      <c r="C94" s="29">
        <v>43809</v>
      </c>
      <c r="D94" s="30">
        <f>298.94</f>
        <v>298.94</v>
      </c>
      <c r="E94" s="30">
        <f>292.02</f>
        <v>292.02</v>
      </c>
      <c r="F94" s="30">
        <f>293.12</f>
        <v>293.12</v>
      </c>
      <c r="G94" s="25">
        <f t="shared" si="11"/>
        <v>0.88115309791900021</v>
      </c>
      <c r="H94" s="28">
        <f t="shared" si="12"/>
        <v>0.86075576254200314</v>
      </c>
      <c r="I94" s="28">
        <f t="shared" si="13"/>
        <v>0.8639981135412369</v>
      </c>
      <c r="J94" s="12" t="s">
        <v>52</v>
      </c>
      <c r="K94" s="22">
        <v>43809</v>
      </c>
      <c r="L94" s="23">
        <v>87.47</v>
      </c>
      <c r="M94" s="23">
        <v>85.91</v>
      </c>
      <c r="N94" s="23">
        <v>86.04</v>
      </c>
      <c r="O94" s="2">
        <f t="shared" si="14"/>
        <v>0.96036451471234086</v>
      </c>
      <c r="P94" s="2">
        <f t="shared" si="15"/>
        <v>0.94323671497584538</v>
      </c>
      <c r="Q94" s="2">
        <f t="shared" si="16"/>
        <v>0.94466403162055346</v>
      </c>
      <c r="R94" s="27">
        <f t="shared" si="8"/>
        <v>0.88115309791900021</v>
      </c>
      <c r="S94" s="28">
        <f t="shared" si="9"/>
        <v>0.86075576254200314</v>
      </c>
      <c r="T94" s="28">
        <f t="shared" si="10"/>
        <v>0.8639981135412369</v>
      </c>
    </row>
    <row r="95" spans="2:20" ht="15" thickBot="1" x14ac:dyDescent="0.35">
      <c r="B95" s="6" t="s">
        <v>53</v>
      </c>
      <c r="C95" s="29">
        <v>43808</v>
      </c>
      <c r="D95" s="30">
        <f>311.49</f>
        <v>311.49</v>
      </c>
      <c r="E95" s="30">
        <f>302.44</f>
        <v>302.44</v>
      </c>
      <c r="F95" s="30">
        <f>302.5</f>
        <v>302.5</v>
      </c>
      <c r="G95" s="25">
        <f t="shared" si="11"/>
        <v>0.91814537522843842</v>
      </c>
      <c r="H95" s="28">
        <f t="shared" si="12"/>
        <v>0.89146966928019811</v>
      </c>
      <c r="I95" s="28">
        <f t="shared" si="13"/>
        <v>0.89164652478924722</v>
      </c>
      <c r="J95" s="12" t="s">
        <v>53</v>
      </c>
      <c r="K95" s="22">
        <v>43808</v>
      </c>
      <c r="L95" s="23">
        <v>86.63</v>
      </c>
      <c r="M95" s="23">
        <v>85.96</v>
      </c>
      <c r="N95" s="23">
        <v>86.28</v>
      </c>
      <c r="O95" s="2">
        <f t="shared" si="14"/>
        <v>0.95114185331576628</v>
      </c>
      <c r="P95" s="2">
        <f t="shared" si="15"/>
        <v>0.94378568291611764</v>
      </c>
      <c r="Q95" s="2">
        <f t="shared" si="16"/>
        <v>0.94729907773386035</v>
      </c>
      <c r="R95" s="27">
        <f t="shared" si="8"/>
        <v>0.91814537522843842</v>
      </c>
      <c r="S95" s="28">
        <f t="shared" si="9"/>
        <v>0.89146966928019811</v>
      </c>
      <c r="T95" s="28">
        <f t="shared" si="10"/>
        <v>0.89164652478924722</v>
      </c>
    </row>
    <row r="96" spans="2:20" ht="15" thickBot="1" x14ac:dyDescent="0.35">
      <c r="B96" s="6" t="s">
        <v>54</v>
      </c>
      <c r="C96" s="29">
        <v>43805</v>
      </c>
      <c r="D96" s="30">
        <f>307.85</f>
        <v>307.85000000000002</v>
      </c>
      <c r="E96" s="30">
        <f>302.6</f>
        <v>302.60000000000002</v>
      </c>
      <c r="F96" s="30">
        <f>307.35</f>
        <v>307.35000000000002</v>
      </c>
      <c r="G96" s="25">
        <f t="shared" si="11"/>
        <v>0.90741614101279267</v>
      </c>
      <c r="H96" s="28">
        <f t="shared" si="12"/>
        <v>0.89194128397099581</v>
      </c>
      <c r="I96" s="28">
        <f t="shared" si="13"/>
        <v>0.90594234510405003</v>
      </c>
      <c r="J96" s="12" t="s">
        <v>54</v>
      </c>
      <c r="K96" s="22">
        <v>43805</v>
      </c>
      <c r="L96" s="23">
        <v>86.53</v>
      </c>
      <c r="M96" s="23">
        <v>85.03</v>
      </c>
      <c r="N96" s="23">
        <v>86.32</v>
      </c>
      <c r="O96" s="2">
        <f t="shared" si="14"/>
        <v>0.95004391743522176</v>
      </c>
      <c r="P96" s="2">
        <f t="shared" si="15"/>
        <v>0.93357487922705318</v>
      </c>
      <c r="Q96" s="2">
        <f t="shared" si="16"/>
        <v>0.94773825208607809</v>
      </c>
      <c r="R96" s="27">
        <f t="shared" si="8"/>
        <v>0.90741614101279267</v>
      </c>
      <c r="S96" s="28">
        <f t="shared" si="9"/>
        <v>0.89194128397099581</v>
      </c>
      <c r="T96" s="28">
        <f t="shared" si="10"/>
        <v>0.90594234510405003</v>
      </c>
    </row>
    <row r="97" spans="2:20" ht="15" thickBot="1" x14ac:dyDescent="0.35">
      <c r="B97" s="6" t="s">
        <v>55</v>
      </c>
      <c r="C97" s="29">
        <v>43804</v>
      </c>
      <c r="D97" s="30">
        <f>306.48</f>
        <v>306.48</v>
      </c>
      <c r="E97" s="30">
        <f>298.81</f>
        <v>298.81</v>
      </c>
      <c r="F97" s="30">
        <f>302.86</f>
        <v>302.86</v>
      </c>
      <c r="G97" s="25">
        <f t="shared" si="11"/>
        <v>0.90337794022283802</v>
      </c>
      <c r="H97" s="28">
        <f t="shared" si="12"/>
        <v>0.88076991098272717</v>
      </c>
      <c r="I97" s="28">
        <f t="shared" si="13"/>
        <v>0.89270765784354189</v>
      </c>
      <c r="J97" s="12" t="s">
        <v>55</v>
      </c>
      <c r="K97" s="22">
        <v>43804</v>
      </c>
      <c r="L97" s="23">
        <v>85.48</v>
      </c>
      <c r="M97" s="23">
        <v>84.32</v>
      </c>
      <c r="N97" s="23">
        <v>84.45</v>
      </c>
      <c r="O97" s="2">
        <f t="shared" si="14"/>
        <v>0.93851559068950374</v>
      </c>
      <c r="P97" s="2">
        <f t="shared" si="15"/>
        <v>0.92577953447518657</v>
      </c>
      <c r="Q97" s="2">
        <f t="shared" si="16"/>
        <v>0.92720685111989465</v>
      </c>
      <c r="R97" s="27">
        <f t="shared" si="8"/>
        <v>0.90337794022283802</v>
      </c>
      <c r="S97" s="28">
        <f t="shared" si="9"/>
        <v>0.88076991098272717</v>
      </c>
      <c r="T97" s="28">
        <f t="shared" si="10"/>
        <v>0.89270765784354189</v>
      </c>
    </row>
    <row r="98" spans="2:20" ht="15" thickBot="1" x14ac:dyDescent="0.35">
      <c r="B98" s="6" t="s">
        <v>56</v>
      </c>
      <c r="C98" s="29">
        <v>43803</v>
      </c>
      <c r="D98" s="30">
        <f>308.43</f>
        <v>308.43</v>
      </c>
      <c r="E98" s="30">
        <f>303.27</f>
        <v>303.27</v>
      </c>
      <c r="F98" s="30">
        <f>304.32</f>
        <v>304.32</v>
      </c>
      <c r="G98" s="25">
        <f t="shared" si="11"/>
        <v>0.90912574426693393</v>
      </c>
      <c r="H98" s="28">
        <f t="shared" si="12"/>
        <v>0.89391617048871075</v>
      </c>
      <c r="I98" s="28">
        <f t="shared" si="13"/>
        <v>0.8970111418970701</v>
      </c>
      <c r="J98" s="12" t="s">
        <v>56</v>
      </c>
      <c r="K98" s="22">
        <v>43803</v>
      </c>
      <c r="L98" s="23">
        <v>85.54</v>
      </c>
      <c r="M98" s="23">
        <v>84.7</v>
      </c>
      <c r="N98" s="23">
        <v>85.4</v>
      </c>
      <c r="O98" s="2">
        <f t="shared" si="14"/>
        <v>0.93917435221783052</v>
      </c>
      <c r="P98" s="2">
        <f t="shared" si="15"/>
        <v>0.92995169082125606</v>
      </c>
      <c r="Q98" s="2">
        <f t="shared" si="16"/>
        <v>0.93763724198506815</v>
      </c>
      <c r="R98" s="27">
        <f t="shared" si="8"/>
        <v>0.90912574426693393</v>
      </c>
      <c r="S98" s="28">
        <f t="shared" si="9"/>
        <v>0.89391617048871075</v>
      </c>
      <c r="T98" s="28">
        <f t="shared" si="10"/>
        <v>0.8970111418970701</v>
      </c>
    </row>
    <row r="99" spans="2:20" ht="15" thickBot="1" x14ac:dyDescent="0.35">
      <c r="B99" s="6" t="s">
        <v>57</v>
      </c>
      <c r="C99" s="29">
        <v>43802</v>
      </c>
      <c r="D99" s="30">
        <f>307.36</f>
        <v>307.36</v>
      </c>
      <c r="E99" s="30">
        <f>301.88</f>
        <v>301.88</v>
      </c>
      <c r="F99" s="30">
        <f>306.16</f>
        <v>306.16000000000003</v>
      </c>
      <c r="G99" s="25">
        <f t="shared" si="11"/>
        <v>0.90597182102222495</v>
      </c>
      <c r="H99" s="28">
        <f t="shared" si="12"/>
        <v>0.88981901786240647</v>
      </c>
      <c r="I99" s="28">
        <f t="shared" si="13"/>
        <v>0.90243471084124283</v>
      </c>
      <c r="J99" s="12" t="s">
        <v>57</v>
      </c>
      <c r="K99" s="22">
        <v>43802</v>
      </c>
      <c r="L99" s="23">
        <v>85</v>
      </c>
      <c r="M99" s="23">
        <v>83.82</v>
      </c>
      <c r="N99" s="23">
        <v>84.82</v>
      </c>
      <c r="O99" s="2">
        <f t="shared" si="14"/>
        <v>0.93324549846288973</v>
      </c>
      <c r="P99" s="2">
        <f t="shared" si="15"/>
        <v>0.92028985507246375</v>
      </c>
      <c r="Q99" s="2">
        <f t="shared" si="16"/>
        <v>0.93126921387790951</v>
      </c>
      <c r="R99" s="27">
        <f t="shared" si="8"/>
        <v>0.90597182102222495</v>
      </c>
      <c r="S99" s="28">
        <f t="shared" si="9"/>
        <v>0.88981901786240647</v>
      </c>
      <c r="T99" s="28">
        <f t="shared" si="10"/>
        <v>0.90243471084124283</v>
      </c>
    </row>
    <row r="100" spans="2:20" ht="15" thickBot="1" x14ac:dyDescent="0.35">
      <c r="B100" s="6" t="s">
        <v>58</v>
      </c>
      <c r="C100" s="29">
        <v>43801</v>
      </c>
      <c r="D100" s="30">
        <f>314.39</f>
        <v>314.39</v>
      </c>
      <c r="E100" s="30">
        <f>303.75</f>
        <v>303.75</v>
      </c>
      <c r="F100" s="30">
        <f>309.99</f>
        <v>309.99</v>
      </c>
      <c r="G100" s="25">
        <f t="shared" si="11"/>
        <v>0.9266933914991452</v>
      </c>
      <c r="H100" s="28">
        <f t="shared" si="12"/>
        <v>0.89533101456110364</v>
      </c>
      <c r="I100" s="28">
        <f t="shared" si="13"/>
        <v>0.91372398750221073</v>
      </c>
      <c r="J100" s="12" t="s">
        <v>58</v>
      </c>
      <c r="K100" s="22">
        <v>43801</v>
      </c>
      <c r="L100" s="23">
        <v>85.77</v>
      </c>
      <c r="M100" s="23">
        <v>83.82</v>
      </c>
      <c r="N100" s="23">
        <v>84.57</v>
      </c>
      <c r="O100" s="2">
        <f t="shared" si="14"/>
        <v>0.94169960474308301</v>
      </c>
      <c r="P100" s="2">
        <f t="shared" si="15"/>
        <v>0.92028985507246375</v>
      </c>
      <c r="Q100" s="2">
        <f t="shared" si="16"/>
        <v>0.92852437417654798</v>
      </c>
      <c r="R100" s="27">
        <f t="shared" si="8"/>
        <v>0.9266933914991452</v>
      </c>
      <c r="S100" s="28">
        <f t="shared" si="9"/>
        <v>0.89533101456110364</v>
      </c>
      <c r="T100" s="28">
        <f t="shared" si="10"/>
        <v>0.91372398750221073</v>
      </c>
    </row>
    <row r="101" spans="2:20" x14ac:dyDescent="0.3">
      <c r="B101" s="6" t="s">
        <v>59</v>
      </c>
      <c r="C101" s="29">
        <v>43798</v>
      </c>
      <c r="D101" s="30">
        <f>316.62</f>
        <v>316.62</v>
      </c>
      <c r="E101" s="30">
        <f>313.34</f>
        <v>313.33999999999997</v>
      </c>
      <c r="F101" s="30">
        <f>314.66</f>
        <v>314.66000000000003</v>
      </c>
      <c r="G101" s="25">
        <f t="shared" si="11"/>
        <v>0.93326652125213705</v>
      </c>
      <c r="H101" s="28">
        <f t="shared" si="12"/>
        <v>0.92359842009078574</v>
      </c>
      <c r="I101" s="28">
        <f t="shared" si="13"/>
        <v>0.92748924128986632</v>
      </c>
      <c r="J101" s="12" t="s">
        <v>59</v>
      </c>
      <c r="K101" s="22">
        <v>43798</v>
      </c>
      <c r="L101" s="23">
        <v>86.73</v>
      </c>
      <c r="M101" s="23">
        <v>85.25</v>
      </c>
      <c r="N101" s="23">
        <v>85.43</v>
      </c>
      <c r="O101" s="2">
        <f t="shared" si="14"/>
        <v>0.95223978919631103</v>
      </c>
      <c r="P101" s="2">
        <f t="shared" si="15"/>
        <v>0.93599033816425126</v>
      </c>
      <c r="Q101" s="2">
        <f t="shared" si="16"/>
        <v>0.93796662274923148</v>
      </c>
      <c r="R101" s="27">
        <f t="shared" si="8"/>
        <v>0.93326652125213705</v>
      </c>
      <c r="S101" s="28">
        <f t="shared" si="9"/>
        <v>0.92359842009078574</v>
      </c>
      <c r="T101" s="28">
        <f t="shared" si="10"/>
        <v>0.92748924128986632</v>
      </c>
    </row>
  </sheetData>
  <phoneticPr fontId="3" type="noConversion"/>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A68A-2409-4191-8656-544ABFF0FA3D}">
  <dimension ref="B1:J33"/>
  <sheetViews>
    <sheetView topLeftCell="F1" zoomScale="33" workbookViewId="0">
      <selection activeCell="W84" sqref="W84"/>
    </sheetView>
  </sheetViews>
  <sheetFormatPr defaultRowHeight="14.4" x14ac:dyDescent="0.3"/>
  <sheetData>
    <row r="1" spans="2:10" ht="29.4" thickBot="1" x14ac:dyDescent="0.35">
      <c r="B1" s="2" t="s">
        <v>61</v>
      </c>
      <c r="C1" s="20" t="s">
        <v>62</v>
      </c>
      <c r="D1" s="21" t="s">
        <v>29</v>
      </c>
      <c r="E1" s="21" t="s">
        <v>26</v>
      </c>
      <c r="F1" s="21" t="s">
        <v>63</v>
      </c>
      <c r="G1" s="15" t="s">
        <v>64</v>
      </c>
      <c r="H1" s="16" t="s">
        <v>65</v>
      </c>
      <c r="I1" s="16" t="s">
        <v>66</v>
      </c>
      <c r="J1" s="11" t="s">
        <v>73</v>
      </c>
    </row>
    <row r="2" spans="2:10" ht="15" thickBot="1" x14ac:dyDescent="0.35">
      <c r="B2" s="12" t="s">
        <v>30</v>
      </c>
      <c r="C2" s="22">
        <v>43843</v>
      </c>
      <c r="D2" s="23">
        <v>91.72</v>
      </c>
      <c r="E2" s="23">
        <v>90.21</v>
      </c>
      <c r="F2" s="33">
        <v>91.08</v>
      </c>
      <c r="G2" s="2">
        <f>D2/91.08</f>
        <v>1.0070267896354852</v>
      </c>
      <c r="H2" s="2">
        <f>E2/91.08</f>
        <v>0.99044795783926209</v>
      </c>
      <c r="I2" s="2">
        <f>F2/91.08</f>
        <v>1</v>
      </c>
      <c r="J2">
        <f>(F2-87.72666667)^2</f>
        <v>11.244844422088876</v>
      </c>
    </row>
    <row r="3" spans="2:10" ht="15" thickBot="1" x14ac:dyDescent="0.35">
      <c r="B3" s="12" t="s">
        <v>31</v>
      </c>
      <c r="C3" s="22">
        <v>43840</v>
      </c>
      <c r="D3" s="23">
        <v>90.89</v>
      </c>
      <c r="E3" s="23">
        <v>89.63</v>
      </c>
      <c r="F3" s="23">
        <v>90.16</v>
      </c>
      <c r="G3" s="2">
        <f t="shared" ref="G3:I31" si="0">D3/91.08</f>
        <v>0.99791392182696537</v>
      </c>
      <c r="H3" s="2">
        <f t="shared" si="0"/>
        <v>0.98407992973210356</v>
      </c>
      <c r="I3" s="2">
        <f t="shared" si="0"/>
        <v>0.98989898989898983</v>
      </c>
      <c r="J3">
        <f t="shared" ref="J3:J31" si="1">(F3-87.72666667)^2</f>
        <v>5.9211110948888717</v>
      </c>
    </row>
    <row r="4" spans="2:10" ht="15" thickBot="1" x14ac:dyDescent="0.35">
      <c r="B4" s="12" t="s">
        <v>32</v>
      </c>
      <c r="C4" s="22">
        <v>43839</v>
      </c>
      <c r="D4" s="23">
        <v>91.16</v>
      </c>
      <c r="E4" s="23">
        <v>90.07</v>
      </c>
      <c r="F4" s="23">
        <v>90.53</v>
      </c>
      <c r="G4" s="2">
        <f t="shared" si="0"/>
        <v>1.0008783487044357</v>
      </c>
      <c r="H4" s="2">
        <f t="shared" si="0"/>
        <v>0.98891084760649972</v>
      </c>
      <c r="I4" s="2">
        <f t="shared" si="0"/>
        <v>0.99396135265700492</v>
      </c>
      <c r="J4">
        <f t="shared" si="1"/>
        <v>7.8586777590888941</v>
      </c>
    </row>
    <row r="5" spans="2:10" ht="15" thickBot="1" x14ac:dyDescent="0.35">
      <c r="B5" s="12" t="s">
        <v>33</v>
      </c>
      <c r="C5" s="22">
        <v>43838</v>
      </c>
      <c r="D5" s="23">
        <v>89.35</v>
      </c>
      <c r="E5" s="23">
        <v>87.78</v>
      </c>
      <c r="F5" s="23">
        <v>88.88</v>
      </c>
      <c r="G5" s="2">
        <f t="shared" si="0"/>
        <v>0.98100570926657882</v>
      </c>
      <c r="H5" s="2">
        <f t="shared" si="0"/>
        <v>0.96376811594202905</v>
      </c>
      <c r="I5" s="2">
        <f t="shared" si="0"/>
        <v>0.97584541062801933</v>
      </c>
      <c r="J5">
        <f t="shared" si="1"/>
        <v>1.3301777700888779</v>
      </c>
    </row>
    <row r="6" spans="2:10" ht="15" thickBot="1" x14ac:dyDescent="0.35">
      <c r="B6" s="12" t="s">
        <v>34</v>
      </c>
      <c r="C6" s="22">
        <v>43837</v>
      </c>
      <c r="D6" s="23">
        <v>88.03</v>
      </c>
      <c r="E6" s="23">
        <v>87.13</v>
      </c>
      <c r="F6" s="23">
        <v>87.86</v>
      </c>
      <c r="G6" s="2">
        <f t="shared" si="0"/>
        <v>0.96651295564339046</v>
      </c>
      <c r="H6" s="2">
        <f t="shared" si="0"/>
        <v>0.95663153271848922</v>
      </c>
      <c r="I6" s="2">
        <f t="shared" si="0"/>
        <v>0.96464646464646464</v>
      </c>
      <c r="J6">
        <f t="shared" si="1"/>
        <v>1.7777776888888701E-2</v>
      </c>
    </row>
    <row r="7" spans="2:10" ht="15" thickBot="1" x14ac:dyDescent="0.35">
      <c r="B7" s="12" t="s">
        <v>35</v>
      </c>
      <c r="C7" s="22">
        <v>43836</v>
      </c>
      <c r="D7" s="23">
        <v>88.41</v>
      </c>
      <c r="E7" s="23">
        <v>87.47</v>
      </c>
      <c r="F7" s="23">
        <v>88.13</v>
      </c>
      <c r="G7" s="2">
        <f t="shared" si="0"/>
        <v>0.97068511198945984</v>
      </c>
      <c r="H7" s="2">
        <f t="shared" si="0"/>
        <v>0.96036451471234086</v>
      </c>
      <c r="I7" s="2">
        <f t="shared" si="0"/>
        <v>0.96761089152393498</v>
      </c>
      <c r="J7">
        <f t="shared" si="1"/>
        <v>0.16267777508888509</v>
      </c>
    </row>
    <row r="8" spans="2:10" ht="15" thickBot="1" x14ac:dyDescent="0.35">
      <c r="B8" s="12" t="s">
        <v>36</v>
      </c>
      <c r="C8" s="22">
        <v>43833</v>
      </c>
      <c r="D8" s="23">
        <v>89.1</v>
      </c>
      <c r="E8" s="23">
        <v>88.1</v>
      </c>
      <c r="F8" s="23">
        <v>88.83</v>
      </c>
      <c r="G8" s="2">
        <f t="shared" si="0"/>
        <v>0.97826086956521729</v>
      </c>
      <c r="H8" s="2">
        <f t="shared" si="0"/>
        <v>0.96728151075977153</v>
      </c>
      <c r="I8" s="2">
        <f t="shared" si="0"/>
        <v>0.97529644268774707</v>
      </c>
      <c r="J8">
        <f t="shared" si="1"/>
        <v>1.2173444370888848</v>
      </c>
    </row>
    <row r="9" spans="2:10" ht="15" thickBot="1" x14ac:dyDescent="0.35">
      <c r="B9" s="12" t="s">
        <v>37</v>
      </c>
      <c r="C9" s="22">
        <v>43832</v>
      </c>
      <c r="D9" s="23">
        <v>89.35</v>
      </c>
      <c r="E9" s="23">
        <v>88.05</v>
      </c>
      <c r="F9" s="23">
        <v>89.35</v>
      </c>
      <c r="G9" s="2">
        <f t="shared" si="0"/>
        <v>0.98100570926657882</v>
      </c>
      <c r="H9" s="2">
        <f t="shared" si="0"/>
        <v>0.96673254281949927</v>
      </c>
      <c r="I9" s="2">
        <f t="shared" si="0"/>
        <v>0.98100570926657882</v>
      </c>
      <c r="J9">
        <f t="shared" si="1"/>
        <v>2.6352111002888701</v>
      </c>
    </row>
    <row r="10" spans="2:10" ht="15" thickBot="1" x14ac:dyDescent="0.35">
      <c r="B10" s="12" t="s">
        <v>38</v>
      </c>
      <c r="C10" s="22">
        <v>43830</v>
      </c>
      <c r="D10" s="23">
        <v>87.99</v>
      </c>
      <c r="E10" s="23">
        <v>87.31</v>
      </c>
      <c r="F10" s="23">
        <v>87.92</v>
      </c>
      <c r="G10" s="2">
        <f t="shared" si="0"/>
        <v>0.96607378129117261</v>
      </c>
      <c r="H10" s="2">
        <f t="shared" si="0"/>
        <v>0.95860781730346956</v>
      </c>
      <c r="I10" s="2">
        <f t="shared" si="0"/>
        <v>0.96530522617479142</v>
      </c>
      <c r="J10">
        <f t="shared" si="1"/>
        <v>3.7377776488889493E-2</v>
      </c>
    </row>
    <row r="11" spans="2:10" ht="15" thickBot="1" x14ac:dyDescent="0.35">
      <c r="B11" s="12" t="s">
        <v>39</v>
      </c>
      <c r="C11" s="22">
        <v>43829</v>
      </c>
      <c r="D11" s="23">
        <v>88.2</v>
      </c>
      <c r="E11" s="23">
        <v>87.06</v>
      </c>
      <c r="F11" s="23">
        <v>87.44</v>
      </c>
      <c r="G11" s="2">
        <f t="shared" si="0"/>
        <v>0.96837944664031628</v>
      </c>
      <c r="H11" s="2">
        <f t="shared" si="0"/>
        <v>0.95586297760210803</v>
      </c>
      <c r="I11" s="2">
        <f t="shared" si="0"/>
        <v>0.96003513394817741</v>
      </c>
      <c r="J11">
        <f t="shared" si="1"/>
        <v>8.2177779688890312E-2</v>
      </c>
    </row>
    <row r="12" spans="2:10" ht="15" thickBot="1" x14ac:dyDescent="0.35">
      <c r="B12" s="12" t="s">
        <v>40</v>
      </c>
      <c r="C12" s="22">
        <v>43826</v>
      </c>
      <c r="D12" s="23">
        <v>88.46</v>
      </c>
      <c r="E12" s="23">
        <v>87.69</v>
      </c>
      <c r="F12" s="23">
        <v>88.13</v>
      </c>
      <c r="G12" s="2">
        <f t="shared" si="0"/>
        <v>0.9712340799297321</v>
      </c>
      <c r="H12" s="2">
        <f t="shared" si="0"/>
        <v>0.96277997364953882</v>
      </c>
      <c r="I12" s="2">
        <f t="shared" si="0"/>
        <v>0.96761089152393498</v>
      </c>
      <c r="J12">
        <f t="shared" si="1"/>
        <v>0.16267777508888509</v>
      </c>
    </row>
    <row r="13" spans="2:10" ht="15" thickBot="1" x14ac:dyDescent="0.35">
      <c r="B13" s="12" t="s">
        <v>41</v>
      </c>
      <c r="C13" s="22">
        <v>43825</v>
      </c>
      <c r="D13" s="23">
        <v>88.76</v>
      </c>
      <c r="E13" s="23">
        <v>87.79</v>
      </c>
      <c r="F13" s="23">
        <v>88.08</v>
      </c>
      <c r="G13" s="2">
        <f t="shared" si="0"/>
        <v>0.97452788757136588</v>
      </c>
      <c r="H13" s="2">
        <f t="shared" si="0"/>
        <v>0.96387790953008357</v>
      </c>
      <c r="I13" s="2">
        <f t="shared" si="0"/>
        <v>0.96706192358366272</v>
      </c>
      <c r="J13">
        <f t="shared" si="1"/>
        <v>0.12484444208888756</v>
      </c>
    </row>
    <row r="14" spans="2:10" ht="15" thickBot="1" x14ac:dyDescent="0.35">
      <c r="B14" s="12" t="s">
        <v>42</v>
      </c>
      <c r="C14" s="22">
        <v>43823</v>
      </c>
      <c r="D14" s="23">
        <v>88.6</v>
      </c>
      <c r="E14" s="23">
        <v>88</v>
      </c>
      <c r="F14" s="23">
        <v>88.52</v>
      </c>
      <c r="G14" s="2">
        <f t="shared" si="0"/>
        <v>0.97277119016249447</v>
      </c>
      <c r="H14" s="2">
        <f t="shared" si="0"/>
        <v>0.96618357487922713</v>
      </c>
      <c r="I14" s="2">
        <f t="shared" si="0"/>
        <v>0.97189284145805888</v>
      </c>
      <c r="J14">
        <f t="shared" si="1"/>
        <v>0.62937777248888227</v>
      </c>
    </row>
    <row r="15" spans="2:10" ht="15" thickBot="1" x14ac:dyDescent="0.35">
      <c r="B15" s="12" t="s">
        <v>43</v>
      </c>
      <c r="C15" s="22">
        <v>43822</v>
      </c>
      <c r="D15" s="23">
        <v>88.85</v>
      </c>
      <c r="E15" s="23">
        <v>88.18</v>
      </c>
      <c r="F15" s="23">
        <v>88.23</v>
      </c>
      <c r="G15" s="2">
        <f t="shared" si="0"/>
        <v>0.97551602986385588</v>
      </c>
      <c r="H15" s="2">
        <f t="shared" si="0"/>
        <v>0.96815985946420735</v>
      </c>
      <c r="I15" s="2">
        <f t="shared" si="0"/>
        <v>0.96870882740447961</v>
      </c>
      <c r="J15">
        <f t="shared" si="1"/>
        <v>0.2533444410888927</v>
      </c>
    </row>
    <row r="16" spans="2:10" ht="15" thickBot="1" x14ac:dyDescent="0.35">
      <c r="B16" s="12" t="s">
        <v>44</v>
      </c>
      <c r="C16" s="22">
        <v>43819</v>
      </c>
      <c r="D16" s="23">
        <v>89</v>
      </c>
      <c r="E16" s="23">
        <v>87.89</v>
      </c>
      <c r="F16" s="23">
        <v>88.46</v>
      </c>
      <c r="G16" s="2">
        <f t="shared" si="0"/>
        <v>0.97716293368467289</v>
      </c>
      <c r="H16" s="2">
        <f t="shared" si="0"/>
        <v>0.96497584541062809</v>
      </c>
      <c r="I16" s="2">
        <f t="shared" si="0"/>
        <v>0.9712340799297321</v>
      </c>
      <c r="J16">
        <f t="shared" si="1"/>
        <v>0.53777777288887951</v>
      </c>
    </row>
    <row r="17" spans="2:10" ht="15" thickBot="1" x14ac:dyDescent="0.35">
      <c r="B17" s="12" t="s">
        <v>45</v>
      </c>
      <c r="C17" s="22">
        <v>43818</v>
      </c>
      <c r="D17" s="23">
        <v>88.59</v>
      </c>
      <c r="E17" s="23">
        <v>87.58</v>
      </c>
      <c r="F17" s="23">
        <v>88.52</v>
      </c>
      <c r="G17" s="2">
        <f t="shared" si="0"/>
        <v>0.97266139657444006</v>
      </c>
      <c r="H17" s="2">
        <f t="shared" si="0"/>
        <v>0.96157224418093978</v>
      </c>
      <c r="I17" s="2">
        <f t="shared" si="0"/>
        <v>0.97189284145805888</v>
      </c>
      <c r="J17">
        <f t="shared" si="1"/>
        <v>0.62937777248888227</v>
      </c>
    </row>
    <row r="18" spans="2:10" ht="15" thickBot="1" x14ac:dyDescent="0.35">
      <c r="B18" s="12" t="s">
        <v>46</v>
      </c>
      <c r="C18" s="22">
        <v>43817</v>
      </c>
      <c r="D18" s="23">
        <v>88.85</v>
      </c>
      <c r="E18" s="23">
        <v>87.82</v>
      </c>
      <c r="F18" s="23">
        <v>87.99</v>
      </c>
      <c r="G18" s="2">
        <f t="shared" si="0"/>
        <v>0.97551602986385588</v>
      </c>
      <c r="H18" s="2">
        <f t="shared" si="0"/>
        <v>0.96420729029424679</v>
      </c>
      <c r="I18" s="2">
        <f t="shared" si="0"/>
        <v>0.96607378129117261</v>
      </c>
      <c r="J18">
        <f t="shared" si="1"/>
        <v>6.9344442688886107E-2</v>
      </c>
    </row>
    <row r="19" spans="2:10" ht="15" thickBot="1" x14ac:dyDescent="0.35">
      <c r="B19" s="12" t="s">
        <v>47</v>
      </c>
      <c r="C19" s="22">
        <v>43816</v>
      </c>
      <c r="D19" s="23">
        <v>88.97</v>
      </c>
      <c r="E19" s="23">
        <v>87.47</v>
      </c>
      <c r="F19" s="23">
        <v>88.13</v>
      </c>
      <c r="G19" s="2">
        <f t="shared" si="0"/>
        <v>0.97683355292050944</v>
      </c>
      <c r="H19" s="2">
        <f t="shared" si="0"/>
        <v>0.96036451471234086</v>
      </c>
      <c r="I19" s="2">
        <f t="shared" si="0"/>
        <v>0.96761089152393498</v>
      </c>
      <c r="J19">
        <f t="shared" si="1"/>
        <v>0.16267777508888509</v>
      </c>
    </row>
    <row r="20" spans="2:10" ht="15" thickBot="1" x14ac:dyDescent="0.35">
      <c r="B20" s="12" t="s">
        <v>48</v>
      </c>
      <c r="C20" s="22">
        <v>43815</v>
      </c>
      <c r="D20" s="23">
        <v>89.3</v>
      </c>
      <c r="E20" s="23">
        <v>88.43</v>
      </c>
      <c r="F20" s="23">
        <v>88.78</v>
      </c>
      <c r="G20" s="2">
        <f t="shared" si="0"/>
        <v>0.98045674132630656</v>
      </c>
      <c r="H20" s="2">
        <f t="shared" si="0"/>
        <v>0.97090469916556887</v>
      </c>
      <c r="I20" s="2">
        <f t="shared" si="0"/>
        <v>0.97474747474747481</v>
      </c>
      <c r="J20">
        <f t="shared" si="1"/>
        <v>1.109511104088891</v>
      </c>
    </row>
    <row r="21" spans="2:10" ht="15" thickBot="1" x14ac:dyDescent="0.35">
      <c r="B21" s="12" t="s">
        <v>49</v>
      </c>
      <c r="C21" s="22">
        <v>43812</v>
      </c>
      <c r="D21" s="23">
        <v>88.79</v>
      </c>
      <c r="E21" s="23">
        <v>87.58</v>
      </c>
      <c r="F21" s="23">
        <v>88.67</v>
      </c>
      <c r="G21" s="2">
        <f t="shared" si="0"/>
        <v>0.97485726833552933</v>
      </c>
      <c r="H21" s="2">
        <f t="shared" si="0"/>
        <v>0.96157224418093978</v>
      </c>
      <c r="I21" s="2">
        <f t="shared" si="0"/>
        <v>0.97353974527887577</v>
      </c>
      <c r="J21">
        <f t="shared" si="1"/>
        <v>0.8898777714888918</v>
      </c>
    </row>
    <row r="22" spans="2:10" ht="15" thickBot="1" x14ac:dyDescent="0.35">
      <c r="B22" s="12" t="s">
        <v>50</v>
      </c>
      <c r="C22" s="22">
        <v>43811</v>
      </c>
      <c r="D22" s="23">
        <v>88.89</v>
      </c>
      <c r="E22" s="23">
        <v>87.54</v>
      </c>
      <c r="F22" s="23">
        <v>88.21</v>
      </c>
      <c r="G22" s="2">
        <f t="shared" si="0"/>
        <v>0.97595520421607385</v>
      </c>
      <c r="H22" s="2">
        <f t="shared" si="0"/>
        <v>0.96113306982872204</v>
      </c>
      <c r="I22" s="2">
        <f t="shared" si="0"/>
        <v>0.96848924022837057</v>
      </c>
      <c r="J22">
        <f t="shared" si="1"/>
        <v>0.23361110788888267</v>
      </c>
    </row>
    <row r="23" spans="2:10" ht="15" thickBot="1" x14ac:dyDescent="0.35">
      <c r="B23" s="12" t="s">
        <v>51</v>
      </c>
      <c r="C23" s="22">
        <v>43810</v>
      </c>
      <c r="D23" s="23">
        <v>86.87</v>
      </c>
      <c r="E23" s="23">
        <v>85.85</v>
      </c>
      <c r="F23" s="23">
        <v>86.59</v>
      </c>
      <c r="G23" s="2">
        <f t="shared" si="0"/>
        <v>0.9537768994290734</v>
      </c>
      <c r="H23" s="2">
        <f t="shared" si="0"/>
        <v>0.9425779534475186</v>
      </c>
      <c r="I23" s="2">
        <f t="shared" si="0"/>
        <v>0.95070267896354854</v>
      </c>
      <c r="J23">
        <f t="shared" si="1"/>
        <v>1.2920111186888816</v>
      </c>
    </row>
    <row r="24" spans="2:10" ht="15" thickBot="1" x14ac:dyDescent="0.35">
      <c r="B24" s="12" t="s">
        <v>52</v>
      </c>
      <c r="C24" s="22">
        <v>43809</v>
      </c>
      <c r="D24" s="23">
        <v>87.47</v>
      </c>
      <c r="E24" s="23">
        <v>85.91</v>
      </c>
      <c r="F24" s="23">
        <v>86.04</v>
      </c>
      <c r="G24" s="2">
        <f t="shared" si="0"/>
        <v>0.96036451471234086</v>
      </c>
      <c r="H24" s="2">
        <f t="shared" si="0"/>
        <v>0.94323671497584538</v>
      </c>
      <c r="I24" s="2">
        <f t="shared" si="0"/>
        <v>0.94466403162055346</v>
      </c>
      <c r="J24">
        <f t="shared" si="1"/>
        <v>2.8448444556888686</v>
      </c>
    </row>
    <row r="25" spans="2:10" ht="15" thickBot="1" x14ac:dyDescent="0.35">
      <c r="B25" s="12" t="s">
        <v>53</v>
      </c>
      <c r="C25" s="22">
        <v>43808</v>
      </c>
      <c r="D25" s="23">
        <v>86.63</v>
      </c>
      <c r="E25" s="23">
        <v>85.96</v>
      </c>
      <c r="F25" s="23">
        <v>86.28</v>
      </c>
      <c r="G25" s="2">
        <f t="shared" si="0"/>
        <v>0.95114185331576628</v>
      </c>
      <c r="H25" s="2">
        <f t="shared" si="0"/>
        <v>0.94378568291611764</v>
      </c>
      <c r="I25" s="2">
        <f t="shared" si="0"/>
        <v>0.94729907773386035</v>
      </c>
      <c r="J25">
        <f t="shared" si="1"/>
        <v>2.092844454088886</v>
      </c>
    </row>
    <row r="26" spans="2:10" ht="15" thickBot="1" x14ac:dyDescent="0.35">
      <c r="B26" s="12" t="s">
        <v>54</v>
      </c>
      <c r="C26" s="22">
        <v>43805</v>
      </c>
      <c r="D26" s="23">
        <v>86.53</v>
      </c>
      <c r="E26" s="23">
        <v>85.03</v>
      </c>
      <c r="F26" s="23">
        <v>86.32</v>
      </c>
      <c r="G26" s="2">
        <f t="shared" si="0"/>
        <v>0.95004391743522176</v>
      </c>
      <c r="H26" s="2">
        <f t="shared" si="0"/>
        <v>0.93357487922705318</v>
      </c>
      <c r="I26" s="2">
        <f t="shared" si="0"/>
        <v>0.94773825208607809</v>
      </c>
      <c r="J26">
        <f t="shared" si="1"/>
        <v>1.9787111204889085</v>
      </c>
    </row>
    <row r="27" spans="2:10" ht="15" thickBot="1" x14ac:dyDescent="0.35">
      <c r="B27" s="12" t="s">
        <v>55</v>
      </c>
      <c r="C27" s="22">
        <v>43804</v>
      </c>
      <c r="D27" s="23">
        <v>85.48</v>
      </c>
      <c r="E27" s="23">
        <v>84.32</v>
      </c>
      <c r="F27" s="23">
        <v>84.45</v>
      </c>
      <c r="G27" s="2">
        <f t="shared" si="0"/>
        <v>0.93851559068950374</v>
      </c>
      <c r="H27" s="2">
        <f t="shared" si="0"/>
        <v>0.92577953447518657</v>
      </c>
      <c r="I27" s="2">
        <f t="shared" si="0"/>
        <v>0.92720685111989465</v>
      </c>
      <c r="J27">
        <f t="shared" si="1"/>
        <v>10.736544466288871</v>
      </c>
    </row>
    <row r="28" spans="2:10" ht="15" thickBot="1" x14ac:dyDescent="0.35">
      <c r="B28" s="12" t="s">
        <v>56</v>
      </c>
      <c r="C28" s="22">
        <v>43803</v>
      </c>
      <c r="D28" s="23">
        <v>85.54</v>
      </c>
      <c r="E28" s="23">
        <v>84.7</v>
      </c>
      <c r="F28" s="23">
        <v>85.4</v>
      </c>
      <c r="G28" s="2">
        <f t="shared" si="0"/>
        <v>0.93917435221783052</v>
      </c>
      <c r="H28" s="2">
        <f t="shared" si="0"/>
        <v>0.92995169082125606</v>
      </c>
      <c r="I28" s="2">
        <f t="shared" si="0"/>
        <v>0.93763724198506815</v>
      </c>
      <c r="J28">
        <f t="shared" si="1"/>
        <v>5.4133777932888636</v>
      </c>
    </row>
    <row r="29" spans="2:10" ht="15" thickBot="1" x14ac:dyDescent="0.35">
      <c r="B29" s="12" t="s">
        <v>57</v>
      </c>
      <c r="C29" s="22">
        <v>43802</v>
      </c>
      <c r="D29" s="23">
        <v>85</v>
      </c>
      <c r="E29" s="23">
        <v>83.82</v>
      </c>
      <c r="F29" s="23">
        <v>84.82</v>
      </c>
      <c r="G29" s="2">
        <f t="shared" si="0"/>
        <v>0.93324549846288973</v>
      </c>
      <c r="H29" s="2">
        <f t="shared" si="0"/>
        <v>0.92028985507246375</v>
      </c>
      <c r="I29" s="2">
        <f t="shared" si="0"/>
        <v>0.93126921387790951</v>
      </c>
      <c r="J29">
        <f t="shared" si="1"/>
        <v>8.4487111304889293</v>
      </c>
    </row>
    <row r="30" spans="2:10" ht="15" thickBot="1" x14ac:dyDescent="0.35">
      <c r="B30" s="12" t="s">
        <v>58</v>
      </c>
      <c r="C30" s="22">
        <v>43801</v>
      </c>
      <c r="D30" s="23">
        <v>85.77</v>
      </c>
      <c r="E30" s="23">
        <v>83.82</v>
      </c>
      <c r="F30" s="23">
        <v>84.57</v>
      </c>
      <c r="G30" s="2">
        <f t="shared" si="0"/>
        <v>0.94169960474308301</v>
      </c>
      <c r="H30" s="2">
        <f t="shared" si="0"/>
        <v>0.92028985507246375</v>
      </c>
      <c r="I30" s="2">
        <f t="shared" si="0"/>
        <v>0.92852437417654798</v>
      </c>
      <c r="J30">
        <f t="shared" si="1"/>
        <v>9.9645444654889328</v>
      </c>
    </row>
    <row r="31" spans="2:10" x14ac:dyDescent="0.3">
      <c r="B31" s="12" t="s">
        <v>59</v>
      </c>
      <c r="C31" s="22">
        <v>43798</v>
      </c>
      <c r="D31" s="23">
        <v>86.73</v>
      </c>
      <c r="E31" s="23">
        <v>85.25</v>
      </c>
      <c r="F31" s="23">
        <v>85.43</v>
      </c>
      <c r="G31" s="2">
        <f t="shared" si="0"/>
        <v>0.95223978919631103</v>
      </c>
      <c r="H31" s="2">
        <f t="shared" si="0"/>
        <v>0.93599033816425126</v>
      </c>
      <c r="I31" s="2">
        <f t="shared" si="0"/>
        <v>0.93796662274923148</v>
      </c>
      <c r="J31">
        <f t="shared" si="1"/>
        <v>5.2746777930888582</v>
      </c>
    </row>
    <row r="32" spans="2:10" x14ac:dyDescent="0.3">
      <c r="B32" s="35" t="s">
        <v>74</v>
      </c>
      <c r="C32" s="11" t="s">
        <v>71</v>
      </c>
      <c r="D32" s="17">
        <f>F2</f>
        <v>91.08</v>
      </c>
      <c r="E32" s="32" t="s">
        <v>69</v>
      </c>
      <c r="F32" s="32">
        <f>SUM(F2:F31)/30</f>
        <v>87.726666666666688</v>
      </c>
      <c r="J32">
        <f>SUM(J2:J31)/30</f>
        <v>2.778535555555552</v>
      </c>
    </row>
    <row r="33" spans="3:10" x14ac:dyDescent="0.3">
      <c r="C33" s="11" t="s">
        <v>72</v>
      </c>
      <c r="D33" s="17">
        <f>F27</f>
        <v>84.45</v>
      </c>
      <c r="E33" s="32" t="s">
        <v>70</v>
      </c>
      <c r="F33" s="32">
        <f>(F6+F11)/2</f>
        <v>87.65</v>
      </c>
      <c r="I33" s="32" t="s">
        <v>67</v>
      </c>
      <c r="J33" s="32">
        <f>(J32)^1/2</f>
        <v>1.389267777777776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638C-53C6-472E-80AF-AD95D19079DE}">
  <dimension ref="A1:F202"/>
  <sheetViews>
    <sheetView zoomScale="30" zoomScaleNormal="40" workbookViewId="0">
      <selection activeCell="AE74" sqref="AE74"/>
    </sheetView>
  </sheetViews>
  <sheetFormatPr defaultRowHeight="14.4" x14ac:dyDescent="0.3"/>
  <cols>
    <col min="1" max="1" width="10.44140625" customWidth="1"/>
    <col min="2" max="2" width="10.77734375" customWidth="1"/>
    <col min="3" max="3" width="13.77734375" customWidth="1"/>
    <col min="4" max="4" width="12.88671875" customWidth="1"/>
    <col min="5" max="5" width="13.44140625" customWidth="1"/>
    <col min="6" max="6" width="15.88671875" customWidth="1"/>
  </cols>
  <sheetData>
    <row r="1" spans="1:6" x14ac:dyDescent="0.3">
      <c r="A1" t="s">
        <v>77</v>
      </c>
      <c r="B1" t="s">
        <v>79</v>
      </c>
      <c r="C1" t="s">
        <v>78</v>
      </c>
      <c r="D1" t="s">
        <v>77</v>
      </c>
      <c r="E1" t="s">
        <v>76</v>
      </c>
      <c r="F1" t="s">
        <v>75</v>
      </c>
    </row>
    <row r="2" spans="1:6" x14ac:dyDescent="0.3">
      <c r="A2" s="36">
        <v>0</v>
      </c>
      <c r="B2" s="36">
        <v>70.204572511977901</v>
      </c>
      <c r="C2" s="36">
        <v>0</v>
      </c>
      <c r="D2" s="36">
        <v>0</v>
      </c>
      <c r="E2" s="36">
        <v>21.0899999999999</v>
      </c>
      <c r="F2" s="36">
        <v>19.71</v>
      </c>
    </row>
    <row r="3" spans="1:6" x14ac:dyDescent="0.3">
      <c r="A3" s="36">
        <v>3.0025656223297101</v>
      </c>
      <c r="B3" s="36">
        <v>70.204572511977901</v>
      </c>
      <c r="C3" s="36">
        <v>0</v>
      </c>
      <c r="D3" s="36">
        <v>3.0025656223297101</v>
      </c>
      <c r="E3" s="36">
        <v>21.059999999999899</v>
      </c>
      <c r="F3" s="36">
        <v>19.739999999999899</v>
      </c>
    </row>
    <row r="4" spans="1:6" x14ac:dyDescent="0.3">
      <c r="A4" s="36">
        <v>6.0510282516479403</v>
      </c>
      <c r="B4" s="36">
        <v>70.204572511977901</v>
      </c>
      <c r="C4" s="36">
        <v>0</v>
      </c>
      <c r="D4" s="36">
        <v>6.0510282516479403</v>
      </c>
      <c r="E4" s="36">
        <v>21</v>
      </c>
      <c r="F4" s="36">
        <v>19.739999999999899</v>
      </c>
    </row>
    <row r="5" spans="1:6" x14ac:dyDescent="0.3">
      <c r="A5" s="36">
        <v>9.0531990528106601</v>
      </c>
      <c r="B5" s="36">
        <v>70.204572511977901</v>
      </c>
      <c r="C5" s="36">
        <v>0</v>
      </c>
      <c r="D5" s="36">
        <v>9.0531990528106601</v>
      </c>
      <c r="E5" s="36">
        <v>21.16</v>
      </c>
      <c r="F5" s="36">
        <v>19.739999999999899</v>
      </c>
    </row>
    <row r="6" spans="1:6" x14ac:dyDescent="0.3">
      <c r="A6" s="36">
        <v>12.0525786876678</v>
      </c>
      <c r="B6" s="36">
        <v>70.204572511977901</v>
      </c>
      <c r="C6" s="36">
        <v>0</v>
      </c>
      <c r="D6" s="36">
        <v>12.0525786876678</v>
      </c>
      <c r="E6" s="36">
        <v>21.19</v>
      </c>
      <c r="F6" s="36">
        <v>19.739999999999899</v>
      </c>
    </row>
    <row r="7" spans="1:6" x14ac:dyDescent="0.3">
      <c r="A7" s="36">
        <v>15.0674862861633</v>
      </c>
      <c r="B7" s="36">
        <v>70.204572511977901</v>
      </c>
      <c r="C7" s="36">
        <v>0</v>
      </c>
      <c r="D7" s="36">
        <v>15.0674862861633</v>
      </c>
      <c r="E7" s="36">
        <v>21.579999999999899</v>
      </c>
      <c r="F7" s="36">
        <v>19.739999999999899</v>
      </c>
    </row>
    <row r="8" spans="1:6" x14ac:dyDescent="0.3">
      <c r="A8" s="36">
        <v>18.069339990615799</v>
      </c>
      <c r="B8" s="36">
        <v>70.204572511977901</v>
      </c>
      <c r="C8" s="36">
        <v>0</v>
      </c>
      <c r="D8" s="36">
        <v>18.069339990615799</v>
      </c>
      <c r="E8" s="36">
        <v>21.87</v>
      </c>
      <c r="F8" s="36">
        <v>19.739999999999899</v>
      </c>
    </row>
    <row r="9" spans="1:6" x14ac:dyDescent="0.3">
      <c r="A9" s="36">
        <v>21.069981098174999</v>
      </c>
      <c r="B9" s="36">
        <v>70.204572511977901</v>
      </c>
      <c r="C9" s="36">
        <v>0</v>
      </c>
      <c r="D9" s="36">
        <v>21.069981098174999</v>
      </c>
      <c r="E9" s="36">
        <v>22.35</v>
      </c>
      <c r="F9" s="36">
        <v>19.739999999999899</v>
      </c>
    </row>
    <row r="10" spans="1:6" x14ac:dyDescent="0.3">
      <c r="A10" s="36">
        <v>24.0718638896942</v>
      </c>
      <c r="B10" s="36">
        <v>70.204572511977901</v>
      </c>
      <c r="C10" s="36">
        <v>0</v>
      </c>
      <c r="D10" s="36">
        <v>24.0718638896942</v>
      </c>
      <c r="E10" s="36">
        <v>22.8</v>
      </c>
      <c r="F10" s="36">
        <v>19.739999999999899</v>
      </c>
    </row>
    <row r="11" spans="1:6" x14ac:dyDescent="0.3">
      <c r="A11" s="36">
        <v>27.071097373962399</v>
      </c>
      <c r="B11" s="36">
        <v>70.204572511977901</v>
      </c>
      <c r="C11" s="36">
        <v>0</v>
      </c>
      <c r="D11" s="36">
        <v>27.071097373962399</v>
      </c>
      <c r="E11" s="36">
        <v>23.35</v>
      </c>
      <c r="F11" s="36">
        <v>19.829999999999899</v>
      </c>
    </row>
    <row r="12" spans="1:6" x14ac:dyDescent="0.3">
      <c r="A12" s="36">
        <v>30.0715010166168</v>
      </c>
      <c r="B12" s="36">
        <v>70.204572511977901</v>
      </c>
      <c r="C12" s="36">
        <v>0</v>
      </c>
      <c r="D12" s="36">
        <v>30.0715010166168</v>
      </c>
      <c r="E12" s="36">
        <v>23.8599999999999</v>
      </c>
      <c r="F12" s="36">
        <v>19.739999999999899</v>
      </c>
    </row>
    <row r="13" spans="1:6" x14ac:dyDescent="0.3">
      <c r="A13" s="36">
        <v>33.089006423950103</v>
      </c>
      <c r="B13" s="36">
        <v>70.204572511977901</v>
      </c>
      <c r="C13" s="36">
        <v>0</v>
      </c>
      <c r="D13" s="36">
        <v>33.089006423950103</v>
      </c>
      <c r="E13" s="36">
        <v>24.51</v>
      </c>
      <c r="F13" s="36">
        <v>19.7699999999999</v>
      </c>
    </row>
    <row r="14" spans="1:6" x14ac:dyDescent="0.3">
      <c r="A14" s="36">
        <v>36.090946674346903</v>
      </c>
      <c r="B14" s="36">
        <v>70.204572511977901</v>
      </c>
      <c r="C14" s="36">
        <v>0</v>
      </c>
      <c r="D14" s="36">
        <v>36.090946674346903</v>
      </c>
      <c r="E14" s="36">
        <v>25.059999999999899</v>
      </c>
      <c r="F14" s="36">
        <v>19.64</v>
      </c>
    </row>
    <row r="15" spans="1:6" x14ac:dyDescent="0.3">
      <c r="A15" s="36">
        <v>39.092747211456199</v>
      </c>
      <c r="B15" s="36">
        <v>70.204572511977901</v>
      </c>
      <c r="C15" s="36">
        <v>0</v>
      </c>
      <c r="D15" s="36">
        <v>39.092747211456199</v>
      </c>
      <c r="E15" s="36">
        <v>25.6999999999999</v>
      </c>
      <c r="F15" s="36">
        <v>19.87</v>
      </c>
    </row>
    <row r="16" spans="1:6" x14ac:dyDescent="0.3">
      <c r="A16" s="36">
        <v>42.094630956649702</v>
      </c>
      <c r="B16" s="36">
        <v>70.204572511977901</v>
      </c>
      <c r="C16" s="36">
        <v>0</v>
      </c>
      <c r="D16" s="36">
        <v>42.094630956649702</v>
      </c>
      <c r="E16" s="36">
        <v>26.12</v>
      </c>
      <c r="F16" s="36">
        <v>19.87</v>
      </c>
    </row>
    <row r="17" spans="1:6" x14ac:dyDescent="0.3">
      <c r="A17" s="36">
        <v>45.097267627716001</v>
      </c>
      <c r="B17" s="36">
        <v>70.204572511977901</v>
      </c>
      <c r="C17" s="36">
        <v>0</v>
      </c>
      <c r="D17" s="36">
        <v>45.097267627716001</v>
      </c>
      <c r="E17" s="36">
        <v>26.829999999999899</v>
      </c>
      <c r="F17" s="36">
        <v>19.899999999999899</v>
      </c>
    </row>
    <row r="18" spans="1:6" x14ac:dyDescent="0.3">
      <c r="A18" s="36">
        <v>48.099141836166297</v>
      </c>
      <c r="B18" s="36">
        <v>70.204572511977901</v>
      </c>
      <c r="C18" s="36">
        <v>0</v>
      </c>
      <c r="D18" s="36">
        <v>48.099141836166297</v>
      </c>
      <c r="E18" s="36">
        <v>27.3399999999999</v>
      </c>
      <c r="F18" s="36">
        <v>19.96</v>
      </c>
    </row>
    <row r="19" spans="1:6" x14ac:dyDescent="0.3">
      <c r="A19" s="36">
        <v>51.099032640457096</v>
      </c>
      <c r="B19" s="36">
        <v>70.204572511977901</v>
      </c>
      <c r="C19" s="36">
        <v>0</v>
      </c>
      <c r="D19" s="36">
        <v>51.099032640457096</v>
      </c>
      <c r="E19" s="36">
        <v>27.89</v>
      </c>
      <c r="F19" s="36">
        <v>20</v>
      </c>
    </row>
    <row r="20" spans="1:6" x14ac:dyDescent="0.3">
      <c r="A20" s="36">
        <v>54.101989269256499</v>
      </c>
      <c r="B20" s="36">
        <v>70.204572511977901</v>
      </c>
      <c r="C20" s="36">
        <v>0</v>
      </c>
      <c r="D20" s="36">
        <v>54.101989269256499</v>
      </c>
      <c r="E20" s="36">
        <v>28.5</v>
      </c>
      <c r="F20" s="36">
        <v>20.03</v>
      </c>
    </row>
    <row r="21" spans="1:6" x14ac:dyDescent="0.3">
      <c r="A21" s="36">
        <v>57.101338148117001</v>
      </c>
      <c r="B21" s="36">
        <v>70.204572511977901</v>
      </c>
      <c r="C21" s="36">
        <v>0</v>
      </c>
      <c r="D21" s="36">
        <v>57.101338148117001</v>
      </c>
      <c r="E21" s="36">
        <v>29.05</v>
      </c>
      <c r="F21" s="36">
        <v>20.059999999999899</v>
      </c>
    </row>
    <row r="22" spans="1:6" x14ac:dyDescent="0.3">
      <c r="A22" s="36">
        <v>60.101649284362701</v>
      </c>
      <c r="B22" s="36">
        <v>96.827184630018195</v>
      </c>
      <c r="C22" s="36">
        <v>0</v>
      </c>
      <c r="D22" s="36">
        <v>60.101649284362701</v>
      </c>
      <c r="E22" s="36">
        <v>29.6</v>
      </c>
      <c r="F22" s="36">
        <v>20.219999999999899</v>
      </c>
    </row>
    <row r="23" spans="1:6" x14ac:dyDescent="0.3">
      <c r="A23" s="36">
        <v>63.103514909744199</v>
      </c>
      <c r="B23" s="36">
        <v>96.827184630018195</v>
      </c>
      <c r="C23" s="36">
        <v>0</v>
      </c>
      <c r="D23" s="36">
        <v>63.103514909744199</v>
      </c>
      <c r="E23" s="36">
        <v>30.239999999999899</v>
      </c>
      <c r="F23" s="36">
        <v>20</v>
      </c>
    </row>
    <row r="24" spans="1:6" x14ac:dyDescent="0.3">
      <c r="A24" s="36">
        <v>66.105389356613102</v>
      </c>
      <c r="B24" s="36">
        <v>96.827184630018195</v>
      </c>
      <c r="C24" s="36">
        <v>0</v>
      </c>
      <c r="D24" s="36">
        <v>66.105389356613102</v>
      </c>
      <c r="E24" s="36">
        <v>30.89</v>
      </c>
      <c r="F24" s="36">
        <v>20.12</v>
      </c>
    </row>
    <row r="25" spans="1:6" x14ac:dyDescent="0.3">
      <c r="A25" s="36">
        <v>69.107260704040499</v>
      </c>
      <c r="B25" s="36">
        <v>96.827184630018195</v>
      </c>
      <c r="C25" s="36">
        <v>0</v>
      </c>
      <c r="D25" s="36">
        <v>69.107260704040499</v>
      </c>
      <c r="E25" s="36">
        <v>31.44</v>
      </c>
      <c r="F25" s="36">
        <v>20.350000000000001</v>
      </c>
    </row>
    <row r="26" spans="1:6" x14ac:dyDescent="0.3">
      <c r="A26" s="36">
        <v>72.109147787094102</v>
      </c>
      <c r="B26" s="36">
        <v>96.827184630018195</v>
      </c>
      <c r="C26" s="36">
        <v>0</v>
      </c>
      <c r="D26" s="36">
        <v>72.109147787094102</v>
      </c>
      <c r="E26" s="36">
        <v>31.98</v>
      </c>
      <c r="F26" s="36">
        <v>20.25</v>
      </c>
    </row>
    <row r="27" spans="1:6" x14ac:dyDescent="0.3">
      <c r="A27" s="36">
        <v>75.111088275909395</v>
      </c>
      <c r="B27" s="36">
        <v>96.827184630018195</v>
      </c>
      <c r="C27" s="36">
        <v>0</v>
      </c>
      <c r="D27" s="36">
        <v>75.111088275909395</v>
      </c>
      <c r="E27" s="36">
        <v>32.759999999999899</v>
      </c>
      <c r="F27" s="36">
        <v>20.32</v>
      </c>
    </row>
    <row r="28" spans="1:6" x14ac:dyDescent="0.3">
      <c r="A28" s="36">
        <v>78.112888336181598</v>
      </c>
      <c r="B28" s="36">
        <v>96.827184630018195</v>
      </c>
      <c r="C28" s="36">
        <v>0</v>
      </c>
      <c r="D28" s="36">
        <v>78.112888336181598</v>
      </c>
      <c r="E28" s="36">
        <v>33.340000000000003</v>
      </c>
      <c r="F28" s="36">
        <v>20.420000000000002</v>
      </c>
    </row>
    <row r="29" spans="1:6" x14ac:dyDescent="0.3">
      <c r="A29" s="36">
        <v>81.114762783050494</v>
      </c>
      <c r="B29" s="36">
        <v>96.827184630018195</v>
      </c>
      <c r="C29" s="36">
        <v>0</v>
      </c>
      <c r="D29" s="36">
        <v>81.114762783050494</v>
      </c>
      <c r="E29" s="36">
        <v>34.1099999999999</v>
      </c>
      <c r="F29" s="36">
        <v>20.51</v>
      </c>
    </row>
    <row r="30" spans="1:6" x14ac:dyDescent="0.3">
      <c r="A30" s="36">
        <v>84.116634368896399</v>
      </c>
      <c r="B30" s="36">
        <v>96.827184630018195</v>
      </c>
      <c r="C30" s="36">
        <v>0</v>
      </c>
      <c r="D30" s="36">
        <v>84.116634368896399</v>
      </c>
      <c r="E30" s="36">
        <v>34.85</v>
      </c>
      <c r="F30" s="36">
        <v>20.67</v>
      </c>
    </row>
    <row r="31" spans="1:6" x14ac:dyDescent="0.3">
      <c r="A31" s="36">
        <v>87.116501569747896</v>
      </c>
      <c r="B31" s="36">
        <v>96.827184630018195</v>
      </c>
      <c r="C31" s="36">
        <v>0</v>
      </c>
      <c r="D31" s="36">
        <v>87.116501569747896</v>
      </c>
      <c r="E31" s="36">
        <v>35.53</v>
      </c>
      <c r="F31" s="36">
        <v>20.71</v>
      </c>
    </row>
    <row r="32" spans="1:6" x14ac:dyDescent="0.3">
      <c r="A32" s="36">
        <v>90.116719484329195</v>
      </c>
      <c r="B32" s="36">
        <v>96.827184630018195</v>
      </c>
      <c r="C32" s="36">
        <v>0</v>
      </c>
      <c r="D32" s="36">
        <v>90.116719484329195</v>
      </c>
      <c r="E32" s="36">
        <v>36.24</v>
      </c>
      <c r="F32" s="36">
        <v>20.739999999999899</v>
      </c>
    </row>
    <row r="33" spans="1:6" x14ac:dyDescent="0.3">
      <c r="A33" s="36">
        <v>93.118587255477905</v>
      </c>
      <c r="B33" s="36">
        <v>96.827184630018195</v>
      </c>
      <c r="C33" s="36">
        <v>0</v>
      </c>
      <c r="D33" s="36">
        <v>93.118587255477905</v>
      </c>
      <c r="E33" s="36">
        <v>36.92</v>
      </c>
      <c r="F33" s="36">
        <v>20.7699999999999</v>
      </c>
    </row>
    <row r="34" spans="1:6" x14ac:dyDescent="0.3">
      <c r="A34" s="36">
        <v>96.118192911148</v>
      </c>
      <c r="B34" s="36">
        <v>96.827184630018195</v>
      </c>
      <c r="C34" s="36">
        <v>0</v>
      </c>
      <c r="D34" s="36">
        <v>96.118192911148</v>
      </c>
      <c r="E34" s="36">
        <v>37.619999999999898</v>
      </c>
      <c r="F34" s="36">
        <v>20.96</v>
      </c>
    </row>
    <row r="35" spans="1:6" x14ac:dyDescent="0.3">
      <c r="A35" s="36">
        <v>99.1200749874114</v>
      </c>
      <c r="B35" s="36">
        <v>96.827184630018195</v>
      </c>
      <c r="C35" s="36">
        <v>0</v>
      </c>
      <c r="D35" s="36">
        <v>99.1200749874114</v>
      </c>
      <c r="E35" s="36">
        <v>38.24</v>
      </c>
      <c r="F35" s="36">
        <v>20.899999999999899</v>
      </c>
    </row>
    <row r="36" spans="1:6" x14ac:dyDescent="0.3">
      <c r="A36" s="36">
        <v>102.12194657325701</v>
      </c>
      <c r="B36" s="36">
        <v>96.827184630018195</v>
      </c>
      <c r="C36" s="36">
        <v>0</v>
      </c>
      <c r="D36" s="36">
        <v>102.12194657325701</v>
      </c>
      <c r="E36" s="36">
        <v>39.0399999999999</v>
      </c>
      <c r="F36" s="36">
        <v>21.03</v>
      </c>
    </row>
    <row r="37" spans="1:6" x14ac:dyDescent="0.3">
      <c r="A37" s="36">
        <v>105.12383842468201</v>
      </c>
      <c r="B37" s="36">
        <v>96.827184630018195</v>
      </c>
      <c r="C37" s="36">
        <v>0</v>
      </c>
      <c r="D37" s="36">
        <v>105.12383842468201</v>
      </c>
      <c r="E37" s="36">
        <v>39.649999999999899</v>
      </c>
      <c r="F37" s="36">
        <v>21.25</v>
      </c>
    </row>
    <row r="38" spans="1:6" x14ac:dyDescent="0.3">
      <c r="A38" s="36">
        <v>108.12585330009399</v>
      </c>
      <c r="B38" s="36">
        <v>96.827184630018195</v>
      </c>
      <c r="C38" s="36">
        <v>0</v>
      </c>
      <c r="D38" s="36">
        <v>108.12585330009399</v>
      </c>
      <c r="E38" s="36">
        <v>40.270000000000003</v>
      </c>
      <c r="F38" s="36">
        <v>21.2899999999999</v>
      </c>
    </row>
    <row r="39" spans="1:6" x14ac:dyDescent="0.3">
      <c r="A39" s="36">
        <v>111.127596378326</v>
      </c>
      <c r="B39" s="36">
        <v>96.827184630018195</v>
      </c>
      <c r="C39" s="36">
        <v>0</v>
      </c>
      <c r="D39" s="36">
        <v>111.127596378326</v>
      </c>
      <c r="E39" s="36">
        <v>40.880000000000003</v>
      </c>
      <c r="F39" s="36">
        <v>21.3799999999999</v>
      </c>
    </row>
    <row r="40" spans="1:6" x14ac:dyDescent="0.3">
      <c r="A40" s="36">
        <v>114.12947630882201</v>
      </c>
      <c r="B40" s="36">
        <v>96.827184630018195</v>
      </c>
      <c r="C40" s="36">
        <v>0</v>
      </c>
      <c r="D40" s="36">
        <v>114.12947630882201</v>
      </c>
      <c r="E40" s="36">
        <v>41.59</v>
      </c>
      <c r="F40" s="36">
        <v>21.51</v>
      </c>
    </row>
    <row r="41" spans="1:6" x14ac:dyDescent="0.3">
      <c r="A41" s="36">
        <v>117.131344556808</v>
      </c>
      <c r="B41" s="36">
        <v>96.827184630018195</v>
      </c>
      <c r="C41" s="36">
        <v>0</v>
      </c>
      <c r="D41" s="36">
        <v>117.131344556808</v>
      </c>
      <c r="E41" s="36">
        <v>42.17</v>
      </c>
      <c r="F41" s="36">
        <v>21.5399999999999</v>
      </c>
    </row>
    <row r="42" spans="1:6" x14ac:dyDescent="0.3">
      <c r="A42" s="36">
        <v>120.130110502243</v>
      </c>
      <c r="B42" s="36">
        <v>41.207470125498801</v>
      </c>
      <c r="C42" s="36">
        <v>0</v>
      </c>
      <c r="D42" s="36">
        <v>120.130110502243</v>
      </c>
      <c r="E42" s="36">
        <v>42.81</v>
      </c>
      <c r="F42" s="36">
        <v>21.64</v>
      </c>
    </row>
    <row r="43" spans="1:6" x14ac:dyDescent="0.3">
      <c r="A43" s="36">
        <v>123.131986379623</v>
      </c>
      <c r="B43" s="36">
        <v>41.207470125498801</v>
      </c>
      <c r="C43" s="36">
        <v>0</v>
      </c>
      <c r="D43" s="36">
        <v>123.131986379623</v>
      </c>
      <c r="E43" s="36">
        <v>43.42</v>
      </c>
      <c r="F43" s="36">
        <v>21.8</v>
      </c>
    </row>
    <row r="44" spans="1:6" x14ac:dyDescent="0.3">
      <c r="A44" s="36">
        <v>126.131590366363</v>
      </c>
      <c r="B44" s="36">
        <v>41.207470125498801</v>
      </c>
      <c r="C44" s="36">
        <v>0</v>
      </c>
      <c r="D44" s="36">
        <v>126.131590366363</v>
      </c>
      <c r="E44" s="36">
        <v>44.0399999999999</v>
      </c>
      <c r="F44" s="36">
        <v>21.899999999999899</v>
      </c>
    </row>
    <row r="45" spans="1:6" x14ac:dyDescent="0.3">
      <c r="A45" s="36">
        <v>129.13347506523101</v>
      </c>
      <c r="B45" s="36">
        <v>41.207470125498801</v>
      </c>
      <c r="C45" s="36">
        <v>0</v>
      </c>
      <c r="D45" s="36">
        <v>129.13347506523101</v>
      </c>
      <c r="E45" s="36">
        <v>44.42</v>
      </c>
      <c r="F45" s="36">
        <v>21.989999999999899</v>
      </c>
    </row>
    <row r="46" spans="1:6" x14ac:dyDescent="0.3">
      <c r="A46" s="36">
        <v>132.133210897445</v>
      </c>
      <c r="B46" s="36">
        <v>41.207470125498801</v>
      </c>
      <c r="C46" s="36">
        <v>0</v>
      </c>
      <c r="D46" s="36">
        <v>132.133210897445</v>
      </c>
      <c r="E46" s="36">
        <v>44.88</v>
      </c>
      <c r="F46" s="36">
        <v>22.059999999999899</v>
      </c>
    </row>
    <row r="47" spans="1:6" x14ac:dyDescent="0.3">
      <c r="A47" s="36">
        <v>135.13343524932799</v>
      </c>
      <c r="B47" s="36">
        <v>41.207470125498801</v>
      </c>
      <c r="C47" s="36">
        <v>0</v>
      </c>
      <c r="D47" s="36">
        <v>135.13343524932799</v>
      </c>
      <c r="E47" s="36">
        <v>45.1</v>
      </c>
      <c r="F47" s="36">
        <v>22.25</v>
      </c>
    </row>
    <row r="48" spans="1:6" x14ac:dyDescent="0.3">
      <c r="A48" s="36">
        <v>138.13501548766999</v>
      </c>
      <c r="B48" s="36">
        <v>41.207470125498801</v>
      </c>
      <c r="C48" s="36">
        <v>0</v>
      </c>
      <c r="D48" s="36">
        <v>138.13501548766999</v>
      </c>
      <c r="E48" s="36">
        <v>45.329999999999899</v>
      </c>
      <c r="F48" s="36">
        <v>22.3799999999999</v>
      </c>
    </row>
    <row r="49" spans="1:6" x14ac:dyDescent="0.3">
      <c r="A49" s="36">
        <v>141.137184858322</v>
      </c>
      <c r="B49" s="36">
        <v>41.207470125498801</v>
      </c>
      <c r="C49" s="36">
        <v>0</v>
      </c>
      <c r="D49" s="36">
        <v>141.137184858322</v>
      </c>
      <c r="E49" s="36">
        <v>45.49</v>
      </c>
      <c r="F49" s="36">
        <v>22.4499999999999</v>
      </c>
    </row>
    <row r="50" spans="1:6" x14ac:dyDescent="0.3">
      <c r="A50" s="36">
        <v>144.13904762268001</v>
      </c>
      <c r="B50" s="36">
        <v>41.207470125498801</v>
      </c>
      <c r="C50" s="36">
        <v>0</v>
      </c>
      <c r="D50" s="36">
        <v>144.13904762268001</v>
      </c>
      <c r="E50" s="36">
        <v>45.579999999999899</v>
      </c>
      <c r="F50" s="36">
        <v>22.5399999999999</v>
      </c>
    </row>
    <row r="51" spans="1:6" x14ac:dyDescent="0.3">
      <c r="A51" s="36">
        <v>147.14092969894401</v>
      </c>
      <c r="B51" s="36">
        <v>41.207470125498801</v>
      </c>
      <c r="C51" s="36">
        <v>0</v>
      </c>
      <c r="D51" s="36">
        <v>147.14092969894401</v>
      </c>
      <c r="E51" s="36">
        <v>45.75</v>
      </c>
      <c r="F51" s="36">
        <v>22.7699999999999</v>
      </c>
    </row>
    <row r="52" spans="1:6" x14ac:dyDescent="0.3">
      <c r="A52" s="36">
        <v>150.14389061927699</v>
      </c>
      <c r="B52" s="36">
        <v>41.207470125498801</v>
      </c>
      <c r="C52" s="36">
        <v>75.750123756706103</v>
      </c>
      <c r="D52" s="36">
        <v>150.14389061927699</v>
      </c>
      <c r="E52" s="36">
        <v>45.81</v>
      </c>
      <c r="F52" s="36">
        <v>22.739999999999899</v>
      </c>
    </row>
    <row r="53" spans="1:6" x14ac:dyDescent="0.3">
      <c r="A53" s="36">
        <v>153.145758867263</v>
      </c>
      <c r="B53" s="36">
        <v>41.207470125498801</v>
      </c>
      <c r="C53" s="36">
        <v>75.750123756706103</v>
      </c>
      <c r="D53" s="36">
        <v>153.145758867263</v>
      </c>
      <c r="E53" s="36">
        <v>45.969999999999899</v>
      </c>
      <c r="F53" s="36">
        <v>23.12</v>
      </c>
    </row>
    <row r="54" spans="1:6" x14ac:dyDescent="0.3">
      <c r="A54" s="36">
        <v>156.14871191978401</v>
      </c>
      <c r="B54" s="36">
        <v>41.207470125498801</v>
      </c>
      <c r="C54" s="36">
        <v>75.750123756706103</v>
      </c>
      <c r="D54" s="36">
        <v>156.14871191978401</v>
      </c>
      <c r="E54" s="36">
        <v>45.909999999999897</v>
      </c>
      <c r="F54" s="36">
        <v>23.3799999999999</v>
      </c>
    </row>
    <row r="55" spans="1:6" x14ac:dyDescent="0.3">
      <c r="A55" s="36">
        <v>159.15059447288499</v>
      </c>
      <c r="B55" s="36">
        <v>41.207470125498801</v>
      </c>
      <c r="C55" s="36">
        <v>75.750123756706103</v>
      </c>
      <c r="D55" s="36">
        <v>159.15059447288499</v>
      </c>
      <c r="E55" s="36">
        <v>45.939999999999898</v>
      </c>
      <c r="F55" s="36">
        <v>23.48</v>
      </c>
    </row>
    <row r="56" spans="1:6" x14ac:dyDescent="0.3">
      <c r="A56" s="36">
        <v>162.149728298187</v>
      </c>
      <c r="B56" s="36">
        <v>41.207470125498801</v>
      </c>
      <c r="C56" s="36">
        <v>75.750123756706103</v>
      </c>
      <c r="D56" s="36">
        <v>162.149728298187</v>
      </c>
      <c r="E56" s="36">
        <v>46.0399999999999</v>
      </c>
      <c r="F56" s="36">
        <v>23.73</v>
      </c>
    </row>
    <row r="57" spans="1:6" x14ac:dyDescent="0.3">
      <c r="A57" s="36">
        <v>165.15180158615101</v>
      </c>
      <c r="B57" s="36">
        <v>41.207470125498801</v>
      </c>
      <c r="C57" s="36">
        <v>75.750123756706103</v>
      </c>
      <c r="D57" s="36">
        <v>165.15180158615101</v>
      </c>
      <c r="E57" s="36">
        <v>45.969999999999899</v>
      </c>
      <c r="F57" s="36">
        <v>23.8599999999999</v>
      </c>
    </row>
    <row r="58" spans="1:6" x14ac:dyDescent="0.3">
      <c r="A58" s="36">
        <v>168.15348505973799</v>
      </c>
      <c r="B58" s="36">
        <v>41.207470125498801</v>
      </c>
      <c r="C58" s="36">
        <v>75.750123756706103</v>
      </c>
      <c r="D58" s="36">
        <v>168.15348505973799</v>
      </c>
      <c r="E58" s="36">
        <v>45.969999999999899</v>
      </c>
      <c r="F58" s="36">
        <v>24.35</v>
      </c>
    </row>
    <row r="59" spans="1:6" x14ac:dyDescent="0.3">
      <c r="A59" s="36">
        <v>171.15536141395501</v>
      </c>
      <c r="B59" s="36">
        <v>41.207470125498801</v>
      </c>
      <c r="C59" s="36">
        <v>75.750123756706103</v>
      </c>
      <c r="D59" s="36">
        <v>171.15536141395501</v>
      </c>
      <c r="E59" s="36">
        <v>45.939999999999898</v>
      </c>
      <c r="F59" s="36">
        <v>24.6</v>
      </c>
    </row>
    <row r="60" spans="1:6" x14ac:dyDescent="0.3">
      <c r="A60" s="36">
        <v>174.15657782554601</v>
      </c>
      <c r="B60" s="36">
        <v>41.207470125498801</v>
      </c>
      <c r="C60" s="36">
        <v>75.750123756706103</v>
      </c>
      <c r="D60" s="36">
        <v>174.15657782554601</v>
      </c>
      <c r="E60" s="36">
        <v>45.869999999999898</v>
      </c>
      <c r="F60" s="36">
        <v>24.67</v>
      </c>
    </row>
    <row r="61" spans="1:6" x14ac:dyDescent="0.3">
      <c r="A61" s="36">
        <v>177.15914368629399</v>
      </c>
      <c r="B61" s="36">
        <v>41.207470125498801</v>
      </c>
      <c r="C61" s="36">
        <v>75.750123756706103</v>
      </c>
      <c r="D61" s="36">
        <v>177.15914368629399</v>
      </c>
      <c r="E61" s="36">
        <v>45.909999999999897</v>
      </c>
      <c r="F61" s="36">
        <v>25.41</v>
      </c>
    </row>
    <row r="62" spans="1:6" x14ac:dyDescent="0.3">
      <c r="A62" s="36">
        <v>180.16100001335101</v>
      </c>
      <c r="B62" s="36">
        <v>92.045246557088703</v>
      </c>
      <c r="C62" s="36">
        <v>75.750123756706103</v>
      </c>
      <c r="D62" s="36">
        <v>180.16100001335101</v>
      </c>
      <c r="E62" s="36">
        <v>45.81</v>
      </c>
      <c r="F62" s="36">
        <v>25.64</v>
      </c>
    </row>
    <row r="63" spans="1:6" x14ac:dyDescent="0.3">
      <c r="A63" s="36">
        <v>183.162878036499</v>
      </c>
      <c r="B63" s="36">
        <v>92.045246557088703</v>
      </c>
      <c r="C63" s="36">
        <v>75.750123756706103</v>
      </c>
      <c r="D63" s="36">
        <v>183.162878036499</v>
      </c>
      <c r="E63" s="36">
        <v>45.75</v>
      </c>
      <c r="F63" s="36">
        <v>26.12</v>
      </c>
    </row>
    <row r="64" spans="1:6" x14ac:dyDescent="0.3">
      <c r="A64" s="36">
        <v>186.16420245170499</v>
      </c>
      <c r="B64" s="36">
        <v>92.045246557088703</v>
      </c>
      <c r="C64" s="36">
        <v>75.750123756706103</v>
      </c>
      <c r="D64" s="36">
        <v>186.16420245170499</v>
      </c>
      <c r="E64" s="36">
        <v>45.75</v>
      </c>
      <c r="F64" s="36">
        <v>26.3399999999999</v>
      </c>
    </row>
    <row r="65" spans="1:6" x14ac:dyDescent="0.3">
      <c r="A65" s="36">
        <v>189.16718006133999</v>
      </c>
      <c r="B65" s="36">
        <v>92.045246557088703</v>
      </c>
      <c r="C65" s="36">
        <v>75.750123756706103</v>
      </c>
      <c r="D65" s="36">
        <v>189.16718006133999</v>
      </c>
      <c r="E65" s="36">
        <v>45.869999999999898</v>
      </c>
      <c r="F65" s="36">
        <v>26.67</v>
      </c>
    </row>
    <row r="66" spans="1:6" x14ac:dyDescent="0.3">
      <c r="A66" s="36">
        <v>192.165872573852</v>
      </c>
      <c r="B66" s="36">
        <v>92.045246557088703</v>
      </c>
      <c r="C66" s="36">
        <v>75.750123756706103</v>
      </c>
      <c r="D66" s="36">
        <v>192.165872573852</v>
      </c>
      <c r="E66" s="36">
        <v>45.909999999999897</v>
      </c>
      <c r="F66" s="36">
        <v>26.92</v>
      </c>
    </row>
    <row r="67" spans="1:6" x14ac:dyDescent="0.3">
      <c r="A67" s="36">
        <v>195.167747497558</v>
      </c>
      <c r="B67" s="36">
        <v>92.045246557088703</v>
      </c>
      <c r="C67" s="36">
        <v>75.750123756706103</v>
      </c>
      <c r="D67" s="36">
        <v>195.167747497558</v>
      </c>
      <c r="E67" s="36">
        <v>46.13</v>
      </c>
      <c r="F67" s="36">
        <v>27.12</v>
      </c>
    </row>
    <row r="68" spans="1:6" x14ac:dyDescent="0.3">
      <c r="A68" s="36">
        <v>198.16961765289301</v>
      </c>
      <c r="B68" s="36">
        <v>92.045246557088703</v>
      </c>
      <c r="C68" s="36">
        <v>75.750123756706103</v>
      </c>
      <c r="D68" s="36">
        <v>198.16961765289301</v>
      </c>
      <c r="E68" s="36">
        <v>46.3599999999999</v>
      </c>
      <c r="F68" s="36">
        <v>27.6299999999999</v>
      </c>
    </row>
    <row r="69" spans="1:6" x14ac:dyDescent="0.3">
      <c r="A69" s="36">
        <v>201.17150282859799</v>
      </c>
      <c r="B69" s="36">
        <v>92.045246557088703</v>
      </c>
      <c r="C69" s="36">
        <v>75.750123756706103</v>
      </c>
      <c r="D69" s="36">
        <v>201.17150282859799</v>
      </c>
      <c r="E69" s="36">
        <v>46.52</v>
      </c>
      <c r="F69" s="36">
        <v>27.73</v>
      </c>
    </row>
    <row r="70" spans="1:6" x14ac:dyDescent="0.3">
      <c r="A70" s="36">
        <v>204.17337727546601</v>
      </c>
      <c r="B70" s="36">
        <v>92.045246557088703</v>
      </c>
      <c r="C70" s="36">
        <v>75.750123756706103</v>
      </c>
      <c r="D70" s="36">
        <v>204.17337727546601</v>
      </c>
      <c r="E70" s="36">
        <v>46.74</v>
      </c>
      <c r="F70" s="36">
        <v>28.0199999999999</v>
      </c>
    </row>
    <row r="71" spans="1:6" x14ac:dyDescent="0.3">
      <c r="A71" s="36">
        <v>207.175246715545</v>
      </c>
      <c r="B71" s="36">
        <v>92.045246557088703</v>
      </c>
      <c r="C71" s="36">
        <v>75.750123756706103</v>
      </c>
      <c r="D71" s="36">
        <v>207.175246715545</v>
      </c>
      <c r="E71" s="36">
        <v>47.13</v>
      </c>
      <c r="F71" s="36">
        <v>28.44</v>
      </c>
    </row>
    <row r="72" spans="1:6" x14ac:dyDescent="0.3">
      <c r="A72" s="36">
        <v>210.177137613296</v>
      </c>
      <c r="B72" s="36">
        <v>92.045246557088703</v>
      </c>
      <c r="C72" s="36">
        <v>48.840347575990101</v>
      </c>
      <c r="D72" s="36">
        <v>210.177137613296</v>
      </c>
      <c r="E72" s="36">
        <v>47.32</v>
      </c>
      <c r="F72" s="36">
        <v>28.6299999999999</v>
      </c>
    </row>
    <row r="73" spans="1:6" x14ac:dyDescent="0.3">
      <c r="A73" s="36">
        <v>213.179017305374</v>
      </c>
      <c r="B73" s="36">
        <v>92.045246557088703</v>
      </c>
      <c r="C73" s="36">
        <v>48.840347575990101</v>
      </c>
      <c r="D73" s="36">
        <v>213.179017305374</v>
      </c>
      <c r="E73" s="36">
        <v>47.6099999999999</v>
      </c>
      <c r="F73" s="36">
        <v>28.89</v>
      </c>
    </row>
    <row r="74" spans="1:6" x14ac:dyDescent="0.3">
      <c r="A74" s="36">
        <v>216.17917728424001</v>
      </c>
      <c r="B74" s="36">
        <v>92.045246557088703</v>
      </c>
      <c r="C74" s="36">
        <v>48.840347575990101</v>
      </c>
      <c r="D74" s="36">
        <v>216.17917728424001</v>
      </c>
      <c r="E74" s="36">
        <v>47.939999999999898</v>
      </c>
      <c r="F74" s="36">
        <v>29.25</v>
      </c>
    </row>
    <row r="75" spans="1:6" x14ac:dyDescent="0.3">
      <c r="A75" s="36">
        <v>219.18106031417801</v>
      </c>
      <c r="B75" s="36">
        <v>92.045246557088703</v>
      </c>
      <c r="C75" s="36">
        <v>48.840347575990101</v>
      </c>
      <c r="D75" s="36">
        <v>219.18106031417801</v>
      </c>
      <c r="E75" s="36">
        <v>48.189999999999898</v>
      </c>
      <c r="F75" s="36">
        <v>29.28</v>
      </c>
    </row>
    <row r="76" spans="1:6" x14ac:dyDescent="0.3">
      <c r="A76" s="36">
        <v>222.18062996864299</v>
      </c>
      <c r="B76" s="36">
        <v>92.045246557088703</v>
      </c>
      <c r="C76" s="36">
        <v>48.840347575990101</v>
      </c>
      <c r="D76" s="36">
        <v>222.18062996864299</v>
      </c>
      <c r="E76" s="36">
        <v>48.52</v>
      </c>
      <c r="F76" s="36">
        <v>29.37</v>
      </c>
    </row>
    <row r="77" spans="1:6" x14ac:dyDescent="0.3">
      <c r="A77" s="36">
        <v>225.181156873703</v>
      </c>
      <c r="B77" s="36">
        <v>92.045246557088703</v>
      </c>
      <c r="C77" s="36">
        <v>48.840347575990101</v>
      </c>
      <c r="D77" s="36">
        <v>225.181156873703</v>
      </c>
      <c r="E77" s="36">
        <v>48.84</v>
      </c>
      <c r="F77" s="36">
        <v>29.73</v>
      </c>
    </row>
    <row r="78" spans="1:6" x14ac:dyDescent="0.3">
      <c r="A78" s="36">
        <v>228.183037042617</v>
      </c>
      <c r="B78" s="36">
        <v>92.045246557088703</v>
      </c>
      <c r="C78" s="36">
        <v>48.840347575990101</v>
      </c>
      <c r="D78" s="36">
        <v>228.183037042617</v>
      </c>
      <c r="E78" s="36">
        <v>49.229999999999897</v>
      </c>
      <c r="F78" s="36">
        <v>29.57</v>
      </c>
    </row>
    <row r="79" spans="1:6" x14ac:dyDescent="0.3">
      <c r="A79" s="36">
        <v>231.18491864204401</v>
      </c>
      <c r="B79" s="36">
        <v>92.045246557088703</v>
      </c>
      <c r="C79" s="36">
        <v>48.840347575990101</v>
      </c>
      <c r="D79" s="36">
        <v>231.18491864204401</v>
      </c>
      <c r="E79" s="36">
        <v>49.64</v>
      </c>
      <c r="F79" s="36">
        <v>30.21</v>
      </c>
    </row>
    <row r="80" spans="1:6" x14ac:dyDescent="0.3">
      <c r="A80" s="36">
        <v>234.18649888038601</v>
      </c>
      <c r="B80" s="36">
        <v>92.045246557088703</v>
      </c>
      <c r="C80" s="36">
        <v>48.840347575990101</v>
      </c>
      <c r="D80" s="36">
        <v>234.18649888038601</v>
      </c>
      <c r="E80" s="36">
        <v>49.84</v>
      </c>
      <c r="F80" s="36">
        <v>30.239999999999899</v>
      </c>
    </row>
    <row r="81" spans="1:6" x14ac:dyDescent="0.3">
      <c r="A81" s="36">
        <v>237.18866968154899</v>
      </c>
      <c r="B81" s="36">
        <v>92.045246557088703</v>
      </c>
      <c r="C81" s="36">
        <v>48.840347575990101</v>
      </c>
      <c r="D81" s="36">
        <v>237.18866968154899</v>
      </c>
      <c r="E81" s="36">
        <v>50.159999999999897</v>
      </c>
      <c r="F81" s="36">
        <v>30.37</v>
      </c>
    </row>
    <row r="82" spans="1:6" x14ac:dyDescent="0.3">
      <c r="A82" s="36">
        <v>240.19054174423201</v>
      </c>
      <c r="B82" s="36">
        <v>29.646147484181501</v>
      </c>
      <c r="C82" s="36">
        <v>48.840347575990101</v>
      </c>
      <c r="D82" s="36">
        <v>240.19054174423201</v>
      </c>
      <c r="E82" s="36">
        <v>50.45</v>
      </c>
      <c r="F82" s="36">
        <v>30.53</v>
      </c>
    </row>
    <row r="83" spans="1:6" x14ac:dyDescent="0.3">
      <c r="A83" s="36">
        <v>243.19241166114799</v>
      </c>
      <c r="B83" s="36">
        <v>29.646147484181501</v>
      </c>
      <c r="C83" s="36">
        <v>48.840347575990101</v>
      </c>
      <c r="D83" s="36">
        <v>243.19241166114799</v>
      </c>
      <c r="E83" s="36">
        <v>50.71</v>
      </c>
      <c r="F83" s="36">
        <v>30.73</v>
      </c>
    </row>
    <row r="84" spans="1:6" x14ac:dyDescent="0.3">
      <c r="A84" s="36">
        <v>246.194286108016</v>
      </c>
      <c r="B84" s="36">
        <v>29.646147484181501</v>
      </c>
      <c r="C84" s="36">
        <v>48.840347575990101</v>
      </c>
      <c r="D84" s="36">
        <v>246.194286108016</v>
      </c>
      <c r="E84" s="36">
        <v>50.969999999999899</v>
      </c>
      <c r="F84" s="36">
        <v>31.079999999999899</v>
      </c>
    </row>
    <row r="85" spans="1:6" x14ac:dyDescent="0.3">
      <c r="A85" s="36">
        <v>249.196160078048</v>
      </c>
      <c r="B85" s="36">
        <v>29.646147484181501</v>
      </c>
      <c r="C85" s="36">
        <v>48.840347575990101</v>
      </c>
      <c r="D85" s="36">
        <v>249.196160078048</v>
      </c>
      <c r="E85" s="36">
        <v>51.189999999999898</v>
      </c>
      <c r="F85" s="36">
        <v>31.21</v>
      </c>
    </row>
    <row r="86" spans="1:6" x14ac:dyDescent="0.3">
      <c r="A86" s="36">
        <v>252.19720578193599</v>
      </c>
      <c r="B86" s="36">
        <v>29.646147484181501</v>
      </c>
      <c r="C86" s="36">
        <v>48.840347575990101</v>
      </c>
      <c r="D86" s="36">
        <v>252.19720578193599</v>
      </c>
      <c r="E86" s="36">
        <v>51.259999999999899</v>
      </c>
      <c r="F86" s="36">
        <v>31.3399999999999</v>
      </c>
    </row>
    <row r="87" spans="1:6" x14ac:dyDescent="0.3">
      <c r="A87" s="36">
        <v>255.199082136154</v>
      </c>
      <c r="B87" s="36">
        <v>29.646147484181501</v>
      </c>
      <c r="C87" s="36">
        <v>48.840347575990101</v>
      </c>
      <c r="D87" s="36">
        <v>255.199082136154</v>
      </c>
      <c r="E87" s="36">
        <v>51.32</v>
      </c>
      <c r="F87" s="36">
        <v>31.3399999999999</v>
      </c>
    </row>
    <row r="88" spans="1:6" x14ac:dyDescent="0.3">
      <c r="A88" s="36">
        <v>258.20108795165999</v>
      </c>
      <c r="B88" s="36">
        <v>29.646147484181501</v>
      </c>
      <c r="C88" s="36">
        <v>48.840347575990101</v>
      </c>
      <c r="D88" s="36">
        <v>258.20108795165999</v>
      </c>
      <c r="E88" s="36">
        <v>51.219999999999899</v>
      </c>
      <c r="F88" s="36">
        <v>31.76</v>
      </c>
    </row>
    <row r="89" spans="1:6" x14ac:dyDescent="0.3">
      <c r="A89" s="36">
        <v>261.202830314636</v>
      </c>
      <c r="B89" s="36">
        <v>29.646147484181501</v>
      </c>
      <c r="C89" s="36">
        <v>48.840347575990101</v>
      </c>
      <c r="D89" s="36">
        <v>261.202830314636</v>
      </c>
      <c r="E89" s="36">
        <v>51.189999999999898</v>
      </c>
      <c r="F89" s="36">
        <v>31.7899999999999</v>
      </c>
    </row>
    <row r="90" spans="1:6" x14ac:dyDescent="0.3">
      <c r="A90" s="36">
        <v>264.20582437515202</v>
      </c>
      <c r="B90" s="36">
        <v>29.646147484181501</v>
      </c>
      <c r="C90" s="36">
        <v>48.840347575990101</v>
      </c>
      <c r="D90" s="36">
        <v>264.20582437515202</v>
      </c>
      <c r="E90" s="36">
        <v>51.159999999999897</v>
      </c>
      <c r="F90" s="36">
        <v>31.98</v>
      </c>
    </row>
    <row r="91" spans="1:6" x14ac:dyDescent="0.3">
      <c r="A91" s="36">
        <v>267.20883822441101</v>
      </c>
      <c r="B91" s="36">
        <v>29.646147484181501</v>
      </c>
      <c r="C91" s="36">
        <v>48.840347575990101</v>
      </c>
      <c r="D91" s="36">
        <v>267.20883822441101</v>
      </c>
      <c r="E91" s="36">
        <v>50.9299999999999</v>
      </c>
      <c r="F91" s="36">
        <v>32.1799999999999</v>
      </c>
    </row>
    <row r="92" spans="1:6" x14ac:dyDescent="0.3">
      <c r="A92" s="36">
        <v>270.21009516715998</v>
      </c>
      <c r="B92" s="36">
        <v>29.646147484181501</v>
      </c>
      <c r="C92" s="36">
        <v>76.807626469902402</v>
      </c>
      <c r="D92" s="36">
        <v>270.21009516715998</v>
      </c>
      <c r="E92" s="36">
        <v>50.84</v>
      </c>
      <c r="F92" s="36">
        <v>32.270000000000003</v>
      </c>
    </row>
    <row r="93" spans="1:6" x14ac:dyDescent="0.3">
      <c r="A93" s="36">
        <v>273.21197390556301</v>
      </c>
      <c r="B93" s="36">
        <v>29.646147484181501</v>
      </c>
      <c r="C93" s="36">
        <v>76.807626469902402</v>
      </c>
      <c r="D93" s="36">
        <v>273.21197390556301</v>
      </c>
      <c r="E93" s="36">
        <v>50.71</v>
      </c>
      <c r="F93" s="36">
        <v>32.5</v>
      </c>
    </row>
    <row r="94" spans="1:6" x14ac:dyDescent="0.3">
      <c r="A94" s="36">
        <v>276.21188735961903</v>
      </c>
      <c r="B94" s="36">
        <v>29.646147484181501</v>
      </c>
      <c r="C94" s="36">
        <v>76.807626469902402</v>
      </c>
      <c r="D94" s="36">
        <v>276.21188735961903</v>
      </c>
      <c r="E94" s="36">
        <v>50.509999999999899</v>
      </c>
      <c r="F94" s="36">
        <v>32.85</v>
      </c>
    </row>
    <row r="95" spans="1:6" x14ac:dyDescent="0.3">
      <c r="A95" s="36">
        <v>279.21376252174298</v>
      </c>
      <c r="B95" s="36">
        <v>29.646147484181501</v>
      </c>
      <c r="C95" s="36">
        <v>76.807626469902402</v>
      </c>
      <c r="D95" s="36">
        <v>279.21376252174298</v>
      </c>
      <c r="E95" s="36">
        <v>50.45</v>
      </c>
      <c r="F95" s="36">
        <v>33.21</v>
      </c>
    </row>
    <row r="96" spans="1:6" x14ac:dyDescent="0.3">
      <c r="A96" s="36">
        <v>282.215630292892</v>
      </c>
      <c r="B96" s="36">
        <v>29.646147484181501</v>
      </c>
      <c r="C96" s="36">
        <v>76.807626469902402</v>
      </c>
      <c r="D96" s="36">
        <v>282.215630292892</v>
      </c>
      <c r="E96" s="36">
        <v>50.219999999999899</v>
      </c>
      <c r="F96" s="36">
        <v>33.469999999999899</v>
      </c>
    </row>
    <row r="97" spans="1:6" x14ac:dyDescent="0.3">
      <c r="A97" s="36">
        <v>285.21752786636301</v>
      </c>
      <c r="B97" s="36">
        <v>29.646147484181501</v>
      </c>
      <c r="C97" s="36">
        <v>76.807626469902402</v>
      </c>
      <c r="D97" s="36">
        <v>285.21752786636301</v>
      </c>
      <c r="E97" s="36">
        <v>50.1</v>
      </c>
      <c r="F97" s="36">
        <v>33.630000000000003</v>
      </c>
    </row>
    <row r="98" spans="1:6" x14ac:dyDescent="0.3">
      <c r="A98" s="36">
        <v>288.21938729286097</v>
      </c>
      <c r="B98" s="36">
        <v>29.646147484181501</v>
      </c>
      <c r="C98" s="36">
        <v>76.807626469902402</v>
      </c>
      <c r="D98" s="36">
        <v>288.21938729286097</v>
      </c>
      <c r="E98" s="36">
        <v>49.869999999999898</v>
      </c>
      <c r="F98" s="36">
        <v>33.719999999999899</v>
      </c>
    </row>
    <row r="99" spans="1:6" x14ac:dyDescent="0.3">
      <c r="A99" s="36">
        <v>291.22126150131197</v>
      </c>
      <c r="B99" s="36">
        <v>29.646147484181501</v>
      </c>
      <c r="C99" s="36">
        <v>76.807626469902402</v>
      </c>
      <c r="D99" s="36">
        <v>291.22126150131197</v>
      </c>
      <c r="E99" s="36">
        <v>49.64</v>
      </c>
      <c r="F99" s="36">
        <v>34.14</v>
      </c>
    </row>
    <row r="100" spans="1:6" x14ac:dyDescent="0.3">
      <c r="A100" s="36">
        <v>294.22314929962101</v>
      </c>
      <c r="B100" s="36">
        <v>29.646147484181501</v>
      </c>
      <c r="C100" s="36">
        <v>76.807626469902402</v>
      </c>
      <c r="D100" s="36">
        <v>294.22314929962101</v>
      </c>
      <c r="E100" s="36">
        <v>49.479999999999897</v>
      </c>
      <c r="F100" s="36">
        <v>33.89</v>
      </c>
    </row>
    <row r="101" spans="1:6" x14ac:dyDescent="0.3">
      <c r="A101" s="36">
        <v>297.22501611709498</v>
      </c>
      <c r="B101" s="36">
        <v>29.646147484181501</v>
      </c>
      <c r="C101" s="36">
        <v>76.807626469902402</v>
      </c>
      <c r="D101" s="36">
        <v>297.22501611709498</v>
      </c>
      <c r="E101" s="36">
        <v>49.259999999999899</v>
      </c>
      <c r="F101" s="36">
        <v>34.590000000000003</v>
      </c>
    </row>
    <row r="102" spans="1:6" x14ac:dyDescent="0.3">
      <c r="A102" s="36">
        <v>300.22466158866803</v>
      </c>
      <c r="B102" s="36">
        <v>96.422517288635404</v>
      </c>
      <c r="C102" s="36">
        <v>76.807626469902402</v>
      </c>
      <c r="D102" s="36">
        <v>300.22466158866803</v>
      </c>
      <c r="E102" s="36">
        <v>49.1</v>
      </c>
      <c r="F102" s="36">
        <v>34.880000000000003</v>
      </c>
    </row>
    <row r="103" spans="1:6" x14ac:dyDescent="0.3">
      <c r="A103" s="36">
        <v>303.22667860984802</v>
      </c>
      <c r="B103" s="36">
        <v>96.422517288635404</v>
      </c>
      <c r="C103" s="36">
        <v>76.807626469902402</v>
      </c>
      <c r="D103" s="36">
        <v>303.22667860984802</v>
      </c>
      <c r="E103" s="36">
        <v>48.899999999999899</v>
      </c>
      <c r="F103" s="36">
        <v>35.1099999999999</v>
      </c>
    </row>
    <row r="104" spans="1:6" x14ac:dyDescent="0.3">
      <c r="A104" s="36">
        <v>306.22675418853697</v>
      </c>
      <c r="B104" s="36">
        <v>96.422517288635404</v>
      </c>
      <c r="C104" s="36">
        <v>76.807626469902402</v>
      </c>
      <c r="D104" s="36">
        <v>306.22675418853697</v>
      </c>
      <c r="E104" s="36">
        <v>48.77</v>
      </c>
      <c r="F104" s="36">
        <v>35.21</v>
      </c>
    </row>
    <row r="105" spans="1:6" x14ac:dyDescent="0.3">
      <c r="A105" s="36">
        <v>309.22863650321898</v>
      </c>
      <c r="B105" s="36">
        <v>96.422517288635404</v>
      </c>
      <c r="C105" s="36">
        <v>76.807626469902402</v>
      </c>
      <c r="D105" s="36">
        <v>309.22863650321898</v>
      </c>
      <c r="E105" s="36">
        <v>48.6099999999999</v>
      </c>
      <c r="F105" s="36">
        <v>35.590000000000003</v>
      </c>
    </row>
    <row r="106" spans="1:6" x14ac:dyDescent="0.3">
      <c r="A106" s="36">
        <v>312.228375196456</v>
      </c>
      <c r="B106" s="36">
        <v>96.422517288635404</v>
      </c>
      <c r="C106" s="36">
        <v>76.807626469902402</v>
      </c>
      <c r="D106" s="36">
        <v>312.228375196456</v>
      </c>
      <c r="E106" s="36">
        <v>48.6799999999999</v>
      </c>
      <c r="F106" s="36">
        <v>35.719999999999899</v>
      </c>
    </row>
    <row r="107" spans="1:6" x14ac:dyDescent="0.3">
      <c r="A107" s="36">
        <v>315.23022866248999</v>
      </c>
      <c r="B107" s="36">
        <v>96.422517288635404</v>
      </c>
      <c r="C107" s="36">
        <v>76.807626469902402</v>
      </c>
      <c r="D107" s="36">
        <v>315.23022866248999</v>
      </c>
      <c r="E107" s="36">
        <v>48.77</v>
      </c>
      <c r="F107" s="36">
        <v>35.950000000000003</v>
      </c>
    </row>
    <row r="108" spans="1:6" x14ac:dyDescent="0.3">
      <c r="A108" s="36">
        <v>318.23211073875399</v>
      </c>
      <c r="B108" s="36">
        <v>96.422517288635404</v>
      </c>
      <c r="C108" s="36">
        <v>76.807626469902402</v>
      </c>
      <c r="D108" s="36">
        <v>318.23211073875399</v>
      </c>
      <c r="E108" s="36">
        <v>49</v>
      </c>
      <c r="F108" s="36">
        <v>36.21</v>
      </c>
    </row>
    <row r="109" spans="1:6" x14ac:dyDescent="0.3">
      <c r="A109" s="36">
        <v>321.23397779464699</v>
      </c>
      <c r="B109" s="36">
        <v>96.422517288635404</v>
      </c>
      <c r="C109" s="36">
        <v>76.807626469902402</v>
      </c>
      <c r="D109" s="36">
        <v>321.23397779464699</v>
      </c>
      <c r="E109" s="36">
        <v>49.159999999999897</v>
      </c>
      <c r="F109" s="36">
        <v>36.46</v>
      </c>
    </row>
    <row r="110" spans="1:6" x14ac:dyDescent="0.3">
      <c r="A110" s="36">
        <v>324.23585987091002</v>
      </c>
      <c r="B110" s="36">
        <v>96.422517288635404</v>
      </c>
      <c r="C110" s="36">
        <v>76.807626469902402</v>
      </c>
      <c r="D110" s="36">
        <v>324.23585987091002</v>
      </c>
      <c r="E110" s="36">
        <v>49.35</v>
      </c>
      <c r="F110" s="36">
        <v>36.4299999999999</v>
      </c>
    </row>
    <row r="111" spans="1:6" x14ac:dyDescent="0.3">
      <c r="A111" s="36">
        <v>327.237784147262</v>
      </c>
      <c r="B111" s="36">
        <v>96.422517288635404</v>
      </c>
      <c r="C111" s="36">
        <v>76.807626469902402</v>
      </c>
      <c r="D111" s="36">
        <v>327.237784147262</v>
      </c>
      <c r="E111" s="36">
        <v>49.579999999999899</v>
      </c>
      <c r="F111" s="36">
        <v>36.4299999999999</v>
      </c>
    </row>
    <row r="112" spans="1:6" x14ac:dyDescent="0.3">
      <c r="A112" s="36">
        <v>330.239597797393</v>
      </c>
      <c r="B112" s="36">
        <v>96.422517288635404</v>
      </c>
      <c r="C112" s="36">
        <v>52.622060539459603</v>
      </c>
      <c r="D112" s="36">
        <v>330.239597797393</v>
      </c>
      <c r="E112" s="36">
        <v>49.899999999999899</v>
      </c>
      <c r="F112" s="36">
        <v>36.82</v>
      </c>
    </row>
    <row r="113" spans="1:6" x14ac:dyDescent="0.3">
      <c r="A113" s="36">
        <v>333.24150252342201</v>
      </c>
      <c r="B113" s="36">
        <v>96.422517288635404</v>
      </c>
      <c r="C113" s="36">
        <v>52.622060539459603</v>
      </c>
      <c r="D113" s="36">
        <v>333.24150252342201</v>
      </c>
      <c r="E113" s="36">
        <v>50</v>
      </c>
      <c r="F113" s="36">
        <v>36.75</v>
      </c>
    </row>
    <row r="114" spans="1:6" x14ac:dyDescent="0.3">
      <c r="A114" s="36">
        <v>336.24385404586701</v>
      </c>
      <c r="B114" s="36">
        <v>96.422517288635404</v>
      </c>
      <c r="C114" s="36">
        <v>52.622060539459603</v>
      </c>
      <c r="D114" s="36">
        <v>336.24385404586701</v>
      </c>
      <c r="E114" s="36">
        <v>50.39</v>
      </c>
      <c r="F114" s="36">
        <v>36.82</v>
      </c>
    </row>
    <row r="115" spans="1:6" x14ac:dyDescent="0.3">
      <c r="A115" s="36">
        <v>339.247881650924</v>
      </c>
      <c r="B115" s="36">
        <v>96.422517288635404</v>
      </c>
      <c r="C115" s="36">
        <v>52.622060539459603</v>
      </c>
      <c r="D115" s="36">
        <v>339.247881650924</v>
      </c>
      <c r="E115" s="36">
        <v>50.64</v>
      </c>
      <c r="F115" s="36">
        <v>37.0399999999999</v>
      </c>
    </row>
    <row r="116" spans="1:6" x14ac:dyDescent="0.3">
      <c r="A116" s="36">
        <v>342.24981403350802</v>
      </c>
      <c r="B116" s="36">
        <v>96.422517288635404</v>
      </c>
      <c r="C116" s="36">
        <v>52.622060539459603</v>
      </c>
      <c r="D116" s="36">
        <v>342.24981403350802</v>
      </c>
      <c r="E116" s="36">
        <v>50.969999999999899</v>
      </c>
      <c r="F116" s="36">
        <v>37.1099999999999</v>
      </c>
    </row>
    <row r="117" spans="1:6" x14ac:dyDescent="0.3">
      <c r="A117" s="36">
        <v>345.45489978790198</v>
      </c>
      <c r="B117" s="36">
        <v>96.422517288635404</v>
      </c>
      <c r="C117" s="36">
        <v>52.622060539459603</v>
      </c>
      <c r="D117" s="36">
        <v>345.45489978790198</v>
      </c>
      <c r="E117" s="36">
        <v>51.35</v>
      </c>
      <c r="F117" s="36">
        <v>37.21</v>
      </c>
    </row>
    <row r="118" spans="1:6" x14ac:dyDescent="0.3">
      <c r="A118" s="36">
        <v>348.456781625747</v>
      </c>
      <c r="B118" s="36">
        <v>96.422517288635404</v>
      </c>
      <c r="C118" s="36">
        <v>52.622060539459603</v>
      </c>
      <c r="D118" s="36">
        <v>348.456781625747</v>
      </c>
      <c r="E118" s="36">
        <v>51.64</v>
      </c>
      <c r="F118" s="36">
        <v>37.299999999999898</v>
      </c>
    </row>
    <row r="119" spans="1:6" x14ac:dyDescent="0.3">
      <c r="A119" s="36">
        <v>351.45865964889498</v>
      </c>
      <c r="B119" s="36">
        <v>96.422517288635404</v>
      </c>
      <c r="C119" s="36">
        <v>52.622060539459603</v>
      </c>
      <c r="D119" s="36">
        <v>351.45865964889498</v>
      </c>
      <c r="E119" s="36">
        <v>52.03</v>
      </c>
      <c r="F119" s="36">
        <v>37.399999999999899</v>
      </c>
    </row>
    <row r="120" spans="1:6" x14ac:dyDescent="0.3">
      <c r="A120" s="36">
        <v>354.460552930831</v>
      </c>
      <c r="B120" s="36">
        <v>96.422517288635404</v>
      </c>
      <c r="C120" s="36">
        <v>52.622060539459603</v>
      </c>
      <c r="D120" s="36">
        <v>354.460552930831</v>
      </c>
      <c r="E120" s="36">
        <v>52.2899999999999</v>
      </c>
      <c r="F120" s="36">
        <v>37.46</v>
      </c>
    </row>
    <row r="121" spans="1:6" x14ac:dyDescent="0.3">
      <c r="A121" s="36">
        <v>357.45984864234902</v>
      </c>
      <c r="B121" s="36">
        <v>96.422517288635404</v>
      </c>
      <c r="C121" s="36">
        <v>52.622060539459603</v>
      </c>
      <c r="D121" s="36">
        <v>357.45984864234902</v>
      </c>
      <c r="E121" s="36">
        <v>52.71</v>
      </c>
      <c r="F121" s="36">
        <v>37.399999999999899</v>
      </c>
    </row>
    <row r="122" spans="1:6" x14ac:dyDescent="0.3">
      <c r="A122" s="36">
        <v>360.460046052932</v>
      </c>
      <c r="B122" s="36">
        <v>0.91242113782200496</v>
      </c>
      <c r="C122" s="36">
        <v>52.622060539459603</v>
      </c>
      <c r="D122" s="36">
        <v>360.460046052932</v>
      </c>
      <c r="E122" s="36">
        <v>53</v>
      </c>
      <c r="F122" s="36">
        <v>37.56</v>
      </c>
    </row>
    <row r="123" spans="1:6" x14ac:dyDescent="0.3">
      <c r="A123" s="36">
        <v>363.461931705474</v>
      </c>
      <c r="B123" s="36">
        <v>0.91242113782200496</v>
      </c>
      <c r="C123" s="36">
        <v>52.622060539459603</v>
      </c>
      <c r="D123" s="36">
        <v>363.461931705474</v>
      </c>
      <c r="E123" s="36">
        <v>53.219999999999899</v>
      </c>
      <c r="F123" s="36">
        <v>37.619999999999898</v>
      </c>
    </row>
    <row r="124" spans="1:6" x14ac:dyDescent="0.3">
      <c r="A124" s="36">
        <v>366.46170234680102</v>
      </c>
      <c r="B124" s="36">
        <v>0.91242113782200496</v>
      </c>
      <c r="C124" s="36">
        <v>52.622060539459603</v>
      </c>
      <c r="D124" s="36">
        <v>366.46170234680102</v>
      </c>
      <c r="E124" s="36">
        <v>53.579999999999899</v>
      </c>
      <c r="F124" s="36">
        <v>37.5</v>
      </c>
    </row>
    <row r="125" spans="1:6" x14ac:dyDescent="0.3">
      <c r="A125" s="36">
        <v>369.46357274055401</v>
      </c>
      <c r="B125" s="36">
        <v>0.91242113782200496</v>
      </c>
      <c r="C125" s="36">
        <v>52.622060539459603</v>
      </c>
      <c r="D125" s="36">
        <v>369.46357274055401</v>
      </c>
      <c r="E125" s="36">
        <v>53.67</v>
      </c>
      <c r="F125" s="36">
        <v>37.7899999999999</v>
      </c>
    </row>
    <row r="126" spans="1:6" x14ac:dyDescent="0.3">
      <c r="A126" s="36">
        <v>372.466227769851</v>
      </c>
      <c r="B126" s="36">
        <v>0.91242113782200496</v>
      </c>
      <c r="C126" s="36">
        <v>52.622060539459603</v>
      </c>
      <c r="D126" s="36">
        <v>372.466227769851</v>
      </c>
      <c r="E126" s="36">
        <v>53.74</v>
      </c>
      <c r="F126" s="36">
        <v>37.659999999999897</v>
      </c>
    </row>
    <row r="127" spans="1:6" x14ac:dyDescent="0.3">
      <c r="A127" s="36">
        <v>375.468109846115</v>
      </c>
      <c r="B127" s="36">
        <v>0.91242113782200496</v>
      </c>
      <c r="C127" s="36">
        <v>52.622060539459603</v>
      </c>
      <c r="D127" s="36">
        <v>375.468109846115</v>
      </c>
      <c r="E127" s="36">
        <v>53.579999999999899</v>
      </c>
      <c r="F127" s="36">
        <v>37.85</v>
      </c>
    </row>
    <row r="128" spans="1:6" x14ac:dyDescent="0.3">
      <c r="A128" s="36">
        <v>378.46999025344797</v>
      </c>
      <c r="B128" s="36">
        <v>0.91242113782200496</v>
      </c>
      <c r="C128" s="36">
        <v>52.622060539459603</v>
      </c>
      <c r="D128" s="36">
        <v>378.46999025344797</v>
      </c>
      <c r="E128" s="36">
        <v>53.38</v>
      </c>
      <c r="F128" s="36">
        <v>38.009999999999899</v>
      </c>
    </row>
    <row r="129" spans="1:6" x14ac:dyDescent="0.3">
      <c r="A129" s="36">
        <v>381.47071361541703</v>
      </c>
      <c r="B129" s="36">
        <v>0.91242113782200496</v>
      </c>
      <c r="C129" s="36">
        <v>52.622060539459603</v>
      </c>
      <c r="D129" s="36">
        <v>381.47071361541703</v>
      </c>
      <c r="E129" s="36">
        <v>53.189999999999898</v>
      </c>
      <c r="F129" s="36">
        <v>38.079999999999899</v>
      </c>
    </row>
    <row r="130" spans="1:6" x14ac:dyDescent="0.3">
      <c r="A130" s="36">
        <v>384.47258901596001</v>
      </c>
      <c r="B130" s="36">
        <v>0.91242113782200496</v>
      </c>
      <c r="C130" s="36">
        <v>52.622060539459603</v>
      </c>
      <c r="D130" s="36">
        <v>384.47258901596001</v>
      </c>
      <c r="E130" s="36">
        <v>52.899999999999899</v>
      </c>
      <c r="F130" s="36">
        <v>38.200000000000003</v>
      </c>
    </row>
    <row r="131" spans="1:6" x14ac:dyDescent="0.3">
      <c r="A131" s="36">
        <v>387.47448134422302</v>
      </c>
      <c r="B131" s="36">
        <v>0.91242113782200496</v>
      </c>
      <c r="C131" s="36">
        <v>52.622060539459603</v>
      </c>
      <c r="D131" s="36">
        <v>387.47448134422302</v>
      </c>
      <c r="E131" s="36">
        <v>52.64</v>
      </c>
      <c r="F131" s="36">
        <v>38.14</v>
      </c>
    </row>
    <row r="132" spans="1:6" x14ac:dyDescent="0.3">
      <c r="A132" s="36">
        <v>390.47417998313898</v>
      </c>
      <c r="B132" s="36">
        <v>0.91242113782200496</v>
      </c>
      <c r="C132" s="36">
        <v>14.628026515038201</v>
      </c>
      <c r="D132" s="36">
        <v>390.47417998313898</v>
      </c>
      <c r="E132" s="36">
        <v>52.2899999999999</v>
      </c>
      <c r="F132" s="36">
        <v>38.689999999999898</v>
      </c>
    </row>
    <row r="133" spans="1:6" x14ac:dyDescent="0.3">
      <c r="A133" s="36">
        <v>393.47639942169099</v>
      </c>
      <c r="B133" s="36">
        <v>0.91242113782200496</v>
      </c>
      <c r="C133" s="36">
        <v>14.628026515038201</v>
      </c>
      <c r="D133" s="36">
        <v>393.47639942169099</v>
      </c>
      <c r="E133" s="36">
        <v>51.84</v>
      </c>
      <c r="F133" s="36">
        <v>38.329999999999899</v>
      </c>
    </row>
    <row r="134" spans="1:6" x14ac:dyDescent="0.3">
      <c r="A134" s="36">
        <v>396.47745323181101</v>
      </c>
      <c r="B134" s="36">
        <v>0.91242113782200496</v>
      </c>
      <c r="C134" s="36">
        <v>14.628026515038201</v>
      </c>
      <c r="D134" s="36">
        <v>396.47745323181101</v>
      </c>
      <c r="E134" s="36">
        <v>51.479999999999897</v>
      </c>
      <c r="F134" s="36">
        <v>38.399999999999899</v>
      </c>
    </row>
    <row r="135" spans="1:6" x14ac:dyDescent="0.3">
      <c r="A135" s="36">
        <v>399.47933959960898</v>
      </c>
      <c r="B135" s="36">
        <v>0.91242113782200496</v>
      </c>
      <c r="C135" s="36">
        <v>14.628026515038201</v>
      </c>
      <c r="D135" s="36">
        <v>399.47933959960898</v>
      </c>
      <c r="E135" s="36">
        <v>51.13</v>
      </c>
      <c r="F135" s="36">
        <v>38.4299999999999</v>
      </c>
    </row>
    <row r="136" spans="1:6" x14ac:dyDescent="0.3">
      <c r="A136" s="36">
        <v>402.48128080368002</v>
      </c>
      <c r="B136" s="36">
        <v>0.91242113782200496</v>
      </c>
      <c r="C136" s="36">
        <v>14.628026515038201</v>
      </c>
      <c r="D136" s="36">
        <v>402.48128080368002</v>
      </c>
      <c r="E136" s="36">
        <v>50.6799999999999</v>
      </c>
      <c r="F136" s="36">
        <v>38.619999999999898</v>
      </c>
    </row>
    <row r="137" spans="1:6" x14ac:dyDescent="0.3">
      <c r="A137" s="36">
        <v>405.48308181762599</v>
      </c>
      <c r="B137" s="36">
        <v>0.91242113782200496</v>
      </c>
      <c r="C137" s="36">
        <v>14.628026515038201</v>
      </c>
      <c r="D137" s="36">
        <v>405.48308181762599</v>
      </c>
      <c r="E137" s="36">
        <v>50.259999999999899</v>
      </c>
      <c r="F137" s="36">
        <v>38.590000000000003</v>
      </c>
    </row>
    <row r="138" spans="1:6" x14ac:dyDescent="0.3">
      <c r="A138" s="36">
        <v>408.48496770858702</v>
      </c>
      <c r="B138" s="36">
        <v>0.91242113782200496</v>
      </c>
      <c r="C138" s="36">
        <v>14.628026515038201</v>
      </c>
      <c r="D138" s="36">
        <v>408.48496770858702</v>
      </c>
      <c r="E138" s="36">
        <v>49.84</v>
      </c>
      <c r="F138" s="36">
        <v>38.659999999999897</v>
      </c>
    </row>
    <row r="139" spans="1:6" x14ac:dyDescent="0.3">
      <c r="A139" s="36">
        <v>411.48654770851101</v>
      </c>
      <c r="B139" s="36">
        <v>0.91242113782200496</v>
      </c>
      <c r="C139" s="36">
        <v>14.628026515038201</v>
      </c>
      <c r="D139" s="36">
        <v>411.48654770851101</v>
      </c>
      <c r="E139" s="36">
        <v>49.479999999999897</v>
      </c>
      <c r="F139" s="36">
        <v>38.590000000000003</v>
      </c>
    </row>
    <row r="140" spans="1:6" x14ac:dyDescent="0.3">
      <c r="A140" s="36">
        <v>414.48871541023198</v>
      </c>
      <c r="B140" s="36">
        <v>0.91242113782200496</v>
      </c>
      <c r="C140" s="36">
        <v>14.628026515038201</v>
      </c>
      <c r="D140" s="36">
        <v>414.48871541023198</v>
      </c>
      <c r="E140" s="36">
        <v>49.06</v>
      </c>
      <c r="F140" s="36">
        <v>38.46</v>
      </c>
    </row>
    <row r="141" spans="1:6" x14ac:dyDescent="0.3">
      <c r="A141" s="36">
        <v>417.490577697753</v>
      </c>
      <c r="B141" s="36">
        <v>0.91242113782200496</v>
      </c>
      <c r="C141" s="36">
        <v>14.628026515038201</v>
      </c>
      <c r="D141" s="36">
        <v>417.490577697753</v>
      </c>
      <c r="E141" s="36">
        <v>48.579999999999899</v>
      </c>
      <c r="F141" s="36">
        <v>38.4299999999999</v>
      </c>
    </row>
    <row r="142" spans="1:6" x14ac:dyDescent="0.3">
      <c r="A142" s="36">
        <v>420.490088701248</v>
      </c>
      <c r="B142" s="36">
        <v>96.130496879090998</v>
      </c>
      <c r="C142" s="36">
        <v>14.628026515038201</v>
      </c>
      <c r="D142" s="36">
        <v>420.490088701248</v>
      </c>
      <c r="E142" s="36">
        <v>48.259999999999899</v>
      </c>
      <c r="F142" s="36">
        <v>38.619999999999898</v>
      </c>
    </row>
    <row r="143" spans="1:6" x14ac:dyDescent="0.3">
      <c r="A143" s="36">
        <v>423.49196505546502</v>
      </c>
      <c r="B143" s="36">
        <v>96.130496879090998</v>
      </c>
      <c r="C143" s="36">
        <v>14.628026515038201</v>
      </c>
      <c r="D143" s="36">
        <v>423.49196505546502</v>
      </c>
      <c r="E143" s="36">
        <v>47.81</v>
      </c>
      <c r="F143" s="36">
        <v>38.270000000000003</v>
      </c>
    </row>
    <row r="144" spans="1:6" x14ac:dyDescent="0.3">
      <c r="A144" s="36">
        <v>426.49111223220802</v>
      </c>
      <c r="B144" s="36">
        <v>96.130496879090998</v>
      </c>
      <c r="C144" s="36">
        <v>14.628026515038201</v>
      </c>
      <c r="D144" s="36">
        <v>426.49111223220802</v>
      </c>
      <c r="E144" s="36">
        <v>47.49</v>
      </c>
      <c r="F144" s="36">
        <v>38.200000000000003</v>
      </c>
    </row>
    <row r="145" spans="1:6" x14ac:dyDescent="0.3">
      <c r="A145" s="36">
        <v>429.49299287795998</v>
      </c>
      <c r="B145" s="36">
        <v>96.130496879090998</v>
      </c>
      <c r="C145" s="36">
        <v>14.628026515038201</v>
      </c>
      <c r="D145" s="36">
        <v>429.49299287795998</v>
      </c>
      <c r="E145" s="36">
        <v>47.39</v>
      </c>
      <c r="F145" s="36">
        <v>38.0399999999999</v>
      </c>
    </row>
    <row r="146" spans="1:6" x14ac:dyDescent="0.3">
      <c r="A146" s="36">
        <v>432.49423885345402</v>
      </c>
      <c r="B146" s="36">
        <v>96.130496879090998</v>
      </c>
      <c r="C146" s="36">
        <v>14.628026515038201</v>
      </c>
      <c r="D146" s="36">
        <v>432.49423885345402</v>
      </c>
      <c r="E146" s="36">
        <v>47.2899999999999</v>
      </c>
      <c r="F146" s="36">
        <v>38.14</v>
      </c>
    </row>
    <row r="147" spans="1:6" x14ac:dyDescent="0.3">
      <c r="A147" s="36">
        <v>435.49612760543801</v>
      </c>
      <c r="B147" s="36">
        <v>96.130496879090998</v>
      </c>
      <c r="C147" s="36">
        <v>14.628026515038201</v>
      </c>
      <c r="D147" s="36">
        <v>435.49612760543801</v>
      </c>
      <c r="E147" s="36">
        <v>47.32</v>
      </c>
      <c r="F147" s="36">
        <v>38.079999999999899</v>
      </c>
    </row>
    <row r="148" spans="1:6" x14ac:dyDescent="0.3">
      <c r="A148" s="36">
        <v>438.49803400039599</v>
      </c>
      <c r="B148" s="36">
        <v>96.130496879090998</v>
      </c>
      <c r="C148" s="36">
        <v>14.628026515038201</v>
      </c>
      <c r="D148" s="36">
        <v>438.49803400039599</v>
      </c>
      <c r="E148" s="36">
        <v>47.549999999999898</v>
      </c>
      <c r="F148" s="36">
        <v>37.85</v>
      </c>
    </row>
    <row r="149" spans="1:6" x14ac:dyDescent="0.3">
      <c r="A149" s="36">
        <v>441.49995183944702</v>
      </c>
      <c r="B149" s="36">
        <v>96.130496879090998</v>
      </c>
      <c r="C149" s="36">
        <v>14.628026515038201</v>
      </c>
      <c r="D149" s="36">
        <v>441.49995183944702</v>
      </c>
      <c r="E149" s="36">
        <v>47.78</v>
      </c>
      <c r="F149" s="36">
        <v>37.659999999999897</v>
      </c>
    </row>
    <row r="150" spans="1:6" x14ac:dyDescent="0.3">
      <c r="A150" s="36">
        <v>444.50176596641501</v>
      </c>
      <c r="B150" s="36">
        <v>96.130496879090998</v>
      </c>
      <c r="C150" s="36">
        <v>14.628026515038201</v>
      </c>
      <c r="D150" s="36">
        <v>444.50176596641501</v>
      </c>
      <c r="E150" s="36">
        <v>48</v>
      </c>
      <c r="F150" s="36">
        <v>37.75</v>
      </c>
    </row>
    <row r="151" spans="1:6" x14ac:dyDescent="0.3">
      <c r="A151" s="36">
        <v>447.50365281105002</v>
      </c>
      <c r="B151" s="36">
        <v>96.130496879090998</v>
      </c>
      <c r="C151" s="36">
        <v>14.628026515038201</v>
      </c>
      <c r="D151" s="36">
        <v>447.50365281105002</v>
      </c>
      <c r="E151" s="36">
        <v>48.229999999999897</v>
      </c>
      <c r="F151" s="36">
        <v>37.719999999999899</v>
      </c>
    </row>
    <row r="152" spans="1:6" x14ac:dyDescent="0.3">
      <c r="A152" s="36">
        <v>450.50659775733902</v>
      </c>
      <c r="B152" s="36">
        <v>96.130496879090998</v>
      </c>
      <c r="C152" s="36">
        <v>10.463869174811199</v>
      </c>
      <c r="D152" s="36">
        <v>450.50659775733902</v>
      </c>
      <c r="E152" s="36">
        <v>48.74</v>
      </c>
      <c r="F152" s="36">
        <v>37.369999999999898</v>
      </c>
    </row>
    <row r="153" spans="1:6" x14ac:dyDescent="0.3">
      <c r="A153" s="36">
        <v>453.50848412513699</v>
      </c>
      <c r="B153" s="36">
        <v>96.130496879090998</v>
      </c>
      <c r="C153" s="36">
        <v>0</v>
      </c>
      <c r="D153" s="36">
        <v>453.50848412513699</v>
      </c>
      <c r="E153" s="36">
        <v>49.13</v>
      </c>
      <c r="F153" s="36">
        <v>37.299999999999898</v>
      </c>
    </row>
    <row r="154" spans="1:6" x14ac:dyDescent="0.3">
      <c r="A154" s="36">
        <v>456.50821566581698</v>
      </c>
      <c r="B154" s="36">
        <v>96.130496879090998</v>
      </c>
      <c r="C154" s="36">
        <v>0</v>
      </c>
      <c r="D154" s="36">
        <v>456.50821566581698</v>
      </c>
      <c r="E154" s="36">
        <v>49.45</v>
      </c>
      <c r="F154" s="36">
        <v>37.21</v>
      </c>
    </row>
    <row r="155" spans="1:6" x14ac:dyDescent="0.3">
      <c r="A155" s="36">
        <v>459.51017165183998</v>
      </c>
      <c r="B155" s="36">
        <v>96.130496879090998</v>
      </c>
      <c r="C155" s="36">
        <v>0</v>
      </c>
      <c r="D155" s="36">
        <v>459.51017165183998</v>
      </c>
      <c r="E155" s="36">
        <v>49.9299999999999</v>
      </c>
      <c r="F155" s="36">
        <v>37.0399999999999</v>
      </c>
    </row>
    <row r="156" spans="1:6" x14ac:dyDescent="0.3">
      <c r="A156" s="36">
        <v>462.51029682159401</v>
      </c>
      <c r="B156" s="36">
        <v>96.130496879090998</v>
      </c>
      <c r="C156" s="36">
        <v>0</v>
      </c>
      <c r="D156" s="36">
        <v>462.51029682159401</v>
      </c>
      <c r="E156" s="36">
        <v>50.35</v>
      </c>
      <c r="F156" s="36">
        <v>36.7899999999999</v>
      </c>
    </row>
    <row r="157" spans="1:6" x14ac:dyDescent="0.3">
      <c r="A157" s="36">
        <v>465.51218152046198</v>
      </c>
      <c r="B157" s="36">
        <v>96.130496879090998</v>
      </c>
      <c r="C157" s="36">
        <v>0</v>
      </c>
      <c r="D157" s="36">
        <v>465.51218152046198</v>
      </c>
      <c r="E157" s="36">
        <v>50.84</v>
      </c>
      <c r="F157" s="36">
        <v>36.630000000000003</v>
      </c>
    </row>
    <row r="158" spans="1:6" x14ac:dyDescent="0.3">
      <c r="A158" s="36">
        <v>468.51405310630702</v>
      </c>
      <c r="B158" s="36">
        <v>96.130496879090998</v>
      </c>
      <c r="C158" s="36">
        <v>0</v>
      </c>
      <c r="D158" s="36">
        <v>468.51405310630702</v>
      </c>
      <c r="E158" s="36">
        <v>51.09</v>
      </c>
      <c r="F158" s="36">
        <v>36.630000000000003</v>
      </c>
    </row>
    <row r="159" spans="1:6" x14ac:dyDescent="0.3">
      <c r="A159" s="36">
        <v>471.51634001731799</v>
      </c>
      <c r="B159" s="36">
        <v>96.130496879090998</v>
      </c>
      <c r="C159" s="36">
        <v>0</v>
      </c>
      <c r="D159" s="36">
        <v>471.51634001731799</v>
      </c>
      <c r="E159" s="36">
        <v>51.479999999999897</v>
      </c>
      <c r="F159" s="36">
        <v>36.56</v>
      </c>
    </row>
    <row r="160" spans="1:6" x14ac:dyDescent="0.3">
      <c r="A160" s="36">
        <v>474.518599748611</v>
      </c>
      <c r="B160" s="36">
        <v>96.130496879090998</v>
      </c>
      <c r="C160" s="36">
        <v>0</v>
      </c>
      <c r="D160" s="36">
        <v>474.518599748611</v>
      </c>
      <c r="E160" s="36">
        <v>52</v>
      </c>
      <c r="F160" s="36">
        <v>36.369999999999898</v>
      </c>
    </row>
    <row r="161" spans="1:6" x14ac:dyDescent="0.3">
      <c r="A161" s="36">
        <v>477.52075529098499</v>
      </c>
      <c r="B161" s="36">
        <v>96.130496879090998</v>
      </c>
      <c r="C161" s="36">
        <v>0</v>
      </c>
      <c r="D161" s="36">
        <v>477.52075529098499</v>
      </c>
      <c r="E161" s="36">
        <v>52.509999999999899</v>
      </c>
      <c r="F161" s="36">
        <v>36.270000000000003</v>
      </c>
    </row>
    <row r="162" spans="1:6" x14ac:dyDescent="0.3">
      <c r="A162" s="36">
        <v>480.52132034301701</v>
      </c>
      <c r="B162" s="36">
        <v>1.4562785593418901</v>
      </c>
      <c r="C162" s="36">
        <v>0</v>
      </c>
      <c r="D162" s="36">
        <v>480.52132034301701</v>
      </c>
      <c r="E162" s="36">
        <v>52.899999999999899</v>
      </c>
      <c r="F162" s="36">
        <v>36.17</v>
      </c>
    </row>
    <row r="163" spans="1:6" x14ac:dyDescent="0.3">
      <c r="A163" s="36">
        <v>483.52317976951502</v>
      </c>
      <c r="B163" s="36">
        <v>1.4562785593418901</v>
      </c>
      <c r="C163" s="36">
        <v>0</v>
      </c>
      <c r="D163" s="36">
        <v>483.52317976951502</v>
      </c>
      <c r="E163" s="36">
        <v>53.32</v>
      </c>
      <c r="F163" s="36">
        <v>36.1099999999999</v>
      </c>
    </row>
    <row r="164" spans="1:6" x14ac:dyDescent="0.3">
      <c r="A164" s="36">
        <v>486.52260780334399</v>
      </c>
      <c r="B164" s="36">
        <v>1.4562785593418901</v>
      </c>
      <c r="C164" s="36">
        <v>0</v>
      </c>
      <c r="D164" s="36">
        <v>486.52260780334399</v>
      </c>
      <c r="E164" s="36">
        <v>53.71</v>
      </c>
      <c r="F164" s="36">
        <v>36.0399999999999</v>
      </c>
    </row>
    <row r="165" spans="1:6" x14ac:dyDescent="0.3">
      <c r="A165" s="36">
        <v>489.52448582649203</v>
      </c>
      <c r="B165" s="36">
        <v>1.4562785593418901</v>
      </c>
      <c r="C165" s="36">
        <v>0</v>
      </c>
      <c r="D165" s="36">
        <v>489.52448582649203</v>
      </c>
      <c r="E165" s="36">
        <v>53.829999999999899</v>
      </c>
      <c r="F165" s="36">
        <v>35.7899999999999</v>
      </c>
    </row>
    <row r="166" spans="1:6" x14ac:dyDescent="0.3">
      <c r="A166" s="36">
        <v>492.523427486419</v>
      </c>
      <c r="B166" s="36">
        <v>1.4562785593418901</v>
      </c>
      <c r="C166" s="36">
        <v>0</v>
      </c>
      <c r="D166" s="36">
        <v>492.523427486419</v>
      </c>
      <c r="E166" s="36">
        <v>53.96</v>
      </c>
      <c r="F166" s="36">
        <v>35.82</v>
      </c>
    </row>
    <row r="167" spans="1:6" x14ac:dyDescent="0.3">
      <c r="A167" s="36">
        <v>495.524040222167</v>
      </c>
      <c r="B167" s="36">
        <v>1.4562785593418901</v>
      </c>
      <c r="C167" s="36">
        <v>0</v>
      </c>
      <c r="D167" s="36">
        <v>495.524040222167</v>
      </c>
      <c r="E167" s="36">
        <v>53.869999999999898</v>
      </c>
      <c r="F167" s="36">
        <v>35.630000000000003</v>
      </c>
    </row>
    <row r="168" spans="1:6" x14ac:dyDescent="0.3">
      <c r="A168" s="36">
        <v>498.52592658996502</v>
      </c>
      <c r="B168" s="36">
        <v>1.4562785593418901</v>
      </c>
      <c r="C168" s="36">
        <v>0</v>
      </c>
      <c r="D168" s="36">
        <v>498.52592658996502</v>
      </c>
      <c r="E168" s="36">
        <v>53.74</v>
      </c>
      <c r="F168" s="36">
        <v>35.53</v>
      </c>
    </row>
    <row r="169" spans="1:6" x14ac:dyDescent="0.3">
      <c r="A169" s="36">
        <v>501.52780008316</v>
      </c>
      <c r="B169" s="36">
        <v>1.4562785593418901</v>
      </c>
      <c r="C169" s="36">
        <v>0</v>
      </c>
      <c r="D169" s="36">
        <v>501.52780008316</v>
      </c>
      <c r="E169" s="36">
        <v>53.479999999999897</v>
      </c>
      <c r="F169" s="36">
        <v>35.4299999999999</v>
      </c>
    </row>
    <row r="170" spans="1:6" x14ac:dyDescent="0.3">
      <c r="A170" s="36">
        <v>504.52971553802399</v>
      </c>
      <c r="B170" s="36">
        <v>1.4562785593418901</v>
      </c>
      <c r="C170" s="36">
        <v>0</v>
      </c>
      <c r="D170" s="36">
        <v>504.52971553802399</v>
      </c>
      <c r="E170" s="36">
        <v>53.159999999999897</v>
      </c>
      <c r="F170" s="36">
        <v>35.340000000000003</v>
      </c>
    </row>
    <row r="171" spans="1:6" x14ac:dyDescent="0.3">
      <c r="A171" s="36">
        <v>507.53154444694502</v>
      </c>
      <c r="B171" s="36">
        <v>1.4562785593418901</v>
      </c>
      <c r="C171" s="36">
        <v>0</v>
      </c>
      <c r="D171" s="36">
        <v>507.53154444694502</v>
      </c>
      <c r="E171" s="36">
        <v>52.799999999999898</v>
      </c>
      <c r="F171" s="36">
        <v>35.24</v>
      </c>
    </row>
    <row r="172" spans="1:6" x14ac:dyDescent="0.3">
      <c r="A172" s="36">
        <v>510.53342676162703</v>
      </c>
      <c r="B172" s="36">
        <v>1.4562785593418901</v>
      </c>
      <c r="C172" s="36">
        <v>0</v>
      </c>
      <c r="D172" s="36">
        <v>510.53342676162703</v>
      </c>
      <c r="E172" s="36">
        <v>52.579999999999899</v>
      </c>
      <c r="F172" s="36">
        <v>35.1099999999999</v>
      </c>
    </row>
    <row r="173" spans="1:6" x14ac:dyDescent="0.3">
      <c r="A173" s="36">
        <v>513.53528881072896</v>
      </c>
      <c r="B173" s="36">
        <v>1.4562785593418901</v>
      </c>
      <c r="C173" s="36">
        <v>0</v>
      </c>
      <c r="D173" s="36">
        <v>513.53528881072896</v>
      </c>
      <c r="E173" s="36">
        <v>52.189999999999898</v>
      </c>
      <c r="F173" s="36">
        <v>35.009999999999899</v>
      </c>
    </row>
    <row r="174" spans="1:6" x14ac:dyDescent="0.3">
      <c r="A174" s="36">
        <v>516.53719449043194</v>
      </c>
      <c r="B174" s="36">
        <v>1.4562785593418901</v>
      </c>
      <c r="C174" s="36">
        <v>0</v>
      </c>
      <c r="D174" s="36">
        <v>516.53719449043194</v>
      </c>
      <c r="E174" s="36">
        <v>51.77</v>
      </c>
      <c r="F174" s="36">
        <v>34.85</v>
      </c>
    </row>
    <row r="175" spans="1:6" x14ac:dyDescent="0.3">
      <c r="A175" s="36">
        <v>519.53905510902405</v>
      </c>
      <c r="B175" s="36">
        <v>1.4562785593418901</v>
      </c>
      <c r="C175" s="36">
        <v>0</v>
      </c>
      <c r="D175" s="36">
        <v>519.53905510902405</v>
      </c>
      <c r="E175" s="36">
        <v>51.479999999999897</v>
      </c>
      <c r="F175" s="36">
        <v>34.53</v>
      </c>
    </row>
    <row r="176" spans="1:6" x14ac:dyDescent="0.3">
      <c r="A176" s="36">
        <v>522.53928208351101</v>
      </c>
      <c r="B176" s="36">
        <v>1.4562785593418901</v>
      </c>
      <c r="C176" s="36">
        <v>0</v>
      </c>
      <c r="D176" s="36">
        <v>522.53928208351101</v>
      </c>
      <c r="E176" s="36">
        <v>51.13</v>
      </c>
      <c r="F176" s="36">
        <v>34.5</v>
      </c>
    </row>
    <row r="177" spans="1:6" x14ac:dyDescent="0.3">
      <c r="A177" s="36">
        <v>525.53950381278901</v>
      </c>
      <c r="B177" s="36">
        <v>1.4562785593418901</v>
      </c>
      <c r="C177" s="36">
        <v>0</v>
      </c>
      <c r="D177" s="36">
        <v>525.53950381278901</v>
      </c>
      <c r="E177" s="36">
        <v>50.64</v>
      </c>
      <c r="F177" s="36">
        <v>34.399999999999899</v>
      </c>
    </row>
    <row r="178" spans="1:6" x14ac:dyDescent="0.3">
      <c r="A178" s="36">
        <v>528.54138016700699</v>
      </c>
      <c r="B178" s="36">
        <v>1.4562785593418901</v>
      </c>
      <c r="C178" s="36">
        <v>0</v>
      </c>
      <c r="D178" s="36">
        <v>528.54138016700699</v>
      </c>
      <c r="E178" s="36">
        <v>50.219999999999899</v>
      </c>
      <c r="F178" s="36">
        <v>34.369999999999898</v>
      </c>
    </row>
    <row r="179" spans="1:6" x14ac:dyDescent="0.3">
      <c r="A179" s="36">
        <v>531.54295802116303</v>
      </c>
      <c r="B179" s="36">
        <v>1.4562785593418901</v>
      </c>
      <c r="C179" s="36">
        <v>0</v>
      </c>
      <c r="D179" s="36">
        <v>531.54295802116303</v>
      </c>
      <c r="E179" s="36">
        <v>49.899999999999899</v>
      </c>
      <c r="F179" s="36">
        <v>34.299999999999898</v>
      </c>
    </row>
    <row r="180" spans="1:6" x14ac:dyDescent="0.3">
      <c r="A180" s="36">
        <v>534.54511928558304</v>
      </c>
      <c r="B180" s="36">
        <v>1.4562785593418901</v>
      </c>
      <c r="C180" s="36">
        <v>0</v>
      </c>
      <c r="D180" s="36">
        <v>534.54511928558304</v>
      </c>
      <c r="E180" s="36">
        <v>49.2899999999999</v>
      </c>
      <c r="F180" s="36">
        <v>34.14</v>
      </c>
    </row>
    <row r="181" spans="1:6" x14ac:dyDescent="0.3">
      <c r="A181" s="36">
        <v>537.54700469970703</v>
      </c>
      <c r="B181" s="36">
        <v>1.4562785593418901</v>
      </c>
      <c r="C181" s="36">
        <v>0</v>
      </c>
      <c r="D181" s="36">
        <v>537.54700469970703</v>
      </c>
      <c r="E181" s="36">
        <v>48.899999999999899</v>
      </c>
      <c r="F181" s="36">
        <v>34.009999999999899</v>
      </c>
    </row>
    <row r="182" spans="1:6" x14ac:dyDescent="0.3">
      <c r="A182" s="36">
        <v>540.54887247085503</v>
      </c>
      <c r="B182" s="36">
        <v>71.736705629173699</v>
      </c>
      <c r="C182" s="36">
        <v>0</v>
      </c>
      <c r="D182" s="36">
        <v>540.54887247085503</v>
      </c>
      <c r="E182" s="36">
        <v>48.479999999999897</v>
      </c>
      <c r="F182" s="36">
        <v>33.92</v>
      </c>
    </row>
    <row r="183" spans="1:6" x14ac:dyDescent="0.3">
      <c r="A183" s="36">
        <v>543.55075454711903</v>
      </c>
      <c r="B183" s="36">
        <v>71.736705629173699</v>
      </c>
      <c r="C183" s="36">
        <v>0</v>
      </c>
      <c r="D183" s="36">
        <v>543.55075454711903</v>
      </c>
      <c r="E183" s="36">
        <v>48.03</v>
      </c>
      <c r="F183" s="36">
        <v>33.759999999999899</v>
      </c>
    </row>
    <row r="184" spans="1:6" x14ac:dyDescent="0.3">
      <c r="A184" s="36">
        <v>546.55262279510396</v>
      </c>
      <c r="B184" s="36">
        <v>71.736705629173699</v>
      </c>
      <c r="C184" s="36">
        <v>0</v>
      </c>
      <c r="D184" s="36">
        <v>546.55262279510396</v>
      </c>
      <c r="E184" s="36">
        <v>47.74</v>
      </c>
      <c r="F184" s="36">
        <v>33.630000000000003</v>
      </c>
    </row>
    <row r="185" spans="1:6" x14ac:dyDescent="0.3">
      <c r="A185" s="36">
        <v>549.55451226234402</v>
      </c>
      <c r="B185" s="36">
        <v>71.736705629173699</v>
      </c>
      <c r="C185" s="36">
        <v>0</v>
      </c>
      <c r="D185" s="36">
        <v>549.55451226234402</v>
      </c>
      <c r="E185" s="36">
        <v>47.49</v>
      </c>
      <c r="F185" s="36">
        <v>33.56</v>
      </c>
    </row>
    <row r="186" spans="1:6" x14ac:dyDescent="0.3">
      <c r="A186" s="36">
        <v>552.55422258376996</v>
      </c>
      <c r="B186" s="36">
        <v>71.736705629173699</v>
      </c>
      <c r="C186" s="36">
        <v>0</v>
      </c>
      <c r="D186" s="36">
        <v>552.55422258376996</v>
      </c>
      <c r="E186" s="36">
        <v>47.2899999999999</v>
      </c>
      <c r="F186" s="36">
        <v>33.340000000000003</v>
      </c>
    </row>
    <row r="187" spans="1:6" x14ac:dyDescent="0.3">
      <c r="A187" s="36">
        <v>555.55447697639397</v>
      </c>
      <c r="B187" s="36">
        <v>71.736705629173699</v>
      </c>
      <c r="C187" s="36">
        <v>0</v>
      </c>
      <c r="D187" s="36">
        <v>555.55447697639397</v>
      </c>
      <c r="E187" s="36">
        <v>47.32</v>
      </c>
      <c r="F187" s="36">
        <v>33.369999999999898</v>
      </c>
    </row>
    <row r="188" spans="1:6" x14ac:dyDescent="0.3">
      <c r="A188" s="36">
        <v>558.55635666847195</v>
      </c>
      <c r="B188" s="36">
        <v>71.736705629173699</v>
      </c>
      <c r="C188" s="36">
        <v>0</v>
      </c>
      <c r="D188" s="36">
        <v>558.55635666847195</v>
      </c>
      <c r="E188" s="36">
        <v>47.2899999999999</v>
      </c>
      <c r="F188" s="36">
        <v>33.14</v>
      </c>
    </row>
    <row r="189" spans="1:6" x14ac:dyDescent="0.3">
      <c r="A189" s="36">
        <v>561.55754113197304</v>
      </c>
      <c r="B189" s="36">
        <v>71.736705629173699</v>
      </c>
      <c r="C189" s="36">
        <v>0</v>
      </c>
      <c r="D189" s="36">
        <v>561.55754113197304</v>
      </c>
      <c r="E189" s="36">
        <v>47.32</v>
      </c>
      <c r="F189" s="36">
        <v>33.079999999999899</v>
      </c>
    </row>
    <row r="190" spans="1:6" x14ac:dyDescent="0.3">
      <c r="A190" s="36">
        <v>564.559422969818</v>
      </c>
      <c r="B190" s="36">
        <v>71.736705629173699</v>
      </c>
      <c r="C190" s="36">
        <v>0</v>
      </c>
      <c r="D190" s="36">
        <v>564.559422969818</v>
      </c>
      <c r="E190" s="36">
        <v>47.39</v>
      </c>
      <c r="F190" s="36">
        <v>32.950000000000003</v>
      </c>
    </row>
    <row r="191" spans="1:6" x14ac:dyDescent="0.3">
      <c r="A191" s="36">
        <v>567.561287164688</v>
      </c>
      <c r="B191" s="36">
        <v>71.736705629173699</v>
      </c>
      <c r="C191" s="36">
        <v>0</v>
      </c>
      <c r="D191" s="36">
        <v>567.561287164688</v>
      </c>
      <c r="E191" s="36">
        <v>47.579999999999899</v>
      </c>
      <c r="F191" s="36">
        <v>32.729999999999897</v>
      </c>
    </row>
    <row r="192" spans="1:6" x14ac:dyDescent="0.3">
      <c r="A192" s="36">
        <v>570.56316304206803</v>
      </c>
      <c r="B192" s="36">
        <v>71.736705629173699</v>
      </c>
      <c r="C192" s="36">
        <v>0</v>
      </c>
      <c r="D192" s="36">
        <v>570.56316304206803</v>
      </c>
      <c r="E192" s="36">
        <v>47.81</v>
      </c>
      <c r="F192" s="36">
        <v>32.759999999999899</v>
      </c>
    </row>
    <row r="193" spans="1:6" x14ac:dyDescent="0.3">
      <c r="A193" s="36">
        <v>573.56503748893704</v>
      </c>
      <c r="B193" s="36">
        <v>71.736705629173699</v>
      </c>
      <c r="C193" s="36">
        <v>0</v>
      </c>
      <c r="D193" s="36">
        <v>573.56503748893704</v>
      </c>
      <c r="E193" s="36">
        <v>47.969999999999899</v>
      </c>
      <c r="F193" s="36">
        <v>32.689999999999898</v>
      </c>
    </row>
    <row r="194" spans="1:6" x14ac:dyDescent="0.3">
      <c r="A194" s="36">
        <v>576.56797409057594</v>
      </c>
      <c r="B194" s="36">
        <v>71.736705629173699</v>
      </c>
      <c r="C194" s="36">
        <v>0</v>
      </c>
      <c r="D194" s="36">
        <v>576.56797409057594</v>
      </c>
      <c r="E194" s="36">
        <v>48.07</v>
      </c>
      <c r="F194" s="36">
        <v>32.53</v>
      </c>
    </row>
    <row r="195" spans="1:6" x14ac:dyDescent="0.3">
      <c r="A195" s="36">
        <v>579.57092785835198</v>
      </c>
      <c r="B195" s="36">
        <v>71.736705629173699</v>
      </c>
      <c r="C195" s="36">
        <v>0</v>
      </c>
      <c r="D195" s="36">
        <v>579.57092785835198</v>
      </c>
      <c r="E195" s="36">
        <v>48.3599999999999</v>
      </c>
      <c r="F195" s="36">
        <v>32.439999999999898</v>
      </c>
    </row>
    <row r="196" spans="1:6" x14ac:dyDescent="0.3">
      <c r="A196" s="36">
        <v>582.56852102279595</v>
      </c>
      <c r="B196" s="36">
        <v>71.736705629173699</v>
      </c>
      <c r="C196" s="36">
        <v>0</v>
      </c>
      <c r="D196" s="36">
        <v>582.56852102279595</v>
      </c>
      <c r="E196" s="36">
        <v>48.549999999999898</v>
      </c>
      <c r="F196" s="36">
        <v>32.439999999999898</v>
      </c>
    </row>
    <row r="197" spans="1:6" x14ac:dyDescent="0.3">
      <c r="A197" s="36">
        <v>585.568218946456</v>
      </c>
      <c r="B197" s="36">
        <v>71.736705629173699</v>
      </c>
      <c r="C197" s="36">
        <v>0</v>
      </c>
      <c r="D197" s="36">
        <v>585.568218946456</v>
      </c>
      <c r="E197" s="36">
        <v>48.649999999999899</v>
      </c>
      <c r="F197" s="36">
        <v>32.369999999999898</v>
      </c>
    </row>
    <row r="198" spans="1:6" x14ac:dyDescent="0.3">
      <c r="A198" s="36">
        <v>588.57103180885304</v>
      </c>
      <c r="B198" s="36">
        <v>71.736705629173699</v>
      </c>
      <c r="C198" s="36">
        <v>0</v>
      </c>
      <c r="D198" s="36">
        <v>588.57103180885304</v>
      </c>
      <c r="E198" s="36">
        <v>48.969999999999899</v>
      </c>
      <c r="F198" s="36">
        <v>32.21</v>
      </c>
    </row>
    <row r="199" spans="1:6" x14ac:dyDescent="0.3">
      <c r="A199" s="36">
        <v>591.56902265548695</v>
      </c>
      <c r="B199" s="36">
        <v>71.736705629173699</v>
      </c>
      <c r="C199" s="36">
        <v>0</v>
      </c>
      <c r="D199" s="36">
        <v>591.56902265548695</v>
      </c>
      <c r="E199" s="36">
        <v>49.229999999999897</v>
      </c>
      <c r="F199" s="36">
        <v>32.149999999999899</v>
      </c>
    </row>
    <row r="200" spans="1:6" x14ac:dyDescent="0.3">
      <c r="A200" s="36">
        <v>594.57120442390396</v>
      </c>
      <c r="B200" s="36">
        <v>71.736705629173699</v>
      </c>
      <c r="C200" s="36">
        <v>0</v>
      </c>
      <c r="D200" s="36">
        <v>594.57120442390396</v>
      </c>
      <c r="E200" s="36">
        <v>49.42</v>
      </c>
      <c r="F200" s="36">
        <v>32.020000000000003</v>
      </c>
    </row>
    <row r="201" spans="1:6" x14ac:dyDescent="0.3">
      <c r="A201" s="36">
        <v>597.57112526893604</v>
      </c>
      <c r="B201" s="36">
        <v>71.736705629173699</v>
      </c>
      <c r="C201" s="36">
        <v>0</v>
      </c>
      <c r="D201" s="36">
        <v>597.57112526893604</v>
      </c>
      <c r="E201" s="36">
        <v>49.6799999999999</v>
      </c>
      <c r="F201" s="36">
        <v>31.98</v>
      </c>
    </row>
    <row r="202" spans="1:6" x14ac:dyDescent="0.3">
      <c r="A202" s="36">
        <v>600.57271289825405</v>
      </c>
      <c r="B202" s="36">
        <v>85.100034079664397</v>
      </c>
      <c r="C202" s="36">
        <v>54.919994293643299</v>
      </c>
      <c r="D202" s="36">
        <v>600.57271289825405</v>
      </c>
      <c r="E202" s="36">
        <v>49.9299999999999</v>
      </c>
      <c r="F202" s="36">
        <v>31.9499999999999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DC24D-743A-4D82-8E81-9D35E9C95C24}">
  <dimension ref="A1:D8"/>
  <sheetViews>
    <sheetView tabSelected="1" zoomScale="96" zoomScaleNormal="70" workbookViewId="0">
      <selection activeCell="H11" sqref="H11"/>
    </sheetView>
  </sheetViews>
  <sheetFormatPr defaultRowHeight="14.4" x14ac:dyDescent="0.3"/>
  <cols>
    <col min="1" max="1" width="22.5546875" customWidth="1"/>
    <col min="2" max="2" width="9.5546875" customWidth="1"/>
    <col min="3" max="3" width="37.109375" customWidth="1"/>
    <col min="4" max="4" width="21.21875" customWidth="1"/>
    <col min="5" max="5" width="10.33203125" customWidth="1"/>
  </cols>
  <sheetData>
    <row r="1" spans="1:4" ht="15.6" thickBot="1" x14ac:dyDescent="0.35">
      <c r="A1" s="50" t="s">
        <v>80</v>
      </c>
      <c r="B1" s="1"/>
      <c r="C1" s="51" t="s">
        <v>81</v>
      </c>
      <c r="D1" s="37" t="s">
        <v>89</v>
      </c>
    </row>
    <row r="2" spans="1:4" ht="15.6" thickBot="1" x14ac:dyDescent="0.35">
      <c r="A2" s="52">
        <v>0.5</v>
      </c>
      <c r="B2" s="35" t="s">
        <v>90</v>
      </c>
      <c r="C2" s="53" t="s">
        <v>82</v>
      </c>
      <c r="D2" s="9">
        <f>COS(0.5)</f>
        <v>0.87758256189037276</v>
      </c>
    </row>
    <row r="3" spans="1:4" ht="15.6" thickBot="1" x14ac:dyDescent="0.35">
      <c r="A3" s="52">
        <v>30</v>
      </c>
      <c r="B3" s="35" t="s">
        <v>91</v>
      </c>
      <c r="C3" s="53" t="s">
        <v>83</v>
      </c>
      <c r="D3" s="9">
        <f>SIN(RADIANS(A3))</f>
        <v>0.49999999999999994</v>
      </c>
    </row>
    <row r="4" spans="1:4" ht="15.6" thickBot="1" x14ac:dyDescent="0.35">
      <c r="A4" s="52">
        <v>2</v>
      </c>
      <c r="C4" s="53" t="s">
        <v>84</v>
      </c>
      <c r="D4" s="9">
        <f>TAN(PI()/A4)</f>
        <v>1.6324552277619072E+16</v>
      </c>
    </row>
    <row r="5" spans="1:4" ht="15.6" thickBot="1" x14ac:dyDescent="0.35">
      <c r="A5" s="52">
        <v>5</v>
      </c>
      <c r="C5" s="53" t="s">
        <v>85</v>
      </c>
      <c r="D5" s="9">
        <f>MAX(2/(A5^(1/2)),(A5^2)/2,(A5^3)/3,((A5^2)+(A5^3))/5)</f>
        <v>41.666666666666664</v>
      </c>
    </row>
    <row r="6" spans="1:4" ht="15.6" thickBot="1" x14ac:dyDescent="0.35">
      <c r="A6" s="52">
        <v>25</v>
      </c>
      <c r="C6" s="53" t="s">
        <v>86</v>
      </c>
      <c r="D6" s="9">
        <f>FACT(A6)</f>
        <v>1.5511210043330984E+25</v>
      </c>
    </row>
    <row r="7" spans="1:4" ht="15.6" thickBot="1" x14ac:dyDescent="0.35">
      <c r="A7" s="52">
        <v>0.5</v>
      </c>
      <c r="C7" s="53" t="s">
        <v>87</v>
      </c>
      <c r="D7" s="9">
        <f>IF(A7&lt;1,A7^2,SIN(PI()*A7/2))</f>
        <v>0.25</v>
      </c>
    </row>
    <row r="8" spans="1:4" ht="15.6" thickBot="1" x14ac:dyDescent="0.35">
      <c r="A8" s="52">
        <v>4.9989999999999997</v>
      </c>
      <c r="C8" s="53" t="s">
        <v>88</v>
      </c>
      <c r="D8" s="9">
        <f>INT(A8)</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HW1_P1</vt:lpstr>
      <vt:lpstr>HW1_P2</vt:lpstr>
      <vt:lpstr>HW1_P3(A)</vt:lpstr>
      <vt:lpstr>HW1_P3(B)</vt:lpstr>
      <vt:lpstr>HW1_P4</vt:lpstr>
      <vt:lpstr>HW1_P5</vt:lpstr>
      <vt:lpstr>A12N2</vt:lpstr>
      <vt:lpstr>ABC</vt:lpstr>
      <vt:lpstr>B11_N2</vt:lpstr>
      <vt:lpstr>cp</vt:lpstr>
      <vt:lpstr>D11N2</vt:lpstr>
      <vt:lpstr>Delta_T</vt:lpstr>
      <vt:lpstr>E11N2</vt:lpstr>
      <vt:lpstr>F11N2</vt:lpstr>
      <vt:lpstr>G11N2</vt:lpstr>
      <vt:lpstr>h</vt:lpstr>
      <vt:lpstr>H11N2</vt:lpstr>
      <vt:lpstr>I11N2</vt:lpstr>
      <vt:lpstr>J11N2</vt:lpstr>
      <vt:lpstr>k</vt:lpstr>
      <vt:lpstr>K11N2</vt:lpstr>
      <vt:lpstr>L</vt:lpstr>
      <vt:lpstr>L11N2</vt:lpstr>
      <vt:lpstr>L12N2</vt:lpstr>
      <vt:lpstr>M11N2</vt:lpstr>
      <vt:lpstr>mu</vt:lpstr>
      <vt:lpstr>n1_N2</vt:lpstr>
      <vt:lpstr>N11N2</vt:lpstr>
      <vt:lpstr>Nu</vt:lpstr>
      <vt:lpstr>O11N2</vt:lpstr>
      <vt:lpstr>P_1</vt:lpstr>
      <vt:lpstr>P1_N2</vt:lpstr>
      <vt:lpstr>P11N2</vt:lpstr>
      <vt:lpstr>Pr</vt:lpstr>
      <vt:lpstr>Q11N2</vt:lpstr>
      <vt:lpstr>R_N2</vt:lpstr>
      <vt:lpstr>Re</vt:lpstr>
      <vt:lpstr>rho</vt:lpstr>
      <vt:lpstr>S11N2</vt:lpstr>
      <vt:lpstr>T_1</vt:lpstr>
      <vt:lpstr>T_2</vt:lpstr>
      <vt:lpstr>T1_N2</vt:lpstr>
      <vt:lpstr>T11N2</vt:lpstr>
      <vt:lpstr>HW1_P4!tclab</vt:lpstr>
      <vt:lpstr>U11N2</vt:lpstr>
      <vt:lpstr>v</vt:lpstr>
      <vt:lpstr>V1_N2</vt:lpstr>
      <vt:lpstr>V11N2</vt:lpstr>
      <vt:lpstr>X_3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Hook</dc:creator>
  <cp:lastModifiedBy>Jeremy Hook</cp:lastModifiedBy>
  <dcterms:created xsi:type="dcterms:W3CDTF">2020-01-09T01:41:57Z</dcterms:created>
  <dcterms:modified xsi:type="dcterms:W3CDTF">2020-01-15T22:18:46Z</dcterms:modified>
</cp:coreProperties>
</file>