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 Locator" sheetId="1" r:id="rId4"/>
    <sheet state="visible" name="MS15.5 CG Locato" sheetId="2" r:id="rId5"/>
    <sheet state="visible" name="MS16 Calcs" sheetId="3" r:id="rId6"/>
    <sheet state="visible" name="MSXV FSU and RSU Loading Calc" sheetId="4" r:id="rId7"/>
    <sheet state="visible" name="MS15.5 Rear Hub Calcs" sheetId="5" r:id="rId8"/>
  </sheets>
  <definedNames/>
  <calcPr/>
  <extLst>
    <ext uri="GoogleSheetsCustomDataVersion2">
      <go:sheetsCustomData xmlns:go="http://customooxmlschemas.google.com/" r:id="rId9" roundtripDataChecksum="ZreNdJ8yLZXXZi7g1rrNVHOemT+PObUhEe9+Xgk+wsQ="/>
    </ext>
  </extLst>
</workbook>
</file>

<file path=xl/sharedStrings.xml><?xml version="1.0" encoding="utf-8"?>
<sst xmlns="http://schemas.openxmlformats.org/spreadsheetml/2006/main" count="320" uniqueCount="82">
  <si>
    <t>Object</t>
  </si>
  <si>
    <t>Mass (kg)</t>
  </si>
  <si>
    <t>Z-Coord</t>
  </si>
  <si>
    <t>Y-Coord</t>
  </si>
  <si>
    <t>Chassis</t>
  </si>
  <si>
    <t>Aero</t>
  </si>
  <si>
    <t>Battery Box</t>
  </si>
  <si>
    <t>Driver</t>
  </si>
  <si>
    <t>CG</t>
  </si>
  <si>
    <t>Front Contact Patch</t>
  </si>
  <si>
    <t>Rear Contact Patch</t>
  </si>
  <si>
    <t>CG Height From Ground</t>
  </si>
  <si>
    <t>Min Values</t>
  </si>
  <si>
    <t>Rescaled</t>
  </si>
  <si>
    <t xml:space="preserve">  Front Contact Patch</t>
  </si>
  <si>
    <t xml:space="preserve">  Rear Contact Patch</t>
  </si>
  <si>
    <t xml:space="preserve">  CG</t>
  </si>
  <si>
    <t>CG Dist from Front</t>
  </si>
  <si>
    <t>CG Dist from Rear</t>
  </si>
  <si>
    <t>Front Weight</t>
  </si>
  <si>
    <t>Rear Weight</t>
  </si>
  <si>
    <t>Motors</t>
  </si>
  <si>
    <t>Misc</t>
  </si>
  <si>
    <t>Wheelbase</t>
  </si>
  <si>
    <t>meters</t>
  </si>
  <si>
    <t>Track</t>
  </si>
  <si>
    <t>Wheel Diameter</t>
  </si>
  <si>
    <t>CG Distance</t>
  </si>
  <si>
    <t xml:space="preserve">   from Front</t>
  </si>
  <si>
    <t>Top View</t>
  </si>
  <si>
    <t xml:space="preserve">   from Rear</t>
  </si>
  <si>
    <t xml:space="preserve">   from Left</t>
  </si>
  <si>
    <t>Front of Car</t>
  </si>
  <si>
    <t xml:space="preserve">   from Right</t>
  </si>
  <si>
    <t xml:space="preserve">   from Axle (Vertical)</t>
  </si>
  <si>
    <t>Estimated Mass</t>
  </si>
  <si>
    <t>kg</t>
  </si>
  <si>
    <t>Active Loading Case</t>
  </si>
  <si>
    <t>Rest</t>
  </si>
  <si>
    <t>Loading Cases</t>
  </si>
  <si>
    <t>Acceleration (fractions of G)</t>
  </si>
  <si>
    <t>Proportions</t>
  </si>
  <si>
    <t>Wheels</t>
  </si>
  <si>
    <t>Mass</t>
  </si>
  <si>
    <t>Case Title</t>
  </si>
  <si>
    <t>Forwards</t>
  </si>
  <si>
    <t>Left</t>
  </si>
  <si>
    <t xml:space="preserve">Front </t>
  </si>
  <si>
    <t>Back</t>
  </si>
  <si>
    <t>Right</t>
  </si>
  <si>
    <t>FL</t>
  </si>
  <si>
    <t>FR</t>
  </si>
  <si>
    <t>BL</t>
  </si>
  <si>
    <t>BR</t>
  </si>
  <si>
    <t>Accel + Right Turn</t>
  </si>
  <si>
    <t>Accel + Left Turn</t>
  </si>
  <si>
    <t>Braking + Right Turn</t>
  </si>
  <si>
    <t>Braking + Left Turn</t>
  </si>
  <si>
    <t xml:space="preserve">Front Left Loading - FSU </t>
  </si>
  <si>
    <t>X (Steer)</t>
  </si>
  <si>
    <t>Y (Bump)</t>
  </si>
  <si>
    <t>Z (Brake)</t>
  </si>
  <si>
    <t>Safety Factor</t>
  </si>
  <si>
    <t>(note: all cases have 2G bump applied --&gt;)</t>
  </si>
  <si>
    <t>Back Left Loading - RSU</t>
  </si>
  <si>
    <t>Translated  Coords -&gt; RSU</t>
  </si>
  <si>
    <t>Moments about mounting plate</t>
  </si>
  <si>
    <t>#</t>
  </si>
  <si>
    <t>RSU Final Loading Case</t>
  </si>
  <si>
    <t>x</t>
  </si>
  <si>
    <t>y</t>
  </si>
  <si>
    <t>z</t>
  </si>
  <si>
    <t>Include Safety Factor?</t>
  </si>
  <si>
    <t>Yes</t>
  </si>
  <si>
    <t>mm</t>
  </si>
  <si>
    <t>m</t>
  </si>
  <si>
    <t>Contact path x</t>
  </si>
  <si>
    <t>^^ in terms of simming hub components, this moment in y is actually zero, since all this moment will be resisted by the brake caliper</t>
  </si>
  <si>
    <t>Contact patch y</t>
  </si>
  <si>
    <t>Contact patch z</t>
  </si>
  <si>
    <t>No</t>
  </si>
  <si>
    <t>(^^ bad! Don't use this coord convention in MS16!)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</si>
</sst>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sz val="11.0"/>
      <color theme="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2" fontId="1" numFmtId="0" xfId="0" applyFont="1"/>
    <xf borderId="0" fillId="0" fontId="2" numFmtId="164" xfId="0" applyAlignment="1" applyFont="1" applyNumberFormat="1">
      <alignment horizontal="center"/>
    </xf>
    <xf borderId="1" fillId="0" fontId="2" numFmtId="0" xfId="0" applyBorder="1" applyFont="1"/>
    <xf borderId="2" fillId="0" fontId="2" numFmtId="0" xfId="0" applyBorder="1" applyFont="1"/>
    <xf borderId="0" fillId="0" fontId="2" numFmtId="2" xfId="0" applyAlignment="1" applyFont="1" applyNumberFormat="1">
      <alignment horizontal="center"/>
    </xf>
    <xf borderId="3" fillId="3" fontId="2" numFmtId="0" xfId="0" applyAlignment="1" applyBorder="1" applyFill="1" applyFont="1">
      <alignment horizontal="center"/>
    </xf>
    <xf borderId="4" fillId="0" fontId="3" numFmtId="0" xfId="0" applyBorder="1" applyFont="1"/>
    <xf borderId="5" fillId="0" fontId="2" numFmtId="0" xfId="0" applyAlignment="1" applyBorder="1" applyFont="1">
      <alignment horizontal="left"/>
    </xf>
    <xf borderId="6" fillId="0" fontId="3" numFmtId="0" xfId="0" applyBorder="1" applyFont="1"/>
    <xf borderId="0" fillId="0" fontId="2" numFmtId="0" xfId="0" applyAlignment="1" applyFont="1">
      <alignment horizontal="center" readingOrder="0"/>
    </xf>
    <xf borderId="7" fillId="4" fontId="2" numFmtId="0" xfId="0" applyBorder="1" applyFill="1" applyFont="1"/>
    <xf borderId="7" fillId="5" fontId="2" numFmtId="0" xfId="0" applyBorder="1" applyFill="1" applyFont="1"/>
    <xf borderId="7" fillId="6" fontId="2" numFmtId="0" xfId="0" applyAlignment="1" applyBorder="1" applyFill="1" applyFont="1">
      <alignment horizontal="center"/>
    </xf>
    <xf borderId="7" fillId="7" fontId="2" numFmtId="0" xfId="0" applyAlignment="1" applyBorder="1" applyFill="1" applyFont="1">
      <alignment horizontal="center"/>
    </xf>
    <xf borderId="0" fillId="0" fontId="1" numFmtId="165" xfId="0" applyFont="1" applyNumberFormat="1"/>
    <xf borderId="8" fillId="8" fontId="4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7" fillId="8" fontId="4" numFmtId="0" xfId="0" applyAlignment="1" applyBorder="1" applyFont="1">
      <alignment horizontal="center"/>
    </xf>
    <xf borderId="11" fillId="9" fontId="2" numFmtId="0" xfId="0" applyAlignment="1" applyBorder="1" applyFill="1" applyFont="1">
      <alignment horizontal="center" shrinkToFit="0" wrapText="1"/>
    </xf>
    <xf borderId="12" fillId="0" fontId="2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7" fillId="10" fontId="2" numFmtId="0" xfId="0" applyBorder="1" applyFill="1" applyFont="1"/>
    <xf borderId="7" fillId="10" fontId="2" numFmtId="2" xfId="0" applyAlignment="1" applyBorder="1" applyFont="1" applyNumberFormat="1">
      <alignment horizontal="center"/>
    </xf>
    <xf borderId="8" fillId="11" fontId="4" numFmtId="0" xfId="0" applyAlignment="1" applyBorder="1" applyFill="1" applyFont="1">
      <alignment horizontal="center"/>
    </xf>
    <xf borderId="7" fillId="11" fontId="4" numFmtId="0" xfId="0" applyAlignment="1" applyBorder="1" applyFont="1">
      <alignment horizontal="center"/>
    </xf>
    <xf borderId="0" fillId="0" fontId="2" numFmtId="2" xfId="0" applyFont="1" applyNumberFormat="1"/>
    <xf borderId="0" fillId="0" fontId="1" numFmtId="2" xfId="0" applyFont="1" applyNumberFormat="1"/>
    <xf borderId="0" fillId="12" fontId="1" numFmtId="2" xfId="0" applyFill="1" applyFont="1" applyNumberFormat="1"/>
    <xf borderId="15" fillId="0" fontId="3" numFmtId="0" xfId="0" applyBorder="1" applyFont="1"/>
    <xf borderId="16" fillId="0" fontId="3" numFmtId="0" xfId="0" applyBorder="1" applyFont="1"/>
    <xf borderId="7" fillId="10" fontId="2" numFmtId="2" xfId="0" applyBorder="1" applyFont="1" applyNumberFormat="1"/>
    <xf borderId="7" fillId="10" fontId="2" numFmtId="164" xfId="0" applyBorder="1" applyFont="1" applyNumberFormat="1"/>
    <xf borderId="7" fillId="12" fontId="2" numFmtId="2" xfId="0" applyBorder="1" applyFont="1" applyNumberFormat="1"/>
    <xf borderId="0" fillId="0" fontId="1" numFmtId="0" xfId="0" applyAlignment="1" applyFont="1">
      <alignment readingOrder="0" shrinkToFit="0" wrapText="1"/>
    </xf>
    <xf borderId="1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36</xdr:row>
      <xdr:rowOff>47625</xdr:rowOff>
    </xdr:from>
    <xdr:ext cx="4086225" cy="2524125"/>
    <xdr:grpSp>
      <xdr:nvGrpSpPr>
        <xdr:cNvPr id="2" name="Shape 2"/>
        <xdr:cNvGrpSpPr/>
      </xdr:nvGrpSpPr>
      <xdr:grpSpPr>
        <a:xfrm>
          <a:off x="3302888" y="2517938"/>
          <a:ext cx="4086225" cy="2524125"/>
          <a:chOff x="3302888" y="2517938"/>
          <a:chExt cx="4086225" cy="2524125"/>
        </a:xfrm>
      </xdr:grpSpPr>
      <xdr:grpSp>
        <xdr:nvGrpSpPr>
          <xdr:cNvPr id="3" name="Shape 3"/>
          <xdr:cNvGrpSpPr/>
        </xdr:nvGrpSpPr>
        <xdr:grpSpPr>
          <a:xfrm>
            <a:off x="3302888" y="2517938"/>
            <a:ext cx="4086225" cy="2524125"/>
            <a:chOff x="6362700" y="4127075"/>
            <a:chExt cx="4868863" cy="3055772"/>
          </a:xfrm>
        </xdr:grpSpPr>
        <xdr:sp>
          <xdr:nvSpPr>
            <xdr:cNvPr id="4" name="Shape 4"/>
            <xdr:cNvSpPr/>
          </xdr:nvSpPr>
          <xdr:spPr>
            <a:xfrm>
              <a:off x="6362700" y="4127075"/>
              <a:ext cx="4868850" cy="3055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6362700" y="4127075"/>
              <a:ext cx="4868863" cy="305577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10220325" y="6381750"/>
              <a:ext cx="800212" cy="695422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20</xdr:col>
      <xdr:colOff>28575</xdr:colOff>
      <xdr:row>36</xdr:row>
      <xdr:rowOff>19050</xdr:rowOff>
    </xdr:from>
    <xdr:ext cx="3219450" cy="2409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238125</xdr:colOff>
      <xdr:row>38</xdr:row>
      <xdr:rowOff>95250</xdr:rowOff>
    </xdr:from>
    <xdr:ext cx="2447925" cy="24193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36</xdr:row>
      <xdr:rowOff>47625</xdr:rowOff>
    </xdr:from>
    <xdr:ext cx="4086225" cy="2524125"/>
    <xdr:grpSp>
      <xdr:nvGrpSpPr>
        <xdr:cNvPr id="2" name="Shape 2"/>
        <xdr:cNvGrpSpPr/>
      </xdr:nvGrpSpPr>
      <xdr:grpSpPr>
        <a:xfrm>
          <a:off x="3302888" y="2517938"/>
          <a:ext cx="4086225" cy="2524125"/>
          <a:chOff x="3302888" y="2517938"/>
          <a:chExt cx="4086225" cy="2524125"/>
        </a:xfrm>
      </xdr:grpSpPr>
      <xdr:grpSp>
        <xdr:nvGrpSpPr>
          <xdr:cNvPr id="3" name="Shape 3"/>
          <xdr:cNvGrpSpPr/>
        </xdr:nvGrpSpPr>
        <xdr:grpSpPr>
          <a:xfrm>
            <a:off x="3302888" y="2517938"/>
            <a:ext cx="4086225" cy="2524125"/>
            <a:chOff x="6362700" y="4127075"/>
            <a:chExt cx="4868863" cy="3055772"/>
          </a:xfrm>
        </xdr:grpSpPr>
        <xdr:sp>
          <xdr:nvSpPr>
            <xdr:cNvPr id="4" name="Shape 4"/>
            <xdr:cNvSpPr/>
          </xdr:nvSpPr>
          <xdr:spPr>
            <a:xfrm>
              <a:off x="6362700" y="4127075"/>
              <a:ext cx="4868850" cy="3055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6362700" y="4127075"/>
              <a:ext cx="4868863" cy="305577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10220325" y="6381750"/>
              <a:ext cx="800212" cy="695422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20</xdr:col>
      <xdr:colOff>28575</xdr:colOff>
      <xdr:row>36</xdr:row>
      <xdr:rowOff>19050</xdr:rowOff>
    </xdr:from>
    <xdr:ext cx="3219450" cy="2409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238125</xdr:colOff>
      <xdr:row>38</xdr:row>
      <xdr:rowOff>95250</xdr:rowOff>
    </xdr:from>
    <xdr:ext cx="2447925" cy="24193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36</xdr:row>
      <xdr:rowOff>47625</xdr:rowOff>
    </xdr:from>
    <xdr:ext cx="4086225" cy="2524125"/>
    <xdr:grpSp>
      <xdr:nvGrpSpPr>
        <xdr:cNvPr id="2" name="Shape 2"/>
        <xdr:cNvGrpSpPr/>
      </xdr:nvGrpSpPr>
      <xdr:grpSpPr>
        <a:xfrm>
          <a:off x="3302888" y="2517938"/>
          <a:ext cx="4086225" cy="2524125"/>
          <a:chOff x="3302888" y="2517938"/>
          <a:chExt cx="4086225" cy="2524125"/>
        </a:xfrm>
      </xdr:grpSpPr>
      <xdr:grpSp>
        <xdr:nvGrpSpPr>
          <xdr:cNvPr id="3" name="Shape 3"/>
          <xdr:cNvGrpSpPr/>
        </xdr:nvGrpSpPr>
        <xdr:grpSpPr>
          <a:xfrm>
            <a:off x="3302888" y="2517938"/>
            <a:ext cx="4086225" cy="2524125"/>
            <a:chOff x="6362700" y="4127075"/>
            <a:chExt cx="4868863" cy="3055772"/>
          </a:xfrm>
        </xdr:grpSpPr>
        <xdr:sp>
          <xdr:nvSpPr>
            <xdr:cNvPr id="4" name="Shape 4"/>
            <xdr:cNvSpPr/>
          </xdr:nvSpPr>
          <xdr:spPr>
            <a:xfrm>
              <a:off x="6362700" y="4127075"/>
              <a:ext cx="4868850" cy="3055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6362700" y="4127075"/>
              <a:ext cx="4868863" cy="305577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10220325" y="6381750"/>
              <a:ext cx="800212" cy="695422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20</xdr:col>
      <xdr:colOff>28575</xdr:colOff>
      <xdr:row>36</xdr:row>
      <xdr:rowOff>19050</xdr:rowOff>
    </xdr:from>
    <xdr:ext cx="3219450" cy="2409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238125</xdr:colOff>
      <xdr:row>38</xdr:row>
      <xdr:rowOff>95250</xdr:rowOff>
    </xdr:from>
    <xdr:ext cx="2447925" cy="24193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45.0</v>
      </c>
      <c r="C2" s="1">
        <v>29.91</v>
      </c>
      <c r="D2" s="1">
        <v>-337.5</v>
      </c>
    </row>
    <row r="3">
      <c r="A3" s="1" t="s">
        <v>5</v>
      </c>
      <c r="B3" s="1">
        <v>60.0</v>
      </c>
      <c r="C3" s="1">
        <v>-243.25</v>
      </c>
      <c r="D3" s="1">
        <v>-420.48</v>
      </c>
    </row>
    <row r="4">
      <c r="A4" s="1" t="s">
        <v>6</v>
      </c>
      <c r="B4" s="1">
        <v>30.0</v>
      </c>
      <c r="C4" s="1">
        <v>-849.5</v>
      </c>
      <c r="D4" s="1">
        <v>-568.5</v>
      </c>
    </row>
    <row r="5">
      <c r="A5" s="1" t="s">
        <v>7</v>
      </c>
      <c r="B5" s="1">
        <v>80.0</v>
      </c>
      <c r="C5" s="1">
        <v>-67.37</v>
      </c>
      <c r="D5" s="1">
        <v>-434.42</v>
      </c>
    </row>
    <row r="7">
      <c r="A7" s="1" t="s">
        <v>8</v>
      </c>
      <c r="B7" s="1">
        <f>SUM(B2:B5)</f>
        <v>215</v>
      </c>
      <c r="C7" s="1">
        <f t="shared" ref="C7:D7" si="1">(C2*$B$2+C3*$B$3+C4*$B$4+C5*$B$5)/$B$7</f>
        <v>-205.2262791</v>
      </c>
      <c r="D7" s="1">
        <f t="shared" si="1"/>
        <v>-428.9530233</v>
      </c>
    </row>
    <row r="10">
      <c r="A10" s="1" t="s">
        <v>9</v>
      </c>
      <c r="C10" s="1">
        <v>1018.0</v>
      </c>
      <c r="D10" s="1">
        <v>-790.87</v>
      </c>
    </row>
    <row r="11">
      <c r="A11" s="1" t="s">
        <v>10</v>
      </c>
      <c r="C11" s="1">
        <v>-882.0</v>
      </c>
      <c r="D11" s="1">
        <v>-790.87</v>
      </c>
    </row>
    <row r="13">
      <c r="A13" s="1" t="s">
        <v>11</v>
      </c>
      <c r="D13" s="1">
        <f>ABS(D11-D7)</f>
        <v>361.9169767</v>
      </c>
    </row>
    <row r="15">
      <c r="A15" s="1" t="s">
        <v>12</v>
      </c>
      <c r="C15" s="1">
        <f>MIN(C7,C10,C11)</f>
        <v>-882</v>
      </c>
    </row>
    <row r="16">
      <c r="A16" s="1" t="s">
        <v>13</v>
      </c>
    </row>
    <row r="17">
      <c r="A17" s="1" t="s">
        <v>14</v>
      </c>
      <c r="C17" s="1">
        <f>C10-C15</f>
        <v>1900</v>
      </c>
    </row>
    <row r="18">
      <c r="A18" s="1" t="s">
        <v>15</v>
      </c>
      <c r="C18" s="1">
        <f>C11-C15</f>
        <v>0</v>
      </c>
    </row>
    <row r="19">
      <c r="A19" s="1" t="s">
        <v>16</v>
      </c>
      <c r="C19" s="1">
        <f>C7-C11</f>
        <v>676.7737209</v>
      </c>
    </row>
    <row r="21" ht="15.75" customHeight="1">
      <c r="A21" s="1" t="s">
        <v>17</v>
      </c>
      <c r="C21" s="1">
        <f>C17-C19</f>
        <v>1223.226279</v>
      </c>
    </row>
    <row r="22" ht="15.75" customHeight="1">
      <c r="A22" s="1" t="s">
        <v>18</v>
      </c>
      <c r="C22" s="1">
        <f>C19-C18</f>
        <v>676.7737209</v>
      </c>
    </row>
    <row r="23" ht="15.75" customHeight="1"/>
    <row r="24" ht="15.75" customHeight="1">
      <c r="A24" s="1" t="s">
        <v>19</v>
      </c>
      <c r="C24" s="1">
        <f>(C19-C18)/(C17-C18)</f>
        <v>0.3561966952</v>
      </c>
    </row>
    <row r="25" ht="15.75" customHeight="1">
      <c r="A25" s="1" t="s">
        <v>20</v>
      </c>
      <c r="C25" s="1">
        <f>ABS(C19-C17)/(C17-C18)</f>
        <v>0.6438033048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50.0</v>
      </c>
      <c r="C2" s="1">
        <v>29.91</v>
      </c>
      <c r="D2" s="1">
        <v>-337.5</v>
      </c>
    </row>
    <row r="3">
      <c r="A3" s="1" t="s">
        <v>5</v>
      </c>
      <c r="B3" s="2">
        <v>120.0</v>
      </c>
      <c r="C3" s="1">
        <v>-243.25</v>
      </c>
      <c r="D3" s="1">
        <v>-420.48</v>
      </c>
    </row>
    <row r="4">
      <c r="A4" s="1" t="s">
        <v>6</v>
      </c>
      <c r="B4" s="2">
        <v>35.0</v>
      </c>
      <c r="C4" s="1">
        <v>-849.5</v>
      </c>
      <c r="D4" s="1">
        <v>-568.5</v>
      </c>
    </row>
    <row r="5">
      <c r="A5" s="1" t="s">
        <v>7</v>
      </c>
      <c r="B5" s="1">
        <v>80.0</v>
      </c>
      <c r="C5" s="1">
        <v>-67.37</v>
      </c>
      <c r="D5" s="1">
        <v>-434.42</v>
      </c>
    </row>
    <row r="6">
      <c r="A6" s="2" t="s">
        <v>21</v>
      </c>
      <c r="B6" s="2">
        <v>22.0</v>
      </c>
    </row>
    <row r="7">
      <c r="A7" s="2" t="s">
        <v>22</v>
      </c>
      <c r="B7" s="2"/>
    </row>
    <row r="8">
      <c r="A8" s="2"/>
      <c r="B8" s="2"/>
    </row>
    <row r="9">
      <c r="A9" s="1" t="s">
        <v>8</v>
      </c>
      <c r="B9" s="1">
        <f>SUM(B2:B6)</f>
        <v>307</v>
      </c>
      <c r="C9" s="1">
        <f t="shared" ref="C9:D9" si="1">(C2*$B$2+C3*$B$3+C4*$B$4+C5*$B$5)/$B$9</f>
        <v>-204.6143322</v>
      </c>
      <c r="D9" s="1">
        <f t="shared" si="1"/>
        <v>-397.3410423</v>
      </c>
    </row>
    <row r="12">
      <c r="A12" s="1" t="s">
        <v>9</v>
      </c>
      <c r="C12" s="1">
        <v>1018.0</v>
      </c>
      <c r="D12" s="1">
        <v>-790.87</v>
      </c>
    </row>
    <row r="13">
      <c r="A13" s="1" t="s">
        <v>10</v>
      </c>
      <c r="C13" s="1">
        <v>-882.0</v>
      </c>
      <c r="D13" s="1">
        <v>-790.87</v>
      </c>
    </row>
    <row r="15">
      <c r="A15" s="1" t="s">
        <v>11</v>
      </c>
      <c r="D15" s="1">
        <f>ABS(D13-D9)</f>
        <v>393.5289577</v>
      </c>
    </row>
    <row r="17">
      <c r="A17" s="1" t="s">
        <v>12</v>
      </c>
      <c r="C17" s="1">
        <f>MIN(C9,C12,C13)</f>
        <v>-882</v>
      </c>
    </row>
    <row r="18">
      <c r="A18" s="1" t="s">
        <v>13</v>
      </c>
    </row>
    <row r="19">
      <c r="A19" s="1" t="s">
        <v>14</v>
      </c>
      <c r="C19" s="1">
        <f>C12-C17</f>
        <v>1900</v>
      </c>
    </row>
    <row r="20">
      <c r="A20" s="1" t="s">
        <v>15</v>
      </c>
      <c r="C20" s="1">
        <f>C13-C17</f>
        <v>0</v>
      </c>
    </row>
    <row r="21">
      <c r="A21" s="1" t="s">
        <v>16</v>
      </c>
      <c r="C21" s="1">
        <f>C9-C13</f>
        <v>677.3856678</v>
      </c>
    </row>
    <row r="23" ht="15.75" customHeight="1">
      <c r="A23" s="1" t="s">
        <v>17</v>
      </c>
      <c r="C23" s="1">
        <f>C19-C21</f>
        <v>1222.614332</v>
      </c>
    </row>
    <row r="24" ht="15.75" customHeight="1">
      <c r="A24" s="1" t="s">
        <v>18</v>
      </c>
      <c r="C24" s="1">
        <f>C21-C20</f>
        <v>677.3856678</v>
      </c>
    </row>
    <row r="25" ht="15.75" customHeight="1"/>
    <row r="26" ht="15.75" customHeight="1">
      <c r="A26" s="1" t="s">
        <v>19</v>
      </c>
      <c r="C26" s="1">
        <f>(C21-C20)/(C19-C20)</f>
        <v>0.3565187725</v>
      </c>
    </row>
    <row r="27" ht="15.75" customHeight="1">
      <c r="A27" s="1" t="s">
        <v>20</v>
      </c>
      <c r="C27" s="1">
        <f>ABS(C21-C19)/(C19-C20)</f>
        <v>0.6434812275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0"/>
    <col customWidth="1" min="3" max="3" width="13.29"/>
    <col customWidth="1" min="4" max="4" width="4.29"/>
    <col customWidth="1" min="5" max="8" width="11.0"/>
    <col customWidth="1" min="9" max="9" width="4.29"/>
    <col customWidth="1" min="10" max="13" width="12.0"/>
    <col customWidth="1" min="14" max="14" width="4.29"/>
    <col customWidth="1" min="15" max="19" width="12.0"/>
    <col customWidth="1" min="20" max="20" width="6.29"/>
    <col customWidth="1" min="21" max="21" width="6.43"/>
    <col customWidth="1" min="22" max="22" width="21.43"/>
    <col customWidth="1" min="23" max="23" width="9.43"/>
    <col customWidth="1" min="24" max="24" width="10.0"/>
    <col customWidth="1" min="25" max="25" width="8.71"/>
    <col customWidth="1" min="26" max="26" width="3.0"/>
    <col customWidth="1" min="27" max="27" width="11.86"/>
    <col customWidth="1" min="28" max="28" width="22.43"/>
    <col customWidth="1" min="29" max="36" width="8.71"/>
  </cols>
  <sheetData>
    <row r="1">
      <c r="A1" s="1" t="s">
        <v>23</v>
      </c>
      <c r="B1" s="2">
        <v>2.6</v>
      </c>
      <c r="C1" s="1" t="s">
        <v>24</v>
      </c>
    </row>
    <row r="2">
      <c r="A2" s="1" t="s">
        <v>25</v>
      </c>
      <c r="B2" s="2">
        <v>0.85</v>
      </c>
      <c r="C2" s="1" t="s">
        <v>24</v>
      </c>
    </row>
    <row r="3">
      <c r="A3" s="1" t="s">
        <v>26</v>
      </c>
      <c r="B3" s="1">
        <v>0.5584</v>
      </c>
      <c r="C3" s="1" t="s">
        <v>24</v>
      </c>
    </row>
    <row r="4">
      <c r="A4" s="1" t="s">
        <v>27</v>
      </c>
    </row>
    <row r="5">
      <c r="A5" s="1" t="s">
        <v>28</v>
      </c>
      <c r="B5" s="3">
        <v>1.56</v>
      </c>
      <c r="C5" s="1" t="s">
        <v>24</v>
      </c>
      <c r="AG5" s="4" t="s">
        <v>29</v>
      </c>
    </row>
    <row r="6">
      <c r="A6" s="1" t="s">
        <v>30</v>
      </c>
      <c r="B6" s="3">
        <v>1.04</v>
      </c>
      <c r="C6" s="1" t="s">
        <v>24</v>
      </c>
    </row>
    <row r="7">
      <c r="A7" s="1" t="s">
        <v>31</v>
      </c>
      <c r="B7" s="5">
        <f>B2/2</f>
        <v>0.425</v>
      </c>
      <c r="C7" s="1" t="s">
        <v>24</v>
      </c>
      <c r="AH7" s="4" t="s">
        <v>32</v>
      </c>
    </row>
    <row r="8">
      <c r="A8" s="1" t="s">
        <v>33</v>
      </c>
      <c r="B8" s="5">
        <f>B2-B7</f>
        <v>0.425</v>
      </c>
      <c r="C8" s="1" t="s">
        <v>24</v>
      </c>
    </row>
    <row r="9">
      <c r="A9" s="1" t="s">
        <v>34</v>
      </c>
      <c r="B9" s="5">
        <f>'CG Locator'!D13/1000-B3/2</f>
        <v>0.08271697674</v>
      </c>
      <c r="C9" s="1" t="s">
        <v>24</v>
      </c>
      <c r="AF9" s="6">
        <f t="array" ref="AF9">XLOOKUP($P$12,'MS16 Calcs'!$A$16:$A$20,'MS16 Calcs'!$J$16:$J$20)</f>
        <v>0.2</v>
      </c>
      <c r="AG9" s="7"/>
      <c r="AH9" s="8"/>
      <c r="AI9" s="7"/>
      <c r="AJ9" s="6">
        <f t="array" ref="AJ9">XLOOKUP($P$12,'MS16 Calcs'!$A$16:$A$20,'MS16 Calcs'!$K$16:$K$20)</f>
        <v>0.2</v>
      </c>
    </row>
    <row r="10">
      <c r="A10" s="1" t="s">
        <v>35</v>
      </c>
      <c r="B10" s="1">
        <v>300.0</v>
      </c>
      <c r="C10" s="1" t="s">
        <v>36</v>
      </c>
      <c r="AF10" s="9">
        <f t="array" ref="AF10">XLOOKUP($P$12,'MS16 Calcs'!$A$16:$A$20,'MS16 Calcs'!$O$16:$O$20)</f>
        <v>60</v>
      </c>
      <c r="AG10" s="8"/>
      <c r="AI10" s="8"/>
      <c r="AJ10" s="9">
        <f t="array" ref="AJ10">XLOOKUP($P$12,'MS16 Calcs'!$A$16:$A$20,'MS16 Calcs'!$P$16:$P$20)</f>
        <v>60</v>
      </c>
    </row>
    <row r="11">
      <c r="P11" s="10" t="s">
        <v>37</v>
      </c>
      <c r="Q11" s="11"/>
    </row>
    <row r="12">
      <c r="P12" s="12" t="s">
        <v>38</v>
      </c>
      <c r="Q12" s="13"/>
    </row>
    <row r="14">
      <c r="A14" s="1" t="s">
        <v>39</v>
      </c>
      <c r="B14" s="14" t="s">
        <v>40</v>
      </c>
      <c r="E14" s="4" t="s">
        <v>41</v>
      </c>
      <c r="J14" s="4" t="s">
        <v>42</v>
      </c>
      <c r="O14" s="4" t="s">
        <v>43</v>
      </c>
      <c r="S14" s="4"/>
    </row>
    <row r="15">
      <c r="A15" s="1" t="s">
        <v>44</v>
      </c>
      <c r="B15" s="4" t="s">
        <v>45</v>
      </c>
      <c r="C15" s="4" t="s">
        <v>46</v>
      </c>
      <c r="E15" s="15" t="s">
        <v>47</v>
      </c>
      <c r="F15" s="15" t="s">
        <v>48</v>
      </c>
      <c r="G15" s="16" t="s">
        <v>46</v>
      </c>
      <c r="H15" s="16" t="s">
        <v>49</v>
      </c>
      <c r="J15" s="17" t="s">
        <v>50</v>
      </c>
      <c r="K15" s="17" t="s">
        <v>51</v>
      </c>
      <c r="L15" s="17" t="s">
        <v>52</v>
      </c>
      <c r="M15" s="17" t="s">
        <v>53</v>
      </c>
      <c r="O15" s="18" t="s">
        <v>50</v>
      </c>
      <c r="P15" s="18" t="s">
        <v>51</v>
      </c>
      <c r="Q15" s="18" t="s">
        <v>52</v>
      </c>
      <c r="R15" s="18" t="s">
        <v>53</v>
      </c>
      <c r="S15" s="4"/>
      <c r="AF15" s="6">
        <f t="array" ref="AF15">XLOOKUP($P$12,'MS16 Calcs'!$A$16:$A$20,'MS16 Calcs'!$L$16:$L$20)</f>
        <v>0.3</v>
      </c>
      <c r="AG15" s="7"/>
      <c r="AH15" s="8"/>
      <c r="AI15" s="7"/>
      <c r="AJ15" s="6">
        <f t="array" ref="AJ15">XLOOKUP($P$12,'MS16 Calcs'!$A$16:$A$20,'MS16 Calcs'!$M$16:$M$20)</f>
        <v>0.3</v>
      </c>
    </row>
    <row r="16">
      <c r="A16" s="1" t="s">
        <v>38</v>
      </c>
      <c r="B16" s="1">
        <v>0.0</v>
      </c>
      <c r="C16" s="1">
        <v>0.0</v>
      </c>
      <c r="E16" s="19">
        <f t="shared" ref="E16:E20" si="2">($B$6-B16*$B$9)/($B$5+$B$6)</f>
        <v>0.4</v>
      </c>
      <c r="F16" s="19">
        <f t="shared" ref="F16:F20" si="3">1-E16</f>
        <v>0.6</v>
      </c>
      <c r="G16" s="19">
        <f t="shared" ref="G16:G20" si="4">($B$8-C16*$B$9)/($B$7+$B$8)</f>
        <v>0.5</v>
      </c>
      <c r="H16" s="19">
        <f t="shared" ref="H16:H20" si="5">1-G16</f>
        <v>0.5</v>
      </c>
      <c r="J16" s="1">
        <f t="shared" ref="J16:J20" si="6">E16*G16</f>
        <v>0.2</v>
      </c>
      <c r="K16" s="1">
        <f t="shared" ref="K16:K20" si="7">E16*H16</f>
        <v>0.2</v>
      </c>
      <c r="L16" s="1">
        <f t="shared" ref="L16:L20" si="8">F16*G16</f>
        <v>0.3</v>
      </c>
      <c r="M16" s="1">
        <f t="shared" ref="M16:M20" si="9">F16*H16</f>
        <v>0.3</v>
      </c>
      <c r="O16" s="1">
        <f t="shared" ref="O16:R16" si="1">J16*$B$10</f>
        <v>60</v>
      </c>
      <c r="P16" s="1">
        <f t="shared" si="1"/>
        <v>60</v>
      </c>
      <c r="Q16" s="1">
        <f t="shared" si="1"/>
        <v>90</v>
      </c>
      <c r="R16" s="1">
        <f t="shared" si="1"/>
        <v>90</v>
      </c>
      <c r="AF16" s="9">
        <f t="array" ref="AF16">XLOOKUP($P$12,'MS16 Calcs'!$A$16:$A$20,'MS16 Calcs'!$Q$16:$Q$20)</f>
        <v>90</v>
      </c>
      <c r="AG16" s="8"/>
      <c r="AI16" s="8"/>
      <c r="AJ16" s="9">
        <f t="array" ref="AJ16">XLOOKUP($P$12,'MS16 Calcs'!$A$16:$A$20,'MS16 Calcs'!$R$16:$R$20)</f>
        <v>90</v>
      </c>
    </row>
    <row r="17">
      <c r="A17" s="1" t="s">
        <v>54</v>
      </c>
      <c r="B17" s="1">
        <v>0.5</v>
      </c>
      <c r="C17" s="1">
        <v>-1.0</v>
      </c>
      <c r="E17" s="19">
        <f t="shared" si="2"/>
        <v>0.3840928891</v>
      </c>
      <c r="F17" s="19">
        <f t="shared" si="3"/>
        <v>0.6159071109</v>
      </c>
      <c r="G17" s="19">
        <f t="shared" si="4"/>
        <v>0.5973140903</v>
      </c>
      <c r="H17" s="19">
        <f t="shared" si="5"/>
        <v>0.4026859097</v>
      </c>
      <c r="J17" s="1">
        <f t="shared" si="6"/>
        <v>0.2294240946</v>
      </c>
      <c r="K17" s="1">
        <f t="shared" si="7"/>
        <v>0.1546687945</v>
      </c>
      <c r="L17" s="1">
        <f t="shared" si="8"/>
        <v>0.3678899957</v>
      </c>
      <c r="M17" s="1">
        <f t="shared" si="9"/>
        <v>0.2480171153</v>
      </c>
      <c r="O17" s="1">
        <f t="shared" ref="O17:R17" si="10">J17*$B$10</f>
        <v>68.82722839</v>
      </c>
      <c r="P17" s="1">
        <f t="shared" si="10"/>
        <v>46.40063834</v>
      </c>
      <c r="Q17" s="1">
        <f t="shared" si="10"/>
        <v>110.3669987</v>
      </c>
      <c r="R17" s="1">
        <f t="shared" si="10"/>
        <v>74.40513458</v>
      </c>
    </row>
    <row r="18">
      <c r="A18" s="1" t="s">
        <v>55</v>
      </c>
      <c r="B18" s="1">
        <v>0.5</v>
      </c>
      <c r="C18" s="1">
        <v>1.0</v>
      </c>
      <c r="E18" s="19">
        <f t="shared" si="2"/>
        <v>0.3840928891</v>
      </c>
      <c r="F18" s="19">
        <f t="shared" si="3"/>
        <v>0.6159071109</v>
      </c>
      <c r="G18" s="19">
        <f t="shared" si="4"/>
        <v>0.4026859097</v>
      </c>
      <c r="H18" s="19">
        <f t="shared" si="5"/>
        <v>0.5973140903</v>
      </c>
      <c r="J18" s="1">
        <f t="shared" si="6"/>
        <v>0.1546687945</v>
      </c>
      <c r="K18" s="1">
        <f t="shared" si="7"/>
        <v>0.2294240946</v>
      </c>
      <c r="L18" s="1">
        <f t="shared" si="8"/>
        <v>0.2480171153</v>
      </c>
      <c r="M18" s="1">
        <f t="shared" si="9"/>
        <v>0.3678899957</v>
      </c>
      <c r="O18" s="1">
        <f t="shared" ref="O18:R18" si="11">J18*$B$10</f>
        <v>46.40063834</v>
      </c>
      <c r="P18" s="1">
        <f t="shared" si="11"/>
        <v>68.82722839</v>
      </c>
      <c r="Q18" s="1">
        <f t="shared" si="11"/>
        <v>74.40513458</v>
      </c>
      <c r="R18" s="1">
        <f t="shared" si="11"/>
        <v>110.3669987</v>
      </c>
    </row>
    <row r="19">
      <c r="A19" s="1" t="s">
        <v>56</v>
      </c>
      <c r="B19" s="1">
        <v>-1.0</v>
      </c>
      <c r="C19" s="1">
        <v>-1.0</v>
      </c>
      <c r="E19" s="19">
        <f t="shared" si="2"/>
        <v>0.4318142218</v>
      </c>
      <c r="F19" s="19">
        <f t="shared" si="3"/>
        <v>0.5681857782</v>
      </c>
      <c r="G19" s="19">
        <f t="shared" si="4"/>
        <v>0.5973140903</v>
      </c>
      <c r="H19" s="19">
        <f t="shared" si="5"/>
        <v>0.4026859097</v>
      </c>
      <c r="J19" s="1">
        <f t="shared" si="6"/>
        <v>0.2579287191</v>
      </c>
      <c r="K19" s="1">
        <f t="shared" si="7"/>
        <v>0.1738855027</v>
      </c>
      <c r="L19" s="1">
        <f t="shared" si="8"/>
        <v>0.3393853712</v>
      </c>
      <c r="M19" s="1">
        <f t="shared" si="9"/>
        <v>0.228800407</v>
      </c>
      <c r="O19" s="1">
        <f t="shared" ref="O19:R19" si="12">J19*$B$10</f>
        <v>77.37861572</v>
      </c>
      <c r="P19" s="1">
        <f t="shared" si="12"/>
        <v>52.16565082</v>
      </c>
      <c r="Q19" s="1">
        <f t="shared" si="12"/>
        <v>101.8156114</v>
      </c>
      <c r="R19" s="1">
        <f t="shared" si="12"/>
        <v>68.64012209</v>
      </c>
    </row>
    <row r="20">
      <c r="A20" s="1" t="s">
        <v>57</v>
      </c>
      <c r="B20" s="1">
        <v>-1.0</v>
      </c>
      <c r="C20" s="1">
        <v>1.0</v>
      </c>
      <c r="E20" s="19">
        <f t="shared" si="2"/>
        <v>0.4318142218</v>
      </c>
      <c r="F20" s="19">
        <f t="shared" si="3"/>
        <v>0.5681857782</v>
      </c>
      <c r="G20" s="19">
        <f t="shared" si="4"/>
        <v>0.4026859097</v>
      </c>
      <c r="H20" s="19">
        <f t="shared" si="5"/>
        <v>0.5973140903</v>
      </c>
      <c r="J20" s="1">
        <f t="shared" si="6"/>
        <v>0.1738855027</v>
      </c>
      <c r="K20" s="1">
        <f t="shared" si="7"/>
        <v>0.2579287191</v>
      </c>
      <c r="L20" s="1">
        <f t="shared" si="8"/>
        <v>0.228800407</v>
      </c>
      <c r="M20" s="1">
        <f t="shared" si="9"/>
        <v>0.3393853712</v>
      </c>
      <c r="O20" s="1">
        <f t="shared" ref="O20:R20" si="13">J20*$B$10</f>
        <v>52.16565082</v>
      </c>
      <c r="P20" s="1">
        <f t="shared" si="13"/>
        <v>77.37861572</v>
      </c>
      <c r="Q20" s="1">
        <f t="shared" si="13"/>
        <v>68.64012209</v>
      </c>
      <c r="R20" s="1">
        <f t="shared" si="13"/>
        <v>101.8156114</v>
      </c>
    </row>
    <row r="21" ht="15.75" customHeight="1"/>
    <row r="22" ht="15.75" customHeight="1">
      <c r="Q22" s="20" t="s">
        <v>58</v>
      </c>
      <c r="R22" s="21"/>
      <c r="S22" s="22"/>
    </row>
    <row r="23" ht="15.75" customHeight="1">
      <c r="O23" s="20" t="s">
        <v>39</v>
      </c>
      <c r="P23" s="22"/>
      <c r="Q23" s="23" t="s">
        <v>59</v>
      </c>
      <c r="R23" s="23" t="s">
        <v>60</v>
      </c>
      <c r="S23" s="23" t="s">
        <v>61</v>
      </c>
    </row>
    <row r="24" ht="15.75" customHeight="1">
      <c r="B24" s="24" t="s">
        <v>62</v>
      </c>
      <c r="C24" s="25">
        <v>2.0</v>
      </c>
      <c r="O24" s="1" t="s">
        <v>38</v>
      </c>
      <c r="Q24" s="9">
        <f t="shared" ref="Q24:Q28" si="14">IF($C$32=$B$40,O16*9.81*$C$24,O16*9.81)*C16</f>
        <v>0</v>
      </c>
      <c r="R24" s="9">
        <f t="shared" ref="R24:R28" si="15">IF($C$32=$B$40,O16*9.81*2*$C$24,O16*9.81*2)</f>
        <v>2354.4</v>
      </c>
      <c r="S24" s="9">
        <f t="shared" ref="S24:S28" si="16">IF($C$32=$B$40,O16*9.81*$C$24,O16*9.81)*B16</f>
        <v>0</v>
      </c>
    </row>
    <row r="25" ht="15.75" customHeight="1">
      <c r="B25" s="26"/>
      <c r="C25" s="27"/>
      <c r="O25" s="28" t="s">
        <v>54</v>
      </c>
      <c r="P25" s="28"/>
      <c r="Q25" s="29">
        <f t="shared" si="14"/>
        <v>-1350.390221</v>
      </c>
      <c r="R25" s="29">
        <f t="shared" si="15"/>
        <v>2700.780442</v>
      </c>
      <c r="S25" s="29">
        <f t="shared" si="16"/>
        <v>675.1951105</v>
      </c>
    </row>
    <row r="26" ht="15.75" customHeight="1">
      <c r="O26" s="1" t="s">
        <v>55</v>
      </c>
      <c r="Q26" s="9">
        <f t="shared" si="14"/>
        <v>910.3805242</v>
      </c>
      <c r="R26" s="9">
        <f t="shared" si="15"/>
        <v>1820.761048</v>
      </c>
      <c r="S26" s="9">
        <f t="shared" si="16"/>
        <v>455.1902621</v>
      </c>
    </row>
    <row r="27" ht="15.75" customHeight="1">
      <c r="K27" s="2" t="s">
        <v>63</v>
      </c>
      <c r="O27" s="28" t="s">
        <v>56</v>
      </c>
      <c r="P27" s="28"/>
      <c r="Q27" s="29">
        <f t="shared" si="14"/>
        <v>-1518.168441</v>
      </c>
      <c r="R27" s="29">
        <f t="shared" si="15"/>
        <v>3036.336881</v>
      </c>
      <c r="S27" s="29">
        <f t="shared" si="16"/>
        <v>-1518.168441</v>
      </c>
    </row>
    <row r="28" ht="15.75" customHeight="1">
      <c r="O28" s="1" t="s">
        <v>57</v>
      </c>
      <c r="Q28" s="9">
        <f t="shared" si="14"/>
        <v>1023.490069</v>
      </c>
      <c r="R28" s="9">
        <f t="shared" si="15"/>
        <v>2046.980138</v>
      </c>
      <c r="S28" s="9">
        <f t="shared" si="16"/>
        <v>-1023.490069</v>
      </c>
    </row>
    <row r="29" ht="15.75" customHeight="1"/>
    <row r="30" ht="15.75" customHeight="1">
      <c r="Q30" s="30" t="s">
        <v>64</v>
      </c>
      <c r="R30" s="21"/>
      <c r="S30" s="22"/>
      <c r="W30" s="1" t="s">
        <v>65</v>
      </c>
      <c r="AA30" s="1" t="s">
        <v>66</v>
      </c>
    </row>
    <row r="31" ht="15.75" customHeight="1">
      <c r="O31" s="30" t="s">
        <v>39</v>
      </c>
      <c r="P31" s="22"/>
      <c r="Q31" s="31" t="s">
        <v>59</v>
      </c>
      <c r="R31" s="31" t="s">
        <v>60</v>
      </c>
      <c r="S31" s="31" t="s">
        <v>61</v>
      </c>
      <c r="U31" s="31" t="s">
        <v>67</v>
      </c>
      <c r="V31" s="31" t="s">
        <v>68</v>
      </c>
      <c r="W31" s="31" t="s">
        <v>69</v>
      </c>
      <c r="X31" s="31" t="s">
        <v>70</v>
      </c>
      <c r="Y31" s="31" t="s">
        <v>71</v>
      </c>
      <c r="AA31" s="31" t="s">
        <v>69</v>
      </c>
      <c r="AB31" s="31" t="s">
        <v>70</v>
      </c>
      <c r="AC31" s="31" t="s">
        <v>71</v>
      </c>
    </row>
    <row r="32" ht="15.75" customHeight="1">
      <c r="B32" s="24" t="s">
        <v>72</v>
      </c>
      <c r="C32" s="25" t="s">
        <v>73</v>
      </c>
      <c r="O32" s="1" t="s">
        <v>38</v>
      </c>
      <c r="Q32" s="9">
        <f t="shared" ref="Q32:Q36" si="18">IF($C$32=$B$40,$Q16*9.81*$C$24,$Q16*9.81)*C16</f>
        <v>0</v>
      </c>
      <c r="R32" s="9">
        <f t="shared" ref="R32:R36" si="19">IF($C$32=$B$40,$Q16*9.81*2*$C$24,$Q16*9.81*2)</f>
        <v>3531.6</v>
      </c>
      <c r="S32" s="9">
        <f t="shared" ref="S32:S36" si="20">IF($C$32=$B$40,$Q16*9.81*$C$24,$Q16*9.81)*B16</f>
        <v>0</v>
      </c>
      <c r="U32" s="1">
        <v>1.0</v>
      </c>
      <c r="V32" s="1" t="str">
        <f t="shared" ref="V32:V36" si="21">O32</f>
        <v>Rest</v>
      </c>
      <c r="W32" s="32">
        <f t="shared" ref="W32:W36" si="22">S32</f>
        <v>0</v>
      </c>
      <c r="X32" s="32">
        <f t="shared" ref="X32:Y32" si="17">Q32</f>
        <v>0</v>
      </c>
      <c r="Y32" s="32">
        <f t="shared" si="17"/>
        <v>3531.6</v>
      </c>
      <c r="AA32" s="33">
        <f t="shared" ref="AA32:AA36" si="24">$C$38*Y32-$C$39*X32</f>
        <v>226.410876</v>
      </c>
      <c r="AB32" s="34">
        <f t="shared" ref="AB32:AB36" si="25">$C$39*W32-$C$37*Y32</f>
        <v>-10.665432</v>
      </c>
      <c r="AC32" s="33">
        <f t="shared" ref="AC32:AC36" si="26">$C$37*X32-$C$38*W32</f>
        <v>0</v>
      </c>
    </row>
    <row r="33" ht="15.75" customHeight="1">
      <c r="B33" s="35"/>
      <c r="C33" s="36"/>
      <c r="O33" s="28" t="s">
        <v>54</v>
      </c>
      <c r="P33" s="28"/>
      <c r="Q33" s="29">
        <f t="shared" si="18"/>
        <v>-2165.400514</v>
      </c>
      <c r="R33" s="29">
        <f t="shared" si="19"/>
        <v>4330.801029</v>
      </c>
      <c r="S33" s="29">
        <f t="shared" si="20"/>
        <v>1082.700257</v>
      </c>
      <c r="U33" s="28">
        <v>2.0</v>
      </c>
      <c r="V33" s="28" t="str">
        <f t="shared" si="21"/>
        <v>Accel + Right Turn</v>
      </c>
      <c r="W33" s="37">
        <f t="shared" si="22"/>
        <v>1082.700257</v>
      </c>
      <c r="X33" s="38">
        <f t="shared" ref="X33:Y33" si="23">Q33</f>
        <v>-2165.400514</v>
      </c>
      <c r="Y33" s="37">
        <f t="shared" si="23"/>
        <v>4330.801029</v>
      </c>
      <c r="Z33" s="28"/>
      <c r="AA33" s="37">
        <f t="shared" si="24"/>
        <v>-325.4163893</v>
      </c>
      <c r="AB33" s="39">
        <f t="shared" si="25"/>
        <v>-314.6110407</v>
      </c>
      <c r="AC33" s="37">
        <f t="shared" si="26"/>
        <v>-75.95142304</v>
      </c>
    </row>
    <row r="34" ht="15.75" customHeight="1">
      <c r="B34" s="26"/>
      <c r="C34" s="27"/>
      <c r="O34" s="1" t="s">
        <v>55</v>
      </c>
      <c r="Q34" s="9">
        <f t="shared" si="18"/>
        <v>1459.82874</v>
      </c>
      <c r="R34" s="9">
        <f t="shared" si="19"/>
        <v>2919.657481</v>
      </c>
      <c r="S34" s="9">
        <f t="shared" si="20"/>
        <v>729.9143702</v>
      </c>
      <c r="U34" s="1">
        <v>3.0</v>
      </c>
      <c r="V34" s="1" t="str">
        <f t="shared" si="21"/>
        <v>Accel + Left Turn</v>
      </c>
      <c r="W34" s="32">
        <f t="shared" si="22"/>
        <v>729.9143702</v>
      </c>
      <c r="X34" s="32">
        <f t="shared" ref="X34:Y34" si="27">Q34</f>
        <v>1459.82874</v>
      </c>
      <c r="Y34" s="32">
        <f t="shared" si="27"/>
        <v>2919.657481</v>
      </c>
      <c r="AA34" s="33">
        <f t="shared" si="24"/>
        <v>593.7415453</v>
      </c>
      <c r="AB34" s="34">
        <f t="shared" si="25"/>
        <v>-212.0985177</v>
      </c>
      <c r="AC34" s="33">
        <f t="shared" si="26"/>
        <v>-42.38612748</v>
      </c>
    </row>
    <row r="35" ht="15.75" customHeight="1">
      <c r="K35" s="2" t="s">
        <v>63</v>
      </c>
      <c r="O35" s="28" t="s">
        <v>56</v>
      </c>
      <c r="P35" s="28"/>
      <c r="Q35" s="29">
        <f t="shared" si="18"/>
        <v>-1997.622295</v>
      </c>
      <c r="R35" s="29">
        <f t="shared" si="19"/>
        <v>3995.24459</v>
      </c>
      <c r="S35" s="29">
        <f t="shared" si="20"/>
        <v>-1997.622295</v>
      </c>
      <c r="U35" s="28">
        <v>4.0</v>
      </c>
      <c r="V35" s="28" t="str">
        <f t="shared" si="21"/>
        <v>Braking + Right Turn</v>
      </c>
      <c r="W35" s="37">
        <f t="shared" si="22"/>
        <v>-1997.622295</v>
      </c>
      <c r="X35" s="37">
        <f t="shared" ref="X35:Y35" si="28">Q35</f>
        <v>-1997.622295</v>
      </c>
      <c r="Y35" s="37">
        <f t="shared" si="28"/>
        <v>3995.24459</v>
      </c>
      <c r="Z35" s="28"/>
      <c r="AA35" s="37">
        <f t="shared" si="24"/>
        <v>-300.2026785</v>
      </c>
      <c r="AB35" s="39">
        <f t="shared" si="25"/>
        <v>544.2721705</v>
      </c>
      <c r="AC35" s="37">
        <f t="shared" si="26"/>
        <v>122.034746</v>
      </c>
    </row>
    <row r="36" ht="15.75" customHeight="1">
      <c r="B36" s="1" t="s">
        <v>74</v>
      </c>
      <c r="C36" s="1" t="s">
        <v>75</v>
      </c>
      <c r="O36" s="1" t="s">
        <v>57</v>
      </c>
      <c r="Q36" s="9">
        <f t="shared" si="18"/>
        <v>1346.719195</v>
      </c>
      <c r="R36" s="9">
        <f t="shared" si="19"/>
        <v>2693.438391</v>
      </c>
      <c r="S36" s="9">
        <f t="shared" si="20"/>
        <v>-1346.719195</v>
      </c>
      <c r="U36" s="1">
        <v>5.0</v>
      </c>
      <c r="V36" s="1" t="str">
        <f t="shared" si="21"/>
        <v>Braking + Left Turn</v>
      </c>
      <c r="W36" s="32">
        <f t="shared" si="22"/>
        <v>-1346.719195</v>
      </c>
      <c r="X36" s="32">
        <f t="shared" ref="X36:Y36" si="29">Q36</f>
        <v>1346.719195</v>
      </c>
      <c r="Y36" s="32">
        <f t="shared" si="29"/>
        <v>2693.438391</v>
      </c>
      <c r="AA36" s="33">
        <f t="shared" si="24"/>
        <v>547.7376312</v>
      </c>
      <c r="AB36" s="34">
        <f t="shared" si="25"/>
        <v>366.927112</v>
      </c>
      <c r="AC36" s="33">
        <f t="shared" si="26"/>
        <v>90.40525959</v>
      </c>
    </row>
    <row r="37" ht="15.75" customHeight="1">
      <c r="A37" s="1" t="s">
        <v>76</v>
      </c>
      <c r="B37" s="1">
        <v>3.02</v>
      </c>
      <c r="C37" s="1">
        <f t="shared" ref="C37:C39" si="30">B37/1000</f>
        <v>0.00302</v>
      </c>
      <c r="AB37" s="40" t="s">
        <v>77</v>
      </c>
    </row>
    <row r="38" ht="15.75" customHeight="1">
      <c r="A38" s="1" t="s">
        <v>78</v>
      </c>
      <c r="B38" s="1">
        <v>64.11</v>
      </c>
      <c r="C38" s="1">
        <f t="shared" si="30"/>
        <v>0.06411</v>
      </c>
    </row>
    <row r="39" ht="15.75" customHeight="1">
      <c r="A39" s="1" t="s">
        <v>79</v>
      </c>
      <c r="B39" s="1">
        <v>-278.5</v>
      </c>
      <c r="C39" s="1">
        <f t="shared" si="30"/>
        <v>-0.2785</v>
      </c>
    </row>
    <row r="40" ht="15.75" customHeight="1">
      <c r="B40" s="1" t="s">
        <v>73</v>
      </c>
    </row>
    <row r="41" ht="15.75" customHeight="1">
      <c r="B41" s="1" t="s">
        <v>80</v>
      </c>
    </row>
    <row r="42" ht="15.75" customHeight="1"/>
    <row r="43" ht="15.75" customHeight="1"/>
    <row r="44" ht="15.75" customHeight="1"/>
    <row r="45" ht="15.75" customHeight="1">
      <c r="V45" s="2" t="s">
        <v>81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Q22:S22"/>
    <mergeCell ref="O23:P23"/>
    <mergeCell ref="B24:B25"/>
    <mergeCell ref="C24:C25"/>
    <mergeCell ref="Q30:S30"/>
    <mergeCell ref="O31:P31"/>
    <mergeCell ref="B32:B34"/>
    <mergeCell ref="C32:C34"/>
    <mergeCell ref="AG5:AI5"/>
    <mergeCell ref="P11:Q11"/>
    <mergeCell ref="P12:Q12"/>
    <mergeCell ref="B14:C14"/>
    <mergeCell ref="E14:H14"/>
    <mergeCell ref="J14:M14"/>
    <mergeCell ref="O14:R14"/>
  </mergeCells>
  <dataValidations>
    <dataValidation type="list" allowBlank="1" showErrorMessage="1" sqref="C32">
      <formula1>$B$40:$B$41</formula1>
    </dataValidation>
    <dataValidation type="list" allowBlank="1" showErrorMessage="1" sqref="P12">
      <formula1>$A$16:$A$20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0"/>
    <col customWidth="1" min="3" max="3" width="13.29"/>
    <col customWidth="1" min="4" max="4" width="4.29"/>
    <col customWidth="1" min="5" max="8" width="11.0"/>
    <col customWidth="1" min="9" max="9" width="4.29"/>
    <col customWidth="1" min="10" max="13" width="12.0"/>
    <col customWidth="1" min="14" max="14" width="4.29"/>
    <col customWidth="1" min="15" max="19" width="12.0"/>
    <col customWidth="1" min="20" max="20" width="6.29"/>
    <col customWidth="1" min="21" max="21" width="6.43"/>
    <col customWidth="1" min="22" max="22" width="21.43"/>
    <col customWidth="1" min="23" max="23" width="9.43"/>
    <col customWidth="1" min="24" max="24" width="10.0"/>
    <col customWidth="1" min="25" max="25" width="8.71"/>
    <col customWidth="1" min="26" max="26" width="3.0"/>
    <col customWidth="1" min="27" max="27" width="11.86"/>
    <col customWidth="1" min="28" max="28" width="22.43"/>
    <col customWidth="1" min="29" max="36" width="8.71"/>
  </cols>
  <sheetData>
    <row r="1">
      <c r="A1" s="1" t="s">
        <v>23</v>
      </c>
      <c r="B1" s="1">
        <v>1.9</v>
      </c>
      <c r="C1" s="1" t="s">
        <v>24</v>
      </c>
    </row>
    <row r="2">
      <c r="A2" s="1" t="s">
        <v>25</v>
      </c>
      <c r="B2" s="1">
        <v>0.95</v>
      </c>
      <c r="C2" s="1" t="s">
        <v>24</v>
      </c>
    </row>
    <row r="3">
      <c r="A3" s="1" t="s">
        <v>26</v>
      </c>
      <c r="B3" s="1">
        <v>0.5584</v>
      </c>
      <c r="C3" s="1" t="s">
        <v>24</v>
      </c>
    </row>
    <row r="4">
      <c r="A4" s="1" t="s">
        <v>27</v>
      </c>
    </row>
    <row r="5">
      <c r="A5" s="1" t="s">
        <v>28</v>
      </c>
      <c r="B5" s="1">
        <f>B1-B6</f>
        <v>1.223226279</v>
      </c>
      <c r="C5" s="1" t="s">
        <v>24</v>
      </c>
      <c r="AG5" s="4" t="s">
        <v>29</v>
      </c>
    </row>
    <row r="6">
      <c r="A6" s="1" t="s">
        <v>30</v>
      </c>
      <c r="B6" s="1">
        <f>'CG Locator'!C19/1000</f>
        <v>0.6767737209</v>
      </c>
      <c r="C6" s="1" t="s">
        <v>24</v>
      </c>
    </row>
    <row r="7">
      <c r="A7" s="1" t="s">
        <v>31</v>
      </c>
      <c r="B7" s="1">
        <f>B2/2</f>
        <v>0.475</v>
      </c>
      <c r="C7" s="1" t="s">
        <v>24</v>
      </c>
      <c r="AH7" s="4" t="s">
        <v>32</v>
      </c>
    </row>
    <row r="8">
      <c r="A8" s="1" t="s">
        <v>33</v>
      </c>
      <c r="B8" s="1">
        <f>B2-B7</f>
        <v>0.475</v>
      </c>
      <c r="C8" s="1" t="s">
        <v>24</v>
      </c>
    </row>
    <row r="9">
      <c r="A9" s="1" t="s">
        <v>34</v>
      </c>
      <c r="B9" s="1">
        <f>'CG Locator'!D13/1000-B3/2</f>
        <v>0.08271697674</v>
      </c>
      <c r="C9" s="1" t="s">
        <v>24</v>
      </c>
      <c r="AF9" s="6">
        <f t="array" ref="AF9">XLOOKUP($P$12,'MSXV FSU and RSU Loading Calc'!$A$16:$A$20,'MSXV FSU and RSU Loading Calc'!$J$16:$J$20)</f>
        <v>0.1780983476</v>
      </c>
      <c r="AG9" s="7"/>
      <c r="AH9" s="8"/>
      <c r="AI9" s="7"/>
      <c r="AJ9" s="6">
        <f t="array" ref="AJ9">XLOOKUP($P$12,'MSXV FSU and RSU Loading Calc'!$A$16:$A$20,'MSXV FSU and RSU Loading Calc'!$K$16:$K$20)</f>
        <v>0.1780983476</v>
      </c>
    </row>
    <row r="10">
      <c r="A10" s="1" t="s">
        <v>35</v>
      </c>
      <c r="B10" s="1">
        <v>300.0</v>
      </c>
      <c r="C10" s="1" t="s">
        <v>36</v>
      </c>
      <c r="AF10" s="9">
        <f t="array" ref="AF10">XLOOKUP($P$12,'MSXV FSU and RSU Loading Calc'!$A$16:$A$20,'MSXV FSU and RSU Loading Calc'!$O$16:$O$20)</f>
        <v>53.42950428</v>
      </c>
      <c r="AG10" s="8"/>
      <c r="AI10" s="8"/>
      <c r="AJ10" s="9">
        <f t="array" ref="AJ10">XLOOKUP($P$12,'MSXV FSU and RSU Loading Calc'!$A$16:$A$20,'MSXV FSU and RSU Loading Calc'!$P$16:$P$20)</f>
        <v>53.42950428</v>
      </c>
    </row>
    <row r="11">
      <c r="P11" s="10" t="s">
        <v>37</v>
      </c>
      <c r="Q11" s="11"/>
    </row>
    <row r="12">
      <c r="P12" s="12" t="s">
        <v>38</v>
      </c>
      <c r="Q12" s="13"/>
    </row>
    <row r="14">
      <c r="A14" s="1" t="s">
        <v>39</v>
      </c>
      <c r="B14" s="14" t="s">
        <v>40</v>
      </c>
      <c r="E14" s="4" t="s">
        <v>41</v>
      </c>
      <c r="J14" s="4" t="s">
        <v>42</v>
      </c>
      <c r="O14" s="4" t="s">
        <v>43</v>
      </c>
      <c r="S14" s="4"/>
    </row>
    <row r="15">
      <c r="A15" s="1" t="s">
        <v>44</v>
      </c>
      <c r="B15" s="4" t="s">
        <v>45</v>
      </c>
      <c r="C15" s="4" t="s">
        <v>46</v>
      </c>
      <c r="E15" s="15" t="s">
        <v>47</v>
      </c>
      <c r="F15" s="15" t="s">
        <v>48</v>
      </c>
      <c r="G15" s="16" t="s">
        <v>46</v>
      </c>
      <c r="H15" s="16" t="s">
        <v>49</v>
      </c>
      <c r="J15" s="17" t="s">
        <v>50</v>
      </c>
      <c r="K15" s="17" t="s">
        <v>51</v>
      </c>
      <c r="L15" s="17" t="s">
        <v>52</v>
      </c>
      <c r="M15" s="17" t="s">
        <v>53</v>
      </c>
      <c r="O15" s="18" t="s">
        <v>50</v>
      </c>
      <c r="P15" s="18" t="s">
        <v>51</v>
      </c>
      <c r="Q15" s="18" t="s">
        <v>52</v>
      </c>
      <c r="R15" s="18" t="s">
        <v>53</v>
      </c>
      <c r="S15" s="4"/>
      <c r="AF15" s="6">
        <f t="array" ref="AF15">XLOOKUP($P$12,'MSXV FSU and RSU Loading Calc'!$A$16:$A$20,'MSXV FSU and RSU Loading Calc'!$L$16:$L$20)</f>
        <v>0.3219016524</v>
      </c>
      <c r="AG15" s="7"/>
      <c r="AH15" s="8"/>
      <c r="AI15" s="7"/>
      <c r="AJ15" s="6">
        <f t="array" ref="AJ15">XLOOKUP($P$12,'MSXV FSU and RSU Loading Calc'!$A$16:$A$20,'MSXV FSU and RSU Loading Calc'!$M$16:$M$20)</f>
        <v>0.3219016524</v>
      </c>
    </row>
    <row r="16">
      <c r="A16" s="1" t="s">
        <v>38</v>
      </c>
      <c r="B16" s="1">
        <v>0.0</v>
      </c>
      <c r="C16" s="1">
        <v>0.0</v>
      </c>
      <c r="E16" s="19">
        <f t="shared" ref="E16:E20" si="2">($B$6-B16*$B$9)/($B$5+$B$6)</f>
        <v>0.3561966952</v>
      </c>
      <c r="F16" s="19">
        <f t="shared" ref="F16:F20" si="3">1-E16</f>
        <v>0.6438033048</v>
      </c>
      <c r="G16" s="19">
        <f t="shared" ref="G16:G20" si="4">($B$8-C16*$B$9)/($B$7+$B$8)</f>
        <v>0.5</v>
      </c>
      <c r="H16" s="19">
        <f t="shared" ref="H16:H20" si="5">1-G16</f>
        <v>0.5</v>
      </c>
      <c r="J16" s="1">
        <f t="shared" ref="J16:J20" si="6">E16*G16</f>
        <v>0.1780983476</v>
      </c>
      <c r="K16" s="1">
        <f t="shared" ref="K16:K20" si="7">E16*H16</f>
        <v>0.1780983476</v>
      </c>
      <c r="L16" s="1">
        <f t="shared" ref="L16:L20" si="8">F16*G16</f>
        <v>0.3219016524</v>
      </c>
      <c r="M16" s="1">
        <f t="shared" ref="M16:M20" si="9">F16*H16</f>
        <v>0.3219016524</v>
      </c>
      <c r="O16" s="1">
        <f t="shared" ref="O16:R16" si="1">J16*$B$10</f>
        <v>53.42950428</v>
      </c>
      <c r="P16" s="1">
        <f t="shared" si="1"/>
        <v>53.42950428</v>
      </c>
      <c r="Q16" s="1">
        <f t="shared" si="1"/>
        <v>96.57049572</v>
      </c>
      <c r="R16" s="1">
        <f t="shared" si="1"/>
        <v>96.57049572</v>
      </c>
      <c r="AF16" s="9">
        <f t="array" ref="AF16">XLOOKUP($P$12,'MSXV FSU and RSU Loading Calc'!$A$16:$A$20,'MSXV FSU and RSU Loading Calc'!$Q$16:$Q$20)</f>
        <v>96.57049572</v>
      </c>
      <c r="AG16" s="8"/>
      <c r="AI16" s="8"/>
      <c r="AJ16" s="9">
        <f t="array" ref="AJ16">XLOOKUP($P$12,'MSXV FSU and RSU Loading Calc'!$A$16:$A$20,'MSXV FSU and RSU Loading Calc'!$R$16:$R$20)</f>
        <v>96.57049572</v>
      </c>
    </row>
    <row r="17">
      <c r="A17" s="1" t="s">
        <v>54</v>
      </c>
      <c r="B17" s="1">
        <v>0.5</v>
      </c>
      <c r="C17" s="1">
        <v>-1.0</v>
      </c>
      <c r="E17" s="19">
        <f t="shared" si="2"/>
        <v>0.3344290698</v>
      </c>
      <c r="F17" s="19">
        <f t="shared" si="3"/>
        <v>0.6655709302</v>
      </c>
      <c r="G17" s="19">
        <f t="shared" si="4"/>
        <v>0.5870705018</v>
      </c>
      <c r="H17" s="19">
        <f t="shared" si="5"/>
        <v>0.4129294982</v>
      </c>
      <c r="J17" s="1">
        <f t="shared" si="6"/>
        <v>0.1963334418</v>
      </c>
      <c r="K17" s="1">
        <f t="shared" si="7"/>
        <v>0.138095628</v>
      </c>
      <c r="L17" s="1">
        <f t="shared" si="8"/>
        <v>0.39073706</v>
      </c>
      <c r="M17" s="1">
        <f t="shared" si="9"/>
        <v>0.2748338702</v>
      </c>
      <c r="O17" s="1">
        <f t="shared" ref="O17:R17" si="10">J17*$B$10</f>
        <v>58.90003255</v>
      </c>
      <c r="P17" s="1">
        <f t="shared" si="10"/>
        <v>41.42868839</v>
      </c>
      <c r="Q17" s="1">
        <f t="shared" si="10"/>
        <v>117.221118</v>
      </c>
      <c r="R17" s="1">
        <f t="shared" si="10"/>
        <v>82.45016106</v>
      </c>
    </row>
    <row r="18">
      <c r="A18" s="1" t="s">
        <v>55</v>
      </c>
      <c r="B18" s="1">
        <v>0.5</v>
      </c>
      <c r="C18" s="1">
        <v>1.0</v>
      </c>
      <c r="E18" s="19">
        <f t="shared" si="2"/>
        <v>0.3344290698</v>
      </c>
      <c r="F18" s="19">
        <f t="shared" si="3"/>
        <v>0.6655709302</v>
      </c>
      <c r="G18" s="19">
        <f t="shared" si="4"/>
        <v>0.4129294982</v>
      </c>
      <c r="H18" s="19">
        <f t="shared" si="5"/>
        <v>0.5870705018</v>
      </c>
      <c r="J18" s="1">
        <f t="shared" si="6"/>
        <v>0.138095628</v>
      </c>
      <c r="K18" s="1">
        <f t="shared" si="7"/>
        <v>0.1963334418</v>
      </c>
      <c r="L18" s="1">
        <f t="shared" si="8"/>
        <v>0.2748338702</v>
      </c>
      <c r="M18" s="1">
        <f t="shared" si="9"/>
        <v>0.39073706</v>
      </c>
      <c r="O18" s="1">
        <f t="shared" ref="O18:R18" si="11">J18*$B$10</f>
        <v>41.42868839</v>
      </c>
      <c r="P18" s="1">
        <f t="shared" si="11"/>
        <v>58.90003255</v>
      </c>
      <c r="Q18" s="1">
        <f t="shared" si="11"/>
        <v>82.45016106</v>
      </c>
      <c r="R18" s="1">
        <f t="shared" si="11"/>
        <v>117.221118</v>
      </c>
    </row>
    <row r="19">
      <c r="A19" s="1" t="s">
        <v>56</v>
      </c>
      <c r="B19" s="1">
        <v>-1.0</v>
      </c>
      <c r="C19" s="1">
        <v>-1.0</v>
      </c>
      <c r="E19" s="19">
        <f t="shared" si="2"/>
        <v>0.3997319461</v>
      </c>
      <c r="F19" s="19">
        <f t="shared" si="3"/>
        <v>0.6002680539</v>
      </c>
      <c r="G19" s="19">
        <f t="shared" si="4"/>
        <v>0.5870705018</v>
      </c>
      <c r="H19" s="19">
        <f t="shared" si="5"/>
        <v>0.4129294982</v>
      </c>
      <c r="J19" s="1">
        <f t="shared" si="6"/>
        <v>0.2346708342</v>
      </c>
      <c r="K19" s="1">
        <f t="shared" si="7"/>
        <v>0.1650611119</v>
      </c>
      <c r="L19" s="1">
        <f t="shared" si="8"/>
        <v>0.3523996676</v>
      </c>
      <c r="M19" s="1">
        <f t="shared" si="9"/>
        <v>0.2478683862</v>
      </c>
      <c r="O19" s="1">
        <f t="shared" ref="O19:R19" si="12">J19*$B$10</f>
        <v>70.40125027</v>
      </c>
      <c r="P19" s="1">
        <f t="shared" si="12"/>
        <v>49.51833358</v>
      </c>
      <c r="Q19" s="1">
        <f t="shared" si="12"/>
        <v>105.7199003</v>
      </c>
      <c r="R19" s="1">
        <f t="shared" si="12"/>
        <v>74.36051587</v>
      </c>
    </row>
    <row r="20">
      <c r="A20" s="1" t="s">
        <v>57</v>
      </c>
      <c r="B20" s="1">
        <v>-1.0</v>
      </c>
      <c r="C20" s="1">
        <v>1.0</v>
      </c>
      <c r="E20" s="19">
        <f t="shared" si="2"/>
        <v>0.3997319461</v>
      </c>
      <c r="F20" s="19">
        <f t="shared" si="3"/>
        <v>0.6002680539</v>
      </c>
      <c r="G20" s="19">
        <f t="shared" si="4"/>
        <v>0.4129294982</v>
      </c>
      <c r="H20" s="19">
        <f t="shared" si="5"/>
        <v>0.5870705018</v>
      </c>
      <c r="J20" s="1">
        <f t="shared" si="6"/>
        <v>0.1650611119</v>
      </c>
      <c r="K20" s="1">
        <f t="shared" si="7"/>
        <v>0.2346708342</v>
      </c>
      <c r="L20" s="1">
        <f t="shared" si="8"/>
        <v>0.2478683862</v>
      </c>
      <c r="M20" s="1">
        <f t="shared" si="9"/>
        <v>0.3523996676</v>
      </c>
      <c r="O20" s="1">
        <f t="shared" ref="O20:R20" si="13">J20*$B$10</f>
        <v>49.51833358</v>
      </c>
      <c r="P20" s="1">
        <f t="shared" si="13"/>
        <v>70.40125027</v>
      </c>
      <c r="Q20" s="1">
        <f t="shared" si="13"/>
        <v>74.36051587</v>
      </c>
      <c r="R20" s="1">
        <f t="shared" si="13"/>
        <v>105.7199003</v>
      </c>
    </row>
    <row r="21" ht="15.75" customHeight="1"/>
    <row r="22" ht="15.75" customHeight="1">
      <c r="Q22" s="20" t="s">
        <v>58</v>
      </c>
      <c r="R22" s="21"/>
      <c r="S22" s="22"/>
    </row>
    <row r="23" ht="15.75" customHeight="1">
      <c r="O23" s="20" t="s">
        <v>39</v>
      </c>
      <c r="P23" s="22"/>
      <c r="Q23" s="23" t="s">
        <v>59</v>
      </c>
      <c r="R23" s="23" t="s">
        <v>60</v>
      </c>
      <c r="S23" s="23" t="s">
        <v>61</v>
      </c>
    </row>
    <row r="24" ht="15.75" customHeight="1">
      <c r="B24" s="24" t="s">
        <v>62</v>
      </c>
      <c r="C24" s="41">
        <v>2.0</v>
      </c>
      <c r="O24" s="1" t="s">
        <v>38</v>
      </c>
      <c r="Q24" s="9">
        <f t="shared" ref="Q24:Q28" si="14">IF($C$32=$B$40,O16*9.81*$C$24,O16*9.81)*C16</f>
        <v>0</v>
      </c>
      <c r="R24" s="9">
        <f t="shared" ref="R24:R28" si="15">IF($C$32=$B$40,O16*9.81*2*$C$24,O16*9.81*2)</f>
        <v>2096.573748</v>
      </c>
      <c r="S24" s="9">
        <f t="shared" ref="S24:S28" si="16">IF($C$32=$B$40,O16*9.81*$C$24,O16*9.81)*B16</f>
        <v>0</v>
      </c>
    </row>
    <row r="25" ht="15.75" customHeight="1">
      <c r="B25" s="26"/>
      <c r="C25" s="27"/>
      <c r="O25" s="28" t="s">
        <v>54</v>
      </c>
      <c r="P25" s="28"/>
      <c r="Q25" s="29">
        <f t="shared" si="14"/>
        <v>-1155.618639</v>
      </c>
      <c r="R25" s="29">
        <f t="shared" si="15"/>
        <v>2311.237277</v>
      </c>
      <c r="S25" s="29">
        <f t="shared" si="16"/>
        <v>577.8093193</v>
      </c>
    </row>
    <row r="26" ht="15.75" customHeight="1">
      <c r="O26" s="1" t="s">
        <v>55</v>
      </c>
      <c r="Q26" s="9">
        <f t="shared" si="14"/>
        <v>812.8308661</v>
      </c>
      <c r="R26" s="9">
        <f t="shared" si="15"/>
        <v>1625.661732</v>
      </c>
      <c r="S26" s="9">
        <f t="shared" si="16"/>
        <v>406.4154331</v>
      </c>
    </row>
    <row r="27" ht="15.75" customHeight="1">
      <c r="K27" s="2" t="s">
        <v>63</v>
      </c>
      <c r="O27" s="28" t="s">
        <v>56</v>
      </c>
      <c r="P27" s="28"/>
      <c r="Q27" s="29">
        <f t="shared" si="14"/>
        <v>-1381.27253</v>
      </c>
      <c r="R27" s="29">
        <f t="shared" si="15"/>
        <v>2762.54506</v>
      </c>
      <c r="S27" s="29">
        <f t="shared" si="16"/>
        <v>-1381.27253</v>
      </c>
    </row>
    <row r="28" ht="15.75" customHeight="1">
      <c r="O28" s="1" t="s">
        <v>57</v>
      </c>
      <c r="Q28" s="9">
        <f t="shared" si="14"/>
        <v>971.5497048</v>
      </c>
      <c r="R28" s="9">
        <f t="shared" si="15"/>
        <v>1943.09941</v>
      </c>
      <c r="S28" s="9">
        <f t="shared" si="16"/>
        <v>-971.5497048</v>
      </c>
    </row>
    <row r="29" ht="15.75" customHeight="1"/>
    <row r="30" ht="15.75" customHeight="1">
      <c r="Q30" s="30" t="s">
        <v>64</v>
      </c>
      <c r="R30" s="21"/>
      <c r="S30" s="22"/>
      <c r="W30" s="1" t="s">
        <v>65</v>
      </c>
      <c r="AA30" s="1" t="s">
        <v>66</v>
      </c>
    </row>
    <row r="31" ht="15.75" customHeight="1">
      <c r="O31" s="30" t="s">
        <v>39</v>
      </c>
      <c r="P31" s="22"/>
      <c r="Q31" s="31" t="s">
        <v>59</v>
      </c>
      <c r="R31" s="31" t="s">
        <v>60</v>
      </c>
      <c r="S31" s="31" t="s">
        <v>61</v>
      </c>
      <c r="U31" s="31" t="s">
        <v>67</v>
      </c>
      <c r="V31" s="31" t="s">
        <v>68</v>
      </c>
      <c r="W31" s="31" t="s">
        <v>69</v>
      </c>
      <c r="X31" s="31" t="s">
        <v>70</v>
      </c>
      <c r="Y31" s="31" t="s">
        <v>71</v>
      </c>
      <c r="AA31" s="31" t="s">
        <v>69</v>
      </c>
      <c r="AB31" s="31" t="s">
        <v>70</v>
      </c>
      <c r="AC31" s="31" t="s">
        <v>71</v>
      </c>
    </row>
    <row r="32" ht="15.75" customHeight="1">
      <c r="B32" s="24" t="s">
        <v>72</v>
      </c>
      <c r="C32" s="41" t="s">
        <v>73</v>
      </c>
      <c r="O32" s="1" t="s">
        <v>38</v>
      </c>
      <c r="Q32" s="9">
        <f t="shared" ref="Q32:Q36" si="18">IF($C$32=$B$40,$Q16*9.81*$C$24,$Q16*9.81)*C16</f>
        <v>0</v>
      </c>
      <c r="R32" s="9">
        <f t="shared" ref="R32:R36" si="19">IF($C$32=$B$40,$Q16*9.81*2*$C$24,$Q16*9.81*2)</f>
        <v>3789.426252</v>
      </c>
      <c r="S32" s="9">
        <f t="shared" ref="S32:S36" si="20">IF($C$32=$B$40,$Q16*9.81*$C$24,$Q16*9.81)*B16</f>
        <v>0</v>
      </c>
      <c r="U32" s="1">
        <v>1.0</v>
      </c>
      <c r="V32" s="1" t="str">
        <f t="shared" ref="V32:V36" si="21">O32</f>
        <v>Rest</v>
      </c>
      <c r="W32" s="32">
        <f t="shared" ref="W32:W36" si="22">S32</f>
        <v>0</v>
      </c>
      <c r="X32" s="32">
        <f t="shared" ref="X32:Y32" si="17">Q32</f>
        <v>0</v>
      </c>
      <c r="Y32" s="32">
        <f t="shared" si="17"/>
        <v>3789.426252</v>
      </c>
      <c r="AA32" s="33">
        <f t="shared" ref="AA32:AA36" si="24">$C$38*Y32-$C$39*X32</f>
        <v>242.940117</v>
      </c>
      <c r="AB32" s="34">
        <f t="shared" ref="AB32:AB36" si="25">$C$39*W32-$C$37*Y32</f>
        <v>-11.44406728</v>
      </c>
      <c r="AC32" s="33">
        <f t="shared" ref="AC32:AC36" si="26">$C$37*X32-$C$38*W32</f>
        <v>0</v>
      </c>
    </row>
    <row r="33" ht="15.75" customHeight="1">
      <c r="B33" s="35"/>
      <c r="C33" s="36"/>
      <c r="O33" s="28" t="s">
        <v>54</v>
      </c>
      <c r="P33" s="28"/>
      <c r="Q33" s="29">
        <f t="shared" si="18"/>
        <v>-2299.878335</v>
      </c>
      <c r="R33" s="29">
        <f t="shared" si="19"/>
        <v>4599.756671</v>
      </c>
      <c r="S33" s="29">
        <f t="shared" si="20"/>
        <v>1149.939168</v>
      </c>
      <c r="U33" s="28">
        <v>2.0</v>
      </c>
      <c r="V33" s="28" t="str">
        <f t="shared" si="21"/>
        <v>Accel + Right Turn</v>
      </c>
      <c r="W33" s="37">
        <f t="shared" si="22"/>
        <v>1149.939168</v>
      </c>
      <c r="X33" s="38">
        <f t="shared" ref="X33:Y33" si="23">Q33</f>
        <v>-2299.878335</v>
      </c>
      <c r="Y33" s="37">
        <f t="shared" si="23"/>
        <v>4599.756671</v>
      </c>
      <c r="Z33" s="28"/>
      <c r="AA33" s="37">
        <f t="shared" si="24"/>
        <v>-345.6257162</v>
      </c>
      <c r="AB33" s="39">
        <f t="shared" si="25"/>
        <v>-334.1493233</v>
      </c>
      <c r="AC33" s="37">
        <f t="shared" si="26"/>
        <v>-80.66823261</v>
      </c>
    </row>
    <row r="34" ht="15.75" customHeight="1">
      <c r="B34" s="26"/>
      <c r="C34" s="27"/>
      <c r="O34" s="1" t="s">
        <v>55</v>
      </c>
      <c r="Q34" s="9">
        <f t="shared" si="18"/>
        <v>1617.67216</v>
      </c>
      <c r="R34" s="9">
        <f t="shared" si="19"/>
        <v>3235.34432</v>
      </c>
      <c r="S34" s="9">
        <f t="shared" si="20"/>
        <v>808.83608</v>
      </c>
      <c r="U34" s="1">
        <v>3.0</v>
      </c>
      <c r="V34" s="1" t="str">
        <f t="shared" si="21"/>
        <v>Accel + Left Turn</v>
      </c>
      <c r="W34" s="32">
        <f t="shared" si="22"/>
        <v>808.83608</v>
      </c>
      <c r="X34" s="32">
        <f t="shared" ref="X34:Y34" si="27">Q34</f>
        <v>1617.67216</v>
      </c>
      <c r="Y34" s="32">
        <f t="shared" si="27"/>
        <v>3235.34432</v>
      </c>
      <c r="AA34" s="33">
        <f t="shared" si="24"/>
        <v>657.9396209</v>
      </c>
      <c r="AB34" s="34">
        <f t="shared" si="25"/>
        <v>-235.0315881</v>
      </c>
      <c r="AC34" s="33">
        <f t="shared" si="26"/>
        <v>-46.96911117</v>
      </c>
    </row>
    <row r="35" ht="15.75" customHeight="1">
      <c r="K35" s="2" t="s">
        <v>63</v>
      </c>
      <c r="O35" s="28" t="s">
        <v>56</v>
      </c>
      <c r="P35" s="28"/>
      <c r="Q35" s="29">
        <f t="shared" si="18"/>
        <v>-2074.224444</v>
      </c>
      <c r="R35" s="29">
        <f t="shared" si="19"/>
        <v>4148.448887</v>
      </c>
      <c r="S35" s="29">
        <f t="shared" si="20"/>
        <v>-2074.224444</v>
      </c>
      <c r="U35" s="28">
        <v>4.0</v>
      </c>
      <c r="V35" s="28" t="str">
        <f t="shared" si="21"/>
        <v>Braking + Right Turn</v>
      </c>
      <c r="W35" s="37">
        <f t="shared" si="22"/>
        <v>-2074.224444</v>
      </c>
      <c r="X35" s="37">
        <f t="shared" ref="X35:Y35" si="28">Q35</f>
        <v>-2074.224444</v>
      </c>
      <c r="Y35" s="37">
        <f t="shared" si="28"/>
        <v>4148.448887</v>
      </c>
      <c r="Z35" s="28"/>
      <c r="AA35" s="37">
        <f t="shared" si="24"/>
        <v>-311.7144494</v>
      </c>
      <c r="AB35" s="39">
        <f t="shared" si="25"/>
        <v>565.1431919</v>
      </c>
      <c r="AC35" s="37">
        <f t="shared" si="26"/>
        <v>126.7143713</v>
      </c>
    </row>
    <row r="36" ht="15.75" customHeight="1">
      <c r="B36" s="1" t="s">
        <v>74</v>
      </c>
      <c r="C36" s="1" t="s">
        <v>75</v>
      </c>
      <c r="O36" s="1" t="s">
        <v>57</v>
      </c>
      <c r="Q36" s="9">
        <f t="shared" si="18"/>
        <v>1458.953321</v>
      </c>
      <c r="R36" s="9">
        <f t="shared" si="19"/>
        <v>2917.906643</v>
      </c>
      <c r="S36" s="9">
        <f t="shared" si="20"/>
        <v>-1458.953321</v>
      </c>
      <c r="U36" s="1">
        <v>5.0</v>
      </c>
      <c r="V36" s="1" t="str">
        <f t="shared" si="21"/>
        <v>Braking + Left Turn</v>
      </c>
      <c r="W36" s="32">
        <f t="shared" si="22"/>
        <v>-1458.953321</v>
      </c>
      <c r="X36" s="32">
        <f t="shared" ref="X36:Y36" si="29">Q36</f>
        <v>1458.953321</v>
      </c>
      <c r="Y36" s="32">
        <f t="shared" si="29"/>
        <v>2917.906643</v>
      </c>
      <c r="AA36" s="33">
        <f t="shared" si="24"/>
        <v>593.3854949</v>
      </c>
      <c r="AB36" s="34">
        <f t="shared" si="25"/>
        <v>397.506422</v>
      </c>
      <c r="AC36" s="33">
        <f t="shared" si="26"/>
        <v>97.93953647</v>
      </c>
    </row>
    <row r="37" ht="15.75" customHeight="1">
      <c r="A37" s="1" t="s">
        <v>76</v>
      </c>
      <c r="B37" s="1">
        <v>3.02</v>
      </c>
      <c r="C37" s="1">
        <f t="shared" ref="C37:C39" si="30">B37/1000</f>
        <v>0.00302</v>
      </c>
      <c r="AB37" s="40" t="s">
        <v>77</v>
      </c>
    </row>
    <row r="38" ht="15.75" customHeight="1">
      <c r="A38" s="1" t="s">
        <v>78</v>
      </c>
      <c r="B38" s="1">
        <v>64.11</v>
      </c>
      <c r="C38" s="1">
        <f t="shared" si="30"/>
        <v>0.06411</v>
      </c>
    </row>
    <row r="39" ht="15.75" customHeight="1">
      <c r="A39" s="1" t="s">
        <v>79</v>
      </c>
      <c r="B39" s="1">
        <v>-278.5</v>
      </c>
      <c r="C39" s="1">
        <f t="shared" si="30"/>
        <v>-0.2785</v>
      </c>
    </row>
    <row r="40" ht="15.75" customHeight="1">
      <c r="B40" s="1" t="s">
        <v>73</v>
      </c>
    </row>
    <row r="41" ht="15.75" customHeight="1">
      <c r="B41" s="1" t="s">
        <v>80</v>
      </c>
    </row>
    <row r="42" ht="15.75" customHeight="1"/>
    <row r="43" ht="15.75" customHeight="1"/>
    <row r="44" ht="15.75" customHeight="1"/>
    <row r="45" ht="15.75" customHeight="1">
      <c r="V45" s="2" t="s">
        <v>81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Q22:S22"/>
    <mergeCell ref="O23:P23"/>
    <mergeCell ref="B24:B25"/>
    <mergeCell ref="C24:C25"/>
    <mergeCell ref="Q30:S30"/>
    <mergeCell ref="O31:P31"/>
    <mergeCell ref="B32:B34"/>
    <mergeCell ref="C32:C34"/>
    <mergeCell ref="AG5:AI5"/>
    <mergeCell ref="P11:Q11"/>
    <mergeCell ref="P12:Q12"/>
    <mergeCell ref="B14:C14"/>
    <mergeCell ref="E14:H14"/>
    <mergeCell ref="J14:M14"/>
    <mergeCell ref="O14:R14"/>
  </mergeCells>
  <dataValidations>
    <dataValidation type="list" allowBlank="1" showErrorMessage="1" sqref="C32">
      <formula1>$B$40:$B$41</formula1>
    </dataValidation>
    <dataValidation type="list" allowBlank="1" showErrorMessage="1" sqref="P12">
      <formula1>$A$16:$A$20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0"/>
    <col customWidth="1" min="3" max="3" width="13.29"/>
    <col customWidth="1" min="4" max="4" width="4.29"/>
    <col customWidth="1" min="5" max="8" width="11.0"/>
    <col customWidth="1" min="9" max="9" width="4.29"/>
    <col customWidth="1" min="10" max="13" width="12.0"/>
    <col customWidth="1" min="14" max="14" width="4.29"/>
    <col customWidth="1" min="15" max="19" width="12.0"/>
    <col customWidth="1" min="20" max="20" width="6.29"/>
    <col customWidth="1" min="21" max="21" width="6.43"/>
    <col customWidth="1" min="22" max="22" width="21.43"/>
    <col customWidth="1" min="23" max="23" width="9.43"/>
    <col customWidth="1" min="24" max="24" width="10.0"/>
    <col customWidth="1" min="25" max="25" width="8.71"/>
    <col customWidth="1" min="26" max="26" width="3.0"/>
    <col customWidth="1" min="27" max="27" width="11.86"/>
    <col customWidth="1" min="28" max="28" width="22.43"/>
    <col customWidth="1" min="29" max="36" width="8.71"/>
  </cols>
  <sheetData>
    <row r="1">
      <c r="A1" s="1" t="s">
        <v>23</v>
      </c>
      <c r="B1" s="1">
        <v>1.9</v>
      </c>
      <c r="C1" s="1" t="s">
        <v>24</v>
      </c>
    </row>
    <row r="2">
      <c r="A2" s="1" t="s">
        <v>25</v>
      </c>
      <c r="B2" s="1">
        <v>0.95</v>
      </c>
      <c r="C2" s="1" t="s">
        <v>24</v>
      </c>
    </row>
    <row r="3">
      <c r="A3" s="1" t="s">
        <v>26</v>
      </c>
      <c r="B3" s="1">
        <v>0.5584</v>
      </c>
      <c r="C3" s="1" t="s">
        <v>24</v>
      </c>
    </row>
    <row r="4">
      <c r="A4" s="1" t="s">
        <v>27</v>
      </c>
    </row>
    <row r="5">
      <c r="A5" s="1" t="s">
        <v>28</v>
      </c>
      <c r="B5" s="1">
        <f>B1-B6</f>
        <v>1.425</v>
      </c>
      <c r="C5" s="1" t="s">
        <v>24</v>
      </c>
      <c r="AG5" s="4" t="s">
        <v>29</v>
      </c>
    </row>
    <row r="6">
      <c r="A6" s="1" t="s">
        <v>30</v>
      </c>
      <c r="B6" s="1">
        <f>0.25*B1</f>
        <v>0.475</v>
      </c>
      <c r="C6" s="1" t="s">
        <v>24</v>
      </c>
    </row>
    <row r="7">
      <c r="A7" s="1" t="s">
        <v>31</v>
      </c>
      <c r="B7" s="1">
        <f>B2/2</f>
        <v>0.475</v>
      </c>
      <c r="C7" s="1" t="s">
        <v>24</v>
      </c>
      <c r="AH7" s="4" t="s">
        <v>32</v>
      </c>
    </row>
    <row r="8">
      <c r="A8" s="1" t="s">
        <v>33</v>
      </c>
      <c r="B8" s="1">
        <f>B2-B7</f>
        <v>0.475</v>
      </c>
      <c r="C8" s="1" t="s">
        <v>24</v>
      </c>
    </row>
    <row r="9">
      <c r="A9" s="1" t="s">
        <v>34</v>
      </c>
      <c r="B9" s="1">
        <f>'CG Locator'!D13/1000-B3/2</f>
        <v>0.08271697674</v>
      </c>
      <c r="C9" s="1" t="s">
        <v>24</v>
      </c>
      <c r="AF9" s="6">
        <f t="array" ref="AF9">XLOOKUP($P$12,'MS15.5 Rear Hub Calcs'!$A$16:$A$20,'MS15.5 Rear Hub Calcs'!$J$16:$J$20)</f>
        <v>0.125</v>
      </c>
      <c r="AG9" s="7"/>
      <c r="AH9" s="8"/>
      <c r="AI9" s="7"/>
      <c r="AJ9" s="6">
        <f t="array" ref="AJ9">XLOOKUP($P$12,'MS15.5 Rear Hub Calcs'!$A$16:$A$20,'MS15.5 Rear Hub Calcs'!$K$16:$K$20)</f>
        <v>0.125</v>
      </c>
    </row>
    <row r="10">
      <c r="A10" s="1" t="s">
        <v>35</v>
      </c>
      <c r="B10" s="2">
        <v>440.0</v>
      </c>
      <c r="C10" s="1" t="s">
        <v>36</v>
      </c>
      <c r="AF10" s="9">
        <f t="array" ref="AF10">XLOOKUP($P$12,'MS15.5 Rear Hub Calcs'!$A$16:$A$20,'MS15.5 Rear Hub Calcs'!$O$16:$O$20)</f>
        <v>55</v>
      </c>
      <c r="AG10" s="8"/>
      <c r="AI10" s="8"/>
      <c r="AJ10" s="9">
        <f t="array" ref="AJ10">XLOOKUP($P$12,'MS15.5 Rear Hub Calcs'!$A$16:$A$20,'MS15.5 Rear Hub Calcs'!$P$16:$P$20)</f>
        <v>55</v>
      </c>
    </row>
    <row r="11">
      <c r="P11" s="10" t="s">
        <v>37</v>
      </c>
      <c r="Q11" s="11"/>
    </row>
    <row r="12">
      <c r="P12" s="12" t="s">
        <v>38</v>
      </c>
      <c r="Q12" s="13"/>
    </row>
    <row r="14">
      <c r="A14" s="1" t="s">
        <v>39</v>
      </c>
      <c r="B14" s="14" t="s">
        <v>40</v>
      </c>
      <c r="E14" s="4" t="s">
        <v>41</v>
      </c>
      <c r="J14" s="4" t="s">
        <v>42</v>
      </c>
      <c r="O14" s="4" t="s">
        <v>43</v>
      </c>
      <c r="S14" s="4"/>
    </row>
    <row r="15">
      <c r="A15" s="1" t="s">
        <v>44</v>
      </c>
      <c r="B15" s="4" t="s">
        <v>45</v>
      </c>
      <c r="C15" s="4" t="s">
        <v>46</v>
      </c>
      <c r="E15" s="15" t="s">
        <v>47</v>
      </c>
      <c r="F15" s="15" t="s">
        <v>48</v>
      </c>
      <c r="G15" s="16" t="s">
        <v>46</v>
      </c>
      <c r="H15" s="16" t="s">
        <v>49</v>
      </c>
      <c r="J15" s="17" t="s">
        <v>50</v>
      </c>
      <c r="K15" s="17" t="s">
        <v>51</v>
      </c>
      <c r="L15" s="17" t="s">
        <v>52</v>
      </c>
      <c r="M15" s="17" t="s">
        <v>53</v>
      </c>
      <c r="O15" s="18" t="s">
        <v>50</v>
      </c>
      <c r="P15" s="18" t="s">
        <v>51</v>
      </c>
      <c r="Q15" s="18" t="s">
        <v>52</v>
      </c>
      <c r="R15" s="18" t="s">
        <v>53</v>
      </c>
      <c r="S15" s="4"/>
      <c r="AF15" s="6">
        <f t="array" ref="AF15">XLOOKUP($P$12,'MS15.5 Rear Hub Calcs'!$A$16:$A$20,'MS15.5 Rear Hub Calcs'!$L$16:$L$20)</f>
        <v>0.375</v>
      </c>
      <c r="AG15" s="7"/>
      <c r="AH15" s="8"/>
      <c r="AI15" s="7"/>
      <c r="AJ15" s="6">
        <f t="array" ref="AJ15">XLOOKUP($P$12,'MS15.5 Rear Hub Calcs'!$A$16:$A$20,'MS15.5 Rear Hub Calcs'!$M$16:$M$20)</f>
        <v>0.375</v>
      </c>
    </row>
    <row r="16">
      <c r="A16" s="1" t="s">
        <v>38</v>
      </c>
      <c r="B16" s="1">
        <v>0.0</v>
      </c>
      <c r="C16" s="1">
        <v>0.0</v>
      </c>
      <c r="E16" s="19">
        <f t="shared" ref="E16:E20" si="2">($B$6-B16*$B$9)/($B$5+$B$6)</f>
        <v>0.25</v>
      </c>
      <c r="F16" s="19">
        <f t="shared" ref="F16:F20" si="3">1-E16</f>
        <v>0.75</v>
      </c>
      <c r="G16" s="19">
        <f t="shared" ref="G16:G20" si="4">($B$8-C16*$B$9)/($B$7+$B$8)</f>
        <v>0.5</v>
      </c>
      <c r="H16" s="19">
        <f t="shared" ref="H16:H20" si="5">1-G16</f>
        <v>0.5</v>
      </c>
      <c r="J16" s="1">
        <f t="shared" ref="J16:J20" si="6">E16*G16</f>
        <v>0.125</v>
      </c>
      <c r="K16" s="1">
        <f t="shared" ref="K16:K20" si="7">E16*H16</f>
        <v>0.125</v>
      </c>
      <c r="L16" s="1">
        <f t="shared" ref="L16:L20" si="8">F16*G16</f>
        <v>0.375</v>
      </c>
      <c r="M16" s="1">
        <f t="shared" ref="M16:M20" si="9">F16*H16</f>
        <v>0.375</v>
      </c>
      <c r="O16" s="1">
        <f t="shared" ref="O16:R16" si="1">J16*$B$10</f>
        <v>55</v>
      </c>
      <c r="P16" s="1">
        <f t="shared" si="1"/>
        <v>55</v>
      </c>
      <c r="Q16" s="1">
        <f t="shared" si="1"/>
        <v>165</v>
      </c>
      <c r="R16" s="1">
        <f t="shared" si="1"/>
        <v>165</v>
      </c>
      <c r="AF16" s="9">
        <f t="array" ref="AF16">XLOOKUP($P$12,'MS15.5 Rear Hub Calcs'!$A$16:$A$20,'MS15.5 Rear Hub Calcs'!$Q$16:$Q$20)</f>
        <v>165</v>
      </c>
      <c r="AG16" s="8"/>
      <c r="AI16" s="8"/>
      <c r="AJ16" s="9">
        <f t="array" ref="AJ16">XLOOKUP($P$12,'MS15.5 Rear Hub Calcs'!$A$16:$A$20,'MS15.5 Rear Hub Calcs'!$R$16:$R$20)</f>
        <v>165</v>
      </c>
    </row>
    <row r="17">
      <c r="A17" s="1" t="s">
        <v>54</v>
      </c>
      <c r="B17" s="1">
        <v>0.5</v>
      </c>
      <c r="C17" s="1">
        <v>-1.0</v>
      </c>
      <c r="E17" s="19">
        <f t="shared" si="2"/>
        <v>0.2282323745</v>
      </c>
      <c r="F17" s="19">
        <f t="shared" si="3"/>
        <v>0.7717676255</v>
      </c>
      <c r="G17" s="19">
        <f t="shared" si="4"/>
        <v>0.5870705018</v>
      </c>
      <c r="H17" s="19">
        <f t="shared" si="5"/>
        <v>0.4129294982</v>
      </c>
      <c r="J17" s="1">
        <f t="shared" si="6"/>
        <v>0.1339884947</v>
      </c>
      <c r="K17" s="1">
        <f t="shared" si="7"/>
        <v>0.09424387988</v>
      </c>
      <c r="L17" s="1">
        <f t="shared" si="8"/>
        <v>0.4530820072</v>
      </c>
      <c r="M17" s="1">
        <f t="shared" si="9"/>
        <v>0.3186856183</v>
      </c>
      <c r="O17" s="1">
        <f t="shared" ref="O17:R17" si="10">J17*$B$10</f>
        <v>58.95493765</v>
      </c>
      <c r="P17" s="1">
        <f t="shared" si="10"/>
        <v>41.46730715</v>
      </c>
      <c r="Q17" s="1">
        <f t="shared" si="10"/>
        <v>199.3560832</v>
      </c>
      <c r="R17" s="1">
        <f t="shared" si="10"/>
        <v>140.221672</v>
      </c>
    </row>
    <row r="18">
      <c r="A18" s="1" t="s">
        <v>55</v>
      </c>
      <c r="B18" s="1">
        <v>0.5</v>
      </c>
      <c r="C18" s="1">
        <v>1.0</v>
      </c>
      <c r="E18" s="19">
        <f t="shared" si="2"/>
        <v>0.2282323745</v>
      </c>
      <c r="F18" s="19">
        <f t="shared" si="3"/>
        <v>0.7717676255</v>
      </c>
      <c r="G18" s="19">
        <f t="shared" si="4"/>
        <v>0.4129294982</v>
      </c>
      <c r="H18" s="19">
        <f t="shared" si="5"/>
        <v>0.5870705018</v>
      </c>
      <c r="J18" s="1">
        <f t="shared" si="6"/>
        <v>0.09424387988</v>
      </c>
      <c r="K18" s="1">
        <f t="shared" si="7"/>
        <v>0.1339884947</v>
      </c>
      <c r="L18" s="1">
        <f t="shared" si="8"/>
        <v>0.3186856183</v>
      </c>
      <c r="M18" s="1">
        <f t="shared" si="9"/>
        <v>0.4530820072</v>
      </c>
      <c r="O18" s="1">
        <f t="shared" ref="O18:R18" si="11">J18*$B$10</f>
        <v>41.46730715</v>
      </c>
      <c r="P18" s="1">
        <f t="shared" si="11"/>
        <v>58.95493765</v>
      </c>
      <c r="Q18" s="1">
        <f t="shared" si="11"/>
        <v>140.221672</v>
      </c>
      <c r="R18" s="1">
        <f t="shared" si="11"/>
        <v>199.3560832</v>
      </c>
    </row>
    <row r="19">
      <c r="A19" s="1" t="s">
        <v>56</v>
      </c>
      <c r="B19" s="1">
        <v>-1.0</v>
      </c>
      <c r="C19" s="1">
        <v>-1.0</v>
      </c>
      <c r="E19" s="19">
        <f t="shared" si="2"/>
        <v>0.2935352509</v>
      </c>
      <c r="F19" s="19">
        <f t="shared" si="3"/>
        <v>0.7064647491</v>
      </c>
      <c r="G19" s="19">
        <f t="shared" si="4"/>
        <v>0.5870705018</v>
      </c>
      <c r="H19" s="19">
        <f t="shared" si="5"/>
        <v>0.4129294982</v>
      </c>
      <c r="J19" s="1">
        <f t="shared" si="6"/>
        <v>0.1723258871</v>
      </c>
      <c r="K19" s="1">
        <f t="shared" si="7"/>
        <v>0.1212093639</v>
      </c>
      <c r="L19" s="1">
        <f t="shared" si="8"/>
        <v>0.4147446148</v>
      </c>
      <c r="M19" s="1">
        <f t="shared" si="9"/>
        <v>0.2917201343</v>
      </c>
      <c r="O19" s="1">
        <f t="shared" ref="O19:R19" si="12">J19*$B$10</f>
        <v>75.82339031</v>
      </c>
      <c r="P19" s="1">
        <f t="shared" si="12"/>
        <v>53.3321201</v>
      </c>
      <c r="Q19" s="1">
        <f t="shared" si="12"/>
        <v>182.4876305</v>
      </c>
      <c r="R19" s="1">
        <f t="shared" si="12"/>
        <v>128.3568591</v>
      </c>
    </row>
    <row r="20">
      <c r="A20" s="1" t="s">
        <v>57</v>
      </c>
      <c r="B20" s="1">
        <v>-1.0</v>
      </c>
      <c r="C20" s="1">
        <v>1.0</v>
      </c>
      <c r="E20" s="19">
        <f t="shared" si="2"/>
        <v>0.2935352509</v>
      </c>
      <c r="F20" s="19">
        <f t="shared" si="3"/>
        <v>0.7064647491</v>
      </c>
      <c r="G20" s="19">
        <f t="shared" si="4"/>
        <v>0.4129294982</v>
      </c>
      <c r="H20" s="19">
        <f t="shared" si="5"/>
        <v>0.5870705018</v>
      </c>
      <c r="J20" s="1">
        <f t="shared" si="6"/>
        <v>0.1212093639</v>
      </c>
      <c r="K20" s="1">
        <f t="shared" si="7"/>
        <v>0.1723258871</v>
      </c>
      <c r="L20" s="1">
        <f t="shared" si="8"/>
        <v>0.2917201343</v>
      </c>
      <c r="M20" s="1">
        <f t="shared" si="9"/>
        <v>0.4147446148</v>
      </c>
      <c r="O20" s="1">
        <f t="shared" ref="O20:R20" si="13">J20*$B$10</f>
        <v>53.3321201</v>
      </c>
      <c r="P20" s="1">
        <f t="shared" si="13"/>
        <v>75.82339031</v>
      </c>
      <c r="Q20" s="1">
        <f t="shared" si="13"/>
        <v>128.3568591</v>
      </c>
      <c r="R20" s="1">
        <f t="shared" si="13"/>
        <v>182.4876305</v>
      </c>
    </row>
    <row r="21" ht="15.75" customHeight="1"/>
    <row r="22" ht="15.75" customHeight="1">
      <c r="Q22" s="20" t="s">
        <v>58</v>
      </c>
      <c r="R22" s="21"/>
      <c r="S22" s="22"/>
    </row>
    <row r="23" ht="15.75" customHeight="1">
      <c r="O23" s="20" t="s">
        <v>39</v>
      </c>
      <c r="P23" s="22"/>
      <c r="Q23" s="23" t="s">
        <v>59</v>
      </c>
      <c r="R23" s="23" t="s">
        <v>60</v>
      </c>
      <c r="S23" s="23" t="s">
        <v>61</v>
      </c>
    </row>
    <row r="24" ht="15.75" customHeight="1">
      <c r="B24" s="24" t="s">
        <v>62</v>
      </c>
      <c r="C24" s="41">
        <v>2.0</v>
      </c>
      <c r="O24" s="1" t="s">
        <v>38</v>
      </c>
      <c r="Q24" s="9">
        <f t="shared" ref="Q24:Q28" si="14">IF($C$32=$B$40,O16*9.81*$C$24,O16*9.81)*C16</f>
        <v>0</v>
      </c>
      <c r="R24" s="9">
        <f t="shared" ref="R24:R28" si="15">IF($C$32=$B$40,O16*9.81*2*$C$24,O16*9.81*2)</f>
        <v>2158.2</v>
      </c>
      <c r="S24" s="9">
        <f t="shared" ref="S24:S28" si="16">IF($C$32=$B$40,O16*9.81*$C$24,O16*9.81)*B16</f>
        <v>0</v>
      </c>
    </row>
    <row r="25" ht="15.75" customHeight="1">
      <c r="B25" s="26"/>
      <c r="C25" s="27"/>
      <c r="O25" s="28" t="s">
        <v>54</v>
      </c>
      <c r="P25" s="28"/>
      <c r="Q25" s="29">
        <f t="shared" si="14"/>
        <v>-1156.695877</v>
      </c>
      <c r="R25" s="29">
        <f t="shared" si="15"/>
        <v>2313.391753</v>
      </c>
      <c r="S25" s="29">
        <f t="shared" si="16"/>
        <v>578.3479383</v>
      </c>
    </row>
    <row r="26" ht="15.75" customHeight="1">
      <c r="O26" s="1" t="s">
        <v>55</v>
      </c>
      <c r="Q26" s="9">
        <f t="shared" si="14"/>
        <v>813.5885663</v>
      </c>
      <c r="R26" s="9">
        <f t="shared" si="15"/>
        <v>1627.177133</v>
      </c>
      <c r="S26" s="9">
        <f t="shared" si="16"/>
        <v>406.7942831</v>
      </c>
    </row>
    <row r="27" ht="15.75" customHeight="1">
      <c r="K27" s="2" t="s">
        <v>63</v>
      </c>
      <c r="O27" s="28" t="s">
        <v>56</v>
      </c>
      <c r="P27" s="28"/>
      <c r="Q27" s="29">
        <f t="shared" si="14"/>
        <v>-1487.654918</v>
      </c>
      <c r="R27" s="29">
        <f t="shared" si="15"/>
        <v>2975.309836</v>
      </c>
      <c r="S27" s="29">
        <f t="shared" si="16"/>
        <v>-1487.654918</v>
      </c>
    </row>
    <row r="28" ht="15.75" customHeight="1">
      <c r="O28" s="1" t="s">
        <v>57</v>
      </c>
      <c r="Q28" s="9">
        <f t="shared" si="14"/>
        <v>1046.376196</v>
      </c>
      <c r="R28" s="9">
        <f t="shared" si="15"/>
        <v>2092.752393</v>
      </c>
      <c r="S28" s="9">
        <f t="shared" si="16"/>
        <v>-1046.376196</v>
      </c>
    </row>
    <row r="29" ht="15.75" customHeight="1"/>
    <row r="30" ht="15.75" customHeight="1">
      <c r="Q30" s="30" t="s">
        <v>64</v>
      </c>
      <c r="R30" s="21"/>
      <c r="S30" s="22"/>
      <c r="W30" s="1" t="s">
        <v>65</v>
      </c>
      <c r="AA30" s="1" t="s">
        <v>66</v>
      </c>
    </row>
    <row r="31" ht="15.75" customHeight="1">
      <c r="O31" s="30" t="s">
        <v>39</v>
      </c>
      <c r="P31" s="22"/>
      <c r="Q31" s="31" t="s">
        <v>59</v>
      </c>
      <c r="R31" s="31" t="s">
        <v>60</v>
      </c>
      <c r="S31" s="31" t="s">
        <v>61</v>
      </c>
      <c r="U31" s="31" t="s">
        <v>67</v>
      </c>
      <c r="V31" s="31" t="s">
        <v>68</v>
      </c>
      <c r="W31" s="31" t="s">
        <v>69</v>
      </c>
      <c r="X31" s="31" t="s">
        <v>70</v>
      </c>
      <c r="Y31" s="31" t="s">
        <v>71</v>
      </c>
      <c r="AA31" s="31" t="s">
        <v>69</v>
      </c>
      <c r="AB31" s="31" t="s">
        <v>70</v>
      </c>
      <c r="AC31" s="31" t="s">
        <v>71</v>
      </c>
    </row>
    <row r="32" ht="15.75" customHeight="1">
      <c r="B32" s="24" t="s">
        <v>72</v>
      </c>
      <c r="C32" s="41" t="s">
        <v>73</v>
      </c>
      <c r="O32" s="1" t="s">
        <v>38</v>
      </c>
      <c r="Q32" s="9">
        <f t="shared" ref="Q32:Q36" si="18">IF($C$32=$B$40,$Q16*9.81*$C$24,$Q16*9.81)*C16</f>
        <v>0</v>
      </c>
      <c r="R32" s="9">
        <f t="shared" ref="R32:R36" si="19">IF($C$32=$B$40,$Q16*9.81*2*$C$24,$Q16*9.81*2)</f>
        <v>6474.6</v>
      </c>
      <c r="S32" s="9">
        <f t="shared" ref="S32:S36" si="20">IF($C$32=$B$40,$Q16*9.81*$C$24,$Q16*9.81)*B16</f>
        <v>0</v>
      </c>
      <c r="U32" s="1">
        <v>1.0</v>
      </c>
      <c r="V32" s="1" t="str">
        <f t="shared" ref="V32:V36" si="21">O32</f>
        <v>Rest</v>
      </c>
      <c r="W32" s="32">
        <f t="shared" ref="W32:W36" si="22">S32</f>
        <v>0</v>
      </c>
      <c r="X32" s="32">
        <f t="shared" ref="X32:Y32" si="17">Q32</f>
        <v>0</v>
      </c>
      <c r="Y32" s="32">
        <f t="shared" si="17"/>
        <v>6474.6</v>
      </c>
      <c r="AA32" s="33">
        <f t="shared" ref="AA32:AA36" si="24">$C$38*Y32-$C$39*X32</f>
        <v>415.086606</v>
      </c>
      <c r="AB32" s="34">
        <f t="shared" ref="AB32:AB36" si="25">$C$39*W32-$C$37*Y32</f>
        <v>-19.553292</v>
      </c>
      <c r="AC32" s="33">
        <f t="shared" ref="AC32:AC36" si="26">$C$37*X32-$C$38*W32</f>
        <v>0</v>
      </c>
    </row>
    <row r="33" ht="15.75" customHeight="1">
      <c r="B33" s="35"/>
      <c r="C33" s="36"/>
      <c r="O33" s="28" t="s">
        <v>54</v>
      </c>
      <c r="P33" s="28"/>
      <c r="Q33" s="29">
        <f t="shared" si="18"/>
        <v>-3911.366352</v>
      </c>
      <c r="R33" s="29">
        <f t="shared" si="19"/>
        <v>7822.732703</v>
      </c>
      <c r="S33" s="29">
        <f t="shared" si="20"/>
        <v>1955.683176</v>
      </c>
      <c r="U33" s="28">
        <v>2.0</v>
      </c>
      <c r="V33" s="28" t="str">
        <f t="shared" si="21"/>
        <v>Accel + Right Turn</v>
      </c>
      <c r="W33" s="37">
        <f t="shared" si="22"/>
        <v>1955.683176</v>
      </c>
      <c r="X33" s="38">
        <f t="shared" ref="X33:Y33" si="23">Q33</f>
        <v>-3911.366352</v>
      </c>
      <c r="Y33" s="37">
        <f t="shared" si="23"/>
        <v>7822.732703</v>
      </c>
      <c r="Z33" s="28"/>
      <c r="AA33" s="37">
        <f t="shared" si="24"/>
        <v>-587.8001353</v>
      </c>
      <c r="AB33" s="39">
        <f t="shared" si="25"/>
        <v>-568.2824172</v>
      </c>
      <c r="AC33" s="37">
        <f t="shared" si="26"/>
        <v>-137.1911748</v>
      </c>
    </row>
    <row r="34" ht="15.75" customHeight="1">
      <c r="B34" s="26"/>
      <c r="C34" s="27"/>
      <c r="O34" s="1" t="s">
        <v>55</v>
      </c>
      <c r="Q34" s="9">
        <f t="shared" si="18"/>
        <v>2751.149205</v>
      </c>
      <c r="R34" s="9">
        <f t="shared" si="19"/>
        <v>5502.298411</v>
      </c>
      <c r="S34" s="9">
        <f t="shared" si="20"/>
        <v>1375.574603</v>
      </c>
      <c r="U34" s="1">
        <v>3.0</v>
      </c>
      <c r="V34" s="1" t="str">
        <f t="shared" si="21"/>
        <v>Accel + Left Turn</v>
      </c>
      <c r="W34" s="32">
        <f t="shared" si="22"/>
        <v>1375.574603</v>
      </c>
      <c r="X34" s="32">
        <f t="shared" ref="X34:Y34" si="27">Q34</f>
        <v>2751.149205</v>
      </c>
      <c r="Y34" s="32">
        <f t="shared" si="27"/>
        <v>5502.298411</v>
      </c>
      <c r="AA34" s="33">
        <f t="shared" si="24"/>
        <v>1118.947405</v>
      </c>
      <c r="AB34" s="34">
        <f t="shared" si="25"/>
        <v>-399.7144681</v>
      </c>
      <c r="AC34" s="33">
        <f t="shared" si="26"/>
        <v>-79.87961718</v>
      </c>
    </row>
    <row r="35" ht="15.75" customHeight="1">
      <c r="K35" s="2" t="s">
        <v>63</v>
      </c>
      <c r="O35" s="28" t="s">
        <v>56</v>
      </c>
      <c r="P35" s="28"/>
      <c r="Q35" s="29">
        <f t="shared" si="18"/>
        <v>-3580.40731</v>
      </c>
      <c r="R35" s="29">
        <f t="shared" si="19"/>
        <v>7160.814621</v>
      </c>
      <c r="S35" s="29">
        <f t="shared" si="20"/>
        <v>-3580.40731</v>
      </c>
      <c r="U35" s="28">
        <v>4.0</v>
      </c>
      <c r="V35" s="28" t="str">
        <f t="shared" si="21"/>
        <v>Braking + Right Turn</v>
      </c>
      <c r="W35" s="37">
        <f t="shared" si="22"/>
        <v>-3580.40731</v>
      </c>
      <c r="X35" s="37">
        <f t="shared" ref="X35:Y35" si="28">Q35</f>
        <v>-3580.40731</v>
      </c>
      <c r="Y35" s="37">
        <f t="shared" si="28"/>
        <v>7160.814621</v>
      </c>
      <c r="Z35" s="28"/>
      <c r="AA35" s="37">
        <f t="shared" si="24"/>
        <v>-538.0636106</v>
      </c>
      <c r="AB35" s="39">
        <f t="shared" si="25"/>
        <v>975.5177758</v>
      </c>
      <c r="AC35" s="37">
        <f t="shared" si="26"/>
        <v>218.7270826</v>
      </c>
    </row>
    <row r="36" ht="15.75" customHeight="1">
      <c r="B36" s="1" t="s">
        <v>74</v>
      </c>
      <c r="C36" s="1" t="s">
        <v>75</v>
      </c>
      <c r="O36" s="1" t="s">
        <v>57</v>
      </c>
      <c r="Q36" s="9">
        <f t="shared" si="18"/>
        <v>2518.361575</v>
      </c>
      <c r="R36" s="9">
        <f t="shared" si="19"/>
        <v>5036.723151</v>
      </c>
      <c r="S36" s="9">
        <f t="shared" si="20"/>
        <v>-2518.361575</v>
      </c>
      <c r="U36" s="1">
        <v>5.0</v>
      </c>
      <c r="V36" s="1" t="str">
        <f t="shared" si="21"/>
        <v>Braking + Left Turn</v>
      </c>
      <c r="W36" s="32">
        <f t="shared" si="22"/>
        <v>-2518.361575</v>
      </c>
      <c r="X36" s="32">
        <f t="shared" ref="X36:Y36" si="29">Q36</f>
        <v>2518.361575</v>
      </c>
      <c r="Y36" s="32">
        <f t="shared" si="29"/>
        <v>5036.723151</v>
      </c>
      <c r="AA36" s="33">
        <f t="shared" si="24"/>
        <v>1024.26802</v>
      </c>
      <c r="AB36" s="34">
        <f t="shared" si="25"/>
        <v>686.1527949</v>
      </c>
      <c r="AC36" s="33">
        <f t="shared" si="26"/>
        <v>169.0576126</v>
      </c>
    </row>
    <row r="37" ht="15.75" customHeight="1">
      <c r="A37" s="1" t="s">
        <v>76</v>
      </c>
      <c r="B37" s="1">
        <v>3.02</v>
      </c>
      <c r="C37" s="1">
        <f t="shared" ref="C37:C39" si="30">B37/1000</f>
        <v>0.00302</v>
      </c>
      <c r="AB37" s="40" t="s">
        <v>77</v>
      </c>
    </row>
    <row r="38" ht="15.75" customHeight="1">
      <c r="A38" s="1" t="s">
        <v>78</v>
      </c>
      <c r="B38" s="1">
        <v>64.11</v>
      </c>
      <c r="C38" s="1">
        <f t="shared" si="30"/>
        <v>0.06411</v>
      </c>
    </row>
    <row r="39" ht="15.75" customHeight="1">
      <c r="A39" s="1" t="s">
        <v>79</v>
      </c>
      <c r="B39" s="1">
        <v>-278.5</v>
      </c>
      <c r="C39" s="1">
        <f t="shared" si="30"/>
        <v>-0.2785</v>
      </c>
    </row>
    <row r="40" ht="15.75" customHeight="1">
      <c r="B40" s="1" t="s">
        <v>73</v>
      </c>
    </row>
    <row r="41" ht="15.75" customHeight="1">
      <c r="B41" s="1" t="s">
        <v>80</v>
      </c>
    </row>
    <row r="42" ht="15.75" customHeight="1"/>
    <row r="43" ht="15.75" customHeight="1"/>
    <row r="44" ht="15.75" customHeight="1"/>
    <row r="45" ht="15.75" customHeight="1">
      <c r="V45" s="2" t="s">
        <v>81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Q22:S22"/>
    <mergeCell ref="O23:P23"/>
    <mergeCell ref="B24:B25"/>
    <mergeCell ref="C24:C25"/>
    <mergeCell ref="Q30:S30"/>
    <mergeCell ref="O31:P31"/>
    <mergeCell ref="B32:B34"/>
    <mergeCell ref="C32:C34"/>
    <mergeCell ref="AG5:AI5"/>
    <mergeCell ref="P11:Q11"/>
    <mergeCell ref="P12:Q12"/>
    <mergeCell ref="B14:C14"/>
    <mergeCell ref="E14:H14"/>
    <mergeCell ref="J14:M14"/>
    <mergeCell ref="O14:R14"/>
  </mergeCells>
  <dataValidations>
    <dataValidation type="list" allowBlank="1" showErrorMessage="1" sqref="C32">
      <formula1>$B$40:$B$41</formula1>
    </dataValidation>
    <dataValidation type="list" allowBlank="1" showErrorMessage="1" sqref="P12">
      <formula1>$A$16:$A$20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Jens Dekker</dc:creator>
</cp:coreProperties>
</file>